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D:\2021\"/>
    </mc:Choice>
  </mc:AlternateContent>
  <xr:revisionPtr revIDLastSave="0" documentId="13_ncr:1_{2B6F6C13-7D5F-43DC-A57B-5FB9D9BEB278}"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77" r:id="rId23"/>
    <sheet name="收益法-厂房"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3">'收益法-厂房'!$A$1:$F$43,'收益法-厂房'!$H$3:$M$29,'收益法-厂房'!$A$46:$F$71,'收益法-厂房'!$I$46:$N$65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2" i="77" l="1"/>
  <c r="Q59" i="77"/>
  <c r="K59" i="77"/>
  <c r="P74" i="77" s="1"/>
  <c r="F59" i="77"/>
  <c r="Q58" i="77"/>
  <c r="Q51" i="77"/>
  <c r="J50" i="77"/>
  <c r="M47" i="77"/>
  <c r="D46" i="77"/>
  <c r="F33" i="77"/>
  <c r="F61" i="77" s="1"/>
  <c r="F31" i="77"/>
  <c r="F23" i="77"/>
  <c r="F21" i="77"/>
  <c r="F20" i="77"/>
  <c r="M19" i="77"/>
  <c r="F18" i="77"/>
  <c r="M17" i="77"/>
  <c r="F17" i="77"/>
  <c r="F15" i="77"/>
  <c r="N6" i="1"/>
  <c r="Y6" i="1" s="1"/>
  <c r="Y7" i="1" s="1"/>
  <c r="D3" i="4"/>
  <c r="N7" i="1" l="1"/>
  <c r="D23" i="77"/>
  <c r="D22" i="77"/>
  <c r="D24" i="77"/>
  <c r="P61" i="77"/>
  <c r="AH5" i="7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AB12" i="71" s="1"/>
  <c r="P12" i="71"/>
  <c r="O12" i="71"/>
  <c r="N12" i="71"/>
  <c r="X12" i="71" s="1"/>
  <c r="AH11" i="71"/>
  <c r="AG11" i="71"/>
  <c r="AE11" i="71"/>
  <c r="AF11" i="71" s="1"/>
  <c r="AD11" i="71"/>
  <c r="Q11" i="71"/>
  <c r="AB9" i="71" s="1"/>
  <c r="P11" i="71"/>
  <c r="O11" i="71"/>
  <c r="Y9" i="71" s="1"/>
  <c r="Z9" i="71" s="1"/>
  <c r="N11" i="71"/>
  <c r="AH12" i="71"/>
  <c r="AG12" i="71"/>
  <c r="AE12" i="71"/>
  <c r="AF12" i="71"/>
  <c r="AD12" i="71"/>
  <c r="Q13" i="71"/>
  <c r="AB13" i="71" s="1"/>
  <c r="Q14" i="71"/>
  <c r="P13" i="71"/>
  <c r="AA13" i="71" s="1"/>
  <c r="P14" i="71"/>
  <c r="O13" i="71"/>
  <c r="O14" i="71"/>
  <c r="N13" i="71"/>
  <c r="X13" i="71" s="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s="1"/>
  <c r="Q15" i="71"/>
  <c r="AB8" i="71" s="1"/>
  <c r="P15" i="71"/>
  <c r="O15" i="71"/>
  <c r="N15" i="71"/>
  <c r="L3" i="71"/>
  <c r="AH3" i="71" s="1"/>
  <c r="K3" i="71"/>
  <c r="AG3" i="71" s="1"/>
  <c r="J3" i="71"/>
  <c r="AE3" i="71" s="1"/>
  <c r="I3" i="71"/>
  <c r="AH16" i="71"/>
  <c r="AG16" i="71"/>
  <c r="AE16" i="71"/>
  <c r="AF16" i="71" s="1"/>
  <c r="AD16" i="71"/>
  <c r="Q16" i="71"/>
  <c r="Q17" i="71"/>
  <c r="P16" i="71"/>
  <c r="P17" i="71"/>
  <c r="AA16" i="71" s="1"/>
  <c r="O16" i="71"/>
  <c r="Y13" i="71" s="1"/>
  <c r="O17" i="71"/>
  <c r="N16" i="71"/>
  <c r="X16" i="71" s="1"/>
  <c r="N17" i="71"/>
  <c r="X17" i="71" s="1"/>
  <c r="N18" i="71"/>
  <c r="AH17" i="71"/>
  <c r="AG17" i="71"/>
  <c r="AE17" i="71"/>
  <c r="AF17" i="71"/>
  <c r="AD17" i="71"/>
  <c r="Q18" i="71"/>
  <c r="AB18" i="71" s="1"/>
  <c r="P18" i="71"/>
  <c r="O18" i="71"/>
  <c r="Y17" i="71" s="1"/>
  <c r="Z17" i="71" s="1"/>
  <c r="D20" i="71"/>
  <c r="AH18" i="71"/>
  <c r="AG18" i="71"/>
  <c r="AE18" i="71"/>
  <c r="AF18" i="71" s="1"/>
  <c r="AD18" i="71"/>
  <c r="AD19" i="71"/>
  <c r="AG19" i="71"/>
  <c r="AH19" i="71"/>
  <c r="AE19" i="71"/>
  <c r="AF19" i="71" s="1"/>
  <c r="N19" i="71"/>
  <c r="X19" i="71" s="1"/>
  <c r="Q19" i="71"/>
  <c r="P19" i="71"/>
  <c r="AA18" i="71" s="1"/>
  <c r="O19" i="71"/>
  <c r="C19" i="71" s="1"/>
  <c r="C18" i="71" s="1"/>
  <c r="Q20" i="71"/>
  <c r="F19" i="71"/>
  <c r="P20" i="71"/>
  <c r="O20" i="71"/>
  <c r="Y19" i="71" s="1"/>
  <c r="Z19" i="71" s="1"/>
  <c r="N20" i="71"/>
  <c r="A2" i="53"/>
  <c r="K59" i="67"/>
  <c r="P74" i="67" s="1"/>
  <c r="P61"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Y16" i="71" s="1"/>
  <c r="Z16" i="71" s="1"/>
  <c r="N2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2" i="71"/>
  <c r="Y21" i="71" s="1"/>
  <c r="Z21" i="71" s="1"/>
  <c r="P22" i="71"/>
  <c r="Q22" i="71"/>
  <c r="N22"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c r="AI9" i="43"/>
  <c r="AI12" i="43"/>
  <c r="AH9" i="43"/>
  <c r="AH12" i="43"/>
  <c r="AG9" i="43"/>
  <c r="AG12" i="43" s="1"/>
  <c r="AF9" i="43"/>
  <c r="AF10" i="43" s="1"/>
  <c r="AE9" i="43"/>
  <c r="AE12" i="43"/>
  <c r="AD9" i="43"/>
  <c r="AD12" i="43"/>
  <c r="AC9" i="43"/>
  <c r="AC12" i="43"/>
  <c r="AB9" i="43"/>
  <c r="AB12" i="43"/>
  <c r="AA9" i="43"/>
  <c r="AA12" i="43" s="1"/>
  <c r="Z9" i="43"/>
  <c r="Z10" i="43" s="1"/>
  <c r="AA10" i="43"/>
  <c r="AC10" i="43"/>
  <c r="AE10" i="43"/>
  <c r="AG10" i="43"/>
  <c r="AI10" i="43"/>
  <c r="AB10" i="43"/>
  <c r="AD10" i="43"/>
  <c r="AH10" i="43"/>
  <c r="AJ10" i="43"/>
  <c r="K49" i="9"/>
  <c r="E107" i="9"/>
  <c r="A122" i="9" s="1"/>
  <c r="A8" i="52" s="1"/>
  <c r="B54" i="72" s="1"/>
  <c r="E111" i="9"/>
  <c r="A126" i="9" s="1"/>
  <c r="E109" i="9"/>
  <c r="A124" i="9" s="1"/>
  <c r="B44" i="72"/>
  <c r="B42" i="72"/>
  <c r="B69" i="72"/>
  <c r="B68" i="72"/>
  <c r="B63" i="72"/>
  <c r="B62" i="72"/>
  <c r="B16" i="72"/>
  <c r="B60" i="72"/>
  <c r="B67" i="72"/>
  <c r="B66" i="72"/>
  <c r="B10" i="72"/>
  <c r="C53" i="10"/>
  <c r="B51" i="10"/>
  <c r="B19" i="72"/>
  <c r="A18" i="51"/>
  <c r="B13" i="72" s="1"/>
  <c r="B49" i="48"/>
  <c r="B5" i="72"/>
  <c r="I19" i="43"/>
  <c r="D84" i="71"/>
  <c r="F83" i="71"/>
  <c r="F82" i="71" s="1"/>
  <c r="F81" i="71" s="1"/>
  <c r="E83" i="71"/>
  <c r="E82" i="71"/>
  <c r="E81" i="71" s="1"/>
  <c r="C83" i="71"/>
  <c r="D83" i="71" s="1"/>
  <c r="B83" i="71"/>
  <c r="B82" i="71"/>
  <c r="B81" i="71" s="1"/>
  <c r="D80" i="71"/>
  <c r="F79" i="71"/>
  <c r="F78" i="71" s="1"/>
  <c r="F77" i="71" s="1"/>
  <c r="E79" i="71"/>
  <c r="E78" i="71"/>
  <c r="E77" i="71" s="1"/>
  <c r="C79" i="71"/>
  <c r="D79" i="71" s="1"/>
  <c r="B79" i="71"/>
  <c r="B78" i="71"/>
  <c r="B77" i="71" s="1"/>
  <c r="D76" i="71"/>
  <c r="Q75" i="71"/>
  <c r="P75" i="71"/>
  <c r="O75" i="71"/>
  <c r="N75" i="71"/>
  <c r="F75" i="71"/>
  <c r="V75" i="71" s="1"/>
  <c r="E75" i="71"/>
  <c r="U75" i="71" s="1"/>
  <c r="C75" i="71"/>
  <c r="T75" i="71"/>
  <c r="B75" i="71"/>
  <c r="S75" i="71"/>
  <c r="Q74" i="71"/>
  <c r="P74" i="71"/>
  <c r="O74" i="71"/>
  <c r="N74" i="71"/>
  <c r="F74" i="71"/>
  <c r="F73" i="71" s="1"/>
  <c r="B74" i="71"/>
  <c r="B73" i="71" s="1"/>
  <c r="Q73" i="71"/>
  <c r="P73" i="71"/>
  <c r="O73" i="71"/>
  <c r="N73" i="71"/>
  <c r="Q72" i="71"/>
  <c r="P72" i="71"/>
  <c r="O72" i="71"/>
  <c r="N72" i="71"/>
  <c r="D72" i="71"/>
  <c r="Q71" i="71"/>
  <c r="P71" i="71"/>
  <c r="O71" i="71"/>
  <c r="N71" i="71"/>
  <c r="F71" i="71"/>
  <c r="V71" i="71" s="1"/>
  <c r="E71" i="71"/>
  <c r="U71" i="71"/>
  <c r="C71" i="71"/>
  <c r="T71" i="71"/>
  <c r="B71" i="71"/>
  <c r="B70" i="71" s="1"/>
  <c r="B69" i="71" s="1"/>
  <c r="S71" i="71"/>
  <c r="Q70" i="71"/>
  <c r="P70" i="71"/>
  <c r="O70" i="71"/>
  <c r="N70" i="71"/>
  <c r="F70" i="71"/>
  <c r="F69" i="71" s="1"/>
  <c r="Q69" i="71"/>
  <c r="P69" i="71"/>
  <c r="O69" i="71"/>
  <c r="N69" i="71"/>
  <c r="Q68" i="71"/>
  <c r="P68" i="71"/>
  <c r="O68" i="71"/>
  <c r="N68" i="71"/>
  <c r="D68" i="71"/>
  <c r="Q67" i="71"/>
  <c r="P67" i="71"/>
  <c r="O67" i="71"/>
  <c r="N67" i="71"/>
  <c r="F67" i="71"/>
  <c r="V67" i="71" s="1"/>
  <c r="E67" i="71"/>
  <c r="U67" i="71" s="1"/>
  <c r="C67" i="71"/>
  <c r="T67" i="71" s="1"/>
  <c r="B67" i="71"/>
  <c r="S67" i="71"/>
  <c r="Q66" i="71"/>
  <c r="P66" i="71"/>
  <c r="O66" i="71"/>
  <c r="N66" i="71"/>
  <c r="F66" i="71"/>
  <c r="F65" i="71" s="1"/>
  <c r="B66" i="71"/>
  <c r="B65" i="71" s="1"/>
  <c r="Q65" i="71"/>
  <c r="P65" i="71"/>
  <c r="O65" i="71"/>
  <c r="N65" i="71"/>
  <c r="Q64" i="71"/>
  <c r="P64" i="71"/>
  <c r="O64" i="71"/>
  <c r="N64" i="71"/>
  <c r="D64" i="71"/>
  <c r="F63" i="71"/>
  <c r="Q63" i="71" s="1"/>
  <c r="V63" i="71"/>
  <c r="E63" i="71"/>
  <c r="P63" i="71"/>
  <c r="C63" i="71"/>
  <c r="B63" i="71"/>
  <c r="S63" i="71"/>
  <c r="B62" i="71"/>
  <c r="D60" i="71"/>
  <c r="Q59" i="71"/>
  <c r="P59" i="71"/>
  <c r="O59" i="71"/>
  <c r="N59" i="71"/>
  <c r="Q58" i="71"/>
  <c r="P58" i="71"/>
  <c r="O58" i="71"/>
  <c r="N58" i="71"/>
  <c r="Q57" i="71"/>
  <c r="P57" i="71"/>
  <c r="O57" i="71"/>
  <c r="N57" i="71"/>
  <c r="Q56" i="71"/>
  <c r="F57" i="71"/>
  <c r="F58" i="71" s="1"/>
  <c r="F59" i="71" s="1"/>
  <c r="V59" i="71" s="1"/>
  <c r="P56" i="71"/>
  <c r="E57" i="71"/>
  <c r="E58" i="71" s="1"/>
  <c r="E59" i="71" s="1"/>
  <c r="U59" i="71" s="1"/>
  <c r="O56" i="71"/>
  <c r="C57" i="7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c r="O52" i="71"/>
  <c r="C53" i="71"/>
  <c r="D53" i="71" s="1"/>
  <c r="N52" i="71"/>
  <c r="B53" i="71"/>
  <c r="B54" i="71" s="1"/>
  <c r="B55" i="71" s="1"/>
  <c r="S55" i="71" s="1"/>
  <c r="D52" i="71"/>
  <c r="Q51" i="71"/>
  <c r="P51" i="71"/>
  <c r="O51" i="71"/>
  <c r="N51" i="71"/>
  <c r="Q50" i="71"/>
  <c r="P50" i="71"/>
  <c r="O50" i="71"/>
  <c r="N50" i="71"/>
  <c r="Q49" i="71"/>
  <c r="P49" i="71"/>
  <c r="O49" i="71"/>
  <c r="N49" i="71"/>
  <c r="C49" i="71"/>
  <c r="C50" i="71" s="1"/>
  <c r="Q48" i="71"/>
  <c r="F49" i="71"/>
  <c r="F50" i="71"/>
  <c r="F51" i="71" s="1"/>
  <c r="V51" i="71" s="1"/>
  <c r="P48" i="71"/>
  <c r="E49" i="71"/>
  <c r="O48" i="7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c r="E42" i="71"/>
  <c r="E43" i="71" s="1"/>
  <c r="U43" i="71" s="1"/>
  <c r="O40" i="71"/>
  <c r="C41" i="71"/>
  <c r="N40" i="71"/>
  <c r="B41" i="7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c r="B38" i="71" s="1"/>
  <c r="B39" i="71" s="1"/>
  <c r="S39" i="71" s="1"/>
  <c r="D36" i="71"/>
  <c r="Q35" i="71"/>
  <c r="P35" i="71"/>
  <c r="O35" i="71"/>
  <c r="N35" i="71"/>
  <c r="AB34" i="71"/>
  <c r="Q34" i="71"/>
  <c r="P34" i="71"/>
  <c r="AA34" i="71"/>
  <c r="O34" i="71"/>
  <c r="Y34" i="71"/>
  <c r="Z34" i="71" s="1"/>
  <c r="N34" i="71"/>
  <c r="X34" i="71" s="1"/>
  <c r="Q33" i="71"/>
  <c r="AB33" i="71" s="1"/>
  <c r="P33" i="71"/>
  <c r="O33" i="71"/>
  <c r="Y29" i="71" s="1"/>
  <c r="Z29" i="71" s="1"/>
  <c r="N33" i="71"/>
  <c r="B34" i="71" s="1"/>
  <c r="B35" i="71" s="1"/>
  <c r="S35" i="71" s="1"/>
  <c r="F33" i="71"/>
  <c r="F34" i="71"/>
  <c r="F35" i="71" s="1"/>
  <c r="Q32" i="71"/>
  <c r="P32" i="71"/>
  <c r="E33" i="71" s="1"/>
  <c r="E34" i="71" s="1"/>
  <c r="E35" i="71" s="1"/>
  <c r="U35" i="71" s="1"/>
  <c r="O32" i="71"/>
  <c r="N32" i="71"/>
  <c r="D32" i="71"/>
  <c r="Q31" i="71"/>
  <c r="P31" i="71"/>
  <c r="AA31" i="71" s="1"/>
  <c r="O31" i="71"/>
  <c r="N31" i="71"/>
  <c r="Q30" i="71"/>
  <c r="AB30" i="71"/>
  <c r="P30" i="71"/>
  <c r="O30" i="71"/>
  <c r="Y30" i="71"/>
  <c r="Z30" i="71" s="1"/>
  <c r="N30" i="71"/>
  <c r="Q29" i="71"/>
  <c r="AB21" i="71" s="1"/>
  <c r="P29" i="71"/>
  <c r="AA29" i="71" s="1"/>
  <c r="O29" i="71"/>
  <c r="Y28" i="71" s="1"/>
  <c r="Z28" i="71" s="1"/>
  <c r="N29" i="71"/>
  <c r="X29" i="71" s="1"/>
  <c r="Q28" i="71"/>
  <c r="F29" i="71" s="1"/>
  <c r="F30" i="71" s="1"/>
  <c r="F31" i="71" s="1"/>
  <c r="V31" i="71" s="1"/>
  <c r="P28" i="71"/>
  <c r="AA27" i="71" s="1"/>
  <c r="O28" i="71"/>
  <c r="C29" i="71" s="1"/>
  <c r="N28" i="71"/>
  <c r="X27" i="71" s="1"/>
  <c r="D28" i="71"/>
  <c r="Q27" i="71"/>
  <c r="AB27" i="71" s="1"/>
  <c r="P27" i="71"/>
  <c r="O27" i="71"/>
  <c r="Y27" i="71" s="1"/>
  <c r="Z27" i="71" s="1"/>
  <c r="N27" i="71"/>
  <c r="X26" i="71" s="1"/>
  <c r="Q26" i="71"/>
  <c r="AB26" i="71"/>
  <c r="P26" i="71"/>
  <c r="O26" i="71"/>
  <c r="Y26" i="71" s="1"/>
  <c r="Z26" i="71" s="1"/>
  <c r="N26" i="71"/>
  <c r="Q25" i="71"/>
  <c r="AB25" i="71" s="1"/>
  <c r="P25" i="71"/>
  <c r="O25" i="71"/>
  <c r="C26" i="71" s="1"/>
  <c r="N25" i="71"/>
  <c r="X22" i="71" s="1"/>
  <c r="F25" i="71"/>
  <c r="F26" i="71"/>
  <c r="F27" i="71" s="1"/>
  <c r="V27" i="71" s="1"/>
  <c r="Q24" i="71"/>
  <c r="P24" i="71"/>
  <c r="AA22" i="71" s="1"/>
  <c r="O24" i="71"/>
  <c r="Y24" i="71" s="1"/>
  <c r="Z24" i="71" s="1"/>
  <c r="N24" i="71"/>
  <c r="D24" i="71"/>
  <c r="O23" i="71"/>
  <c r="Y23" i="71" s="1"/>
  <c r="Z23" i="71" s="1"/>
  <c r="N23" i="71"/>
  <c r="B23" i="71" s="1"/>
  <c r="B25" i="71"/>
  <c r="B26" i="71" s="1"/>
  <c r="B27" i="71" s="1"/>
  <c r="S27" i="71" s="1"/>
  <c r="AA24" i="71"/>
  <c r="B33" i="71"/>
  <c r="AA32" i="71"/>
  <c r="N63" i="71"/>
  <c r="C25" i="71"/>
  <c r="AA25" i="71"/>
  <c r="AB28" i="71"/>
  <c r="X30" i="71"/>
  <c r="C33" i="71"/>
  <c r="C34" i="71" s="1"/>
  <c r="AA33" i="71"/>
  <c r="D25" i="71"/>
  <c r="D33" i="71"/>
  <c r="C42" i="71"/>
  <c r="D42" i="71" s="1"/>
  <c r="D41" i="71"/>
  <c r="P23" i="71"/>
  <c r="E50" i="71"/>
  <c r="E51" i="71" s="1"/>
  <c r="U51" i="71" s="1"/>
  <c r="E54" i="71"/>
  <c r="E55" i="71" s="1"/>
  <c r="U55" i="71" s="1"/>
  <c r="U63" i="71"/>
  <c r="E62" i="71"/>
  <c r="Q23" i="71"/>
  <c r="AB20" i="71" s="1"/>
  <c r="C54" i="71"/>
  <c r="C55" i="71" s="1"/>
  <c r="C58" i="71"/>
  <c r="C59" i="71" s="1"/>
  <c r="D57" i="71"/>
  <c r="N62" i="71"/>
  <c r="B61" i="71"/>
  <c r="N60" i="71" s="1"/>
  <c r="T63" i="71"/>
  <c r="O63" i="71"/>
  <c r="D63" i="71"/>
  <c r="C62" i="71"/>
  <c r="O62" i="71" s="1"/>
  <c r="C66" i="71"/>
  <c r="C65" i="71" s="1"/>
  <c r="D65" i="71" s="1"/>
  <c r="D67" i="71"/>
  <c r="C70" i="71"/>
  <c r="E70" i="71"/>
  <c r="E69" i="71" s="1"/>
  <c r="D71" i="71"/>
  <c r="C74" i="71"/>
  <c r="E74" i="71"/>
  <c r="E73" i="71" s="1"/>
  <c r="D75" i="71"/>
  <c r="C78" i="71"/>
  <c r="D78" i="71" s="1"/>
  <c r="F23" i="71"/>
  <c r="F22" i="71" s="1"/>
  <c r="F21" i="71" s="1"/>
  <c r="E23" i="71"/>
  <c r="E22" i="71" s="1"/>
  <c r="E21" i="71" s="1"/>
  <c r="AA3" i="71"/>
  <c r="C61" i="71"/>
  <c r="O60" i="71" s="1"/>
  <c r="D62" i="71"/>
  <c r="D58" i="71"/>
  <c r="D70" i="71"/>
  <c r="C69" i="71"/>
  <c r="D69" i="71" s="1"/>
  <c r="D74" i="71"/>
  <c r="C73" i="71"/>
  <c r="D73" i="71" s="1"/>
  <c r="P62" i="71"/>
  <c r="E61" i="71"/>
  <c r="P60" i="71" s="1"/>
  <c r="P61" i="71"/>
  <c r="O61" i="71"/>
  <c r="D6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s="1"/>
  <c r="A13" i="70"/>
  <c r="E13" i="70"/>
  <c r="A6" i="70"/>
  <c r="Q25" i="40"/>
  <c r="Z25" i="40"/>
  <c r="D94" i="40"/>
  <c r="E94" i="40"/>
  <c r="F25" i="40"/>
  <c r="AA25" i="40" s="1"/>
  <c r="Z29" i="39"/>
  <c r="Q29" i="39"/>
  <c r="D103" i="39"/>
  <c r="E103" i="39" s="1"/>
  <c r="F103" i="39" s="1"/>
  <c r="G103" i="39" s="1"/>
  <c r="F29" i="39"/>
  <c r="AA29" i="39" s="1"/>
  <c r="Q18" i="36"/>
  <c r="Z18" i="36"/>
  <c r="D66" i="36"/>
  <c r="E66" i="36"/>
  <c r="F66" i="36"/>
  <c r="H18" i="36"/>
  <c r="AB18" i="36" s="1"/>
  <c r="F18" i="36"/>
  <c r="AA18" i="36" s="1"/>
  <c r="C18" i="36"/>
  <c r="Z18" i="35"/>
  <c r="Q18" i="35"/>
  <c r="D68" i="35"/>
  <c r="E68" i="35"/>
  <c r="F18" i="35"/>
  <c r="AA18" i="35" s="1"/>
  <c r="C18" i="35"/>
  <c r="Z21" i="37"/>
  <c r="Q21" i="37"/>
  <c r="D77" i="37"/>
  <c r="E77" i="37" s="1"/>
  <c r="F77" i="37" s="1"/>
  <c r="G77" i="37" s="1"/>
  <c r="C21" i="37"/>
  <c r="Z21" i="34"/>
  <c r="Q21" i="34"/>
  <c r="D84" i="34"/>
  <c r="E84" i="34"/>
  <c r="F21" i="34"/>
  <c r="S21" i="34" s="1"/>
  <c r="C21" i="34"/>
  <c r="Z21" i="33"/>
  <c r="Q21" i="33"/>
  <c r="D83" i="33"/>
  <c r="E83" i="33" s="1"/>
  <c r="F83" i="33" s="1"/>
  <c r="G83" i="33" s="1"/>
  <c r="C21" i="33"/>
  <c r="C21" i="21"/>
  <c r="Q21" i="21"/>
  <c r="Z21" i="21"/>
  <c r="H19" i="21"/>
  <c r="D83" i="21"/>
  <c r="E83" i="21" s="1"/>
  <c r="F83" i="21" s="1"/>
  <c r="F21" i="21"/>
  <c r="AA21" i="21"/>
  <c r="D81" i="21"/>
  <c r="G20" i="20"/>
  <c r="C25" i="40" s="1"/>
  <c r="B86" i="43"/>
  <c r="C22" i="20"/>
  <c r="B75" i="43" s="1"/>
  <c r="B55" i="43"/>
  <c r="C29" i="39"/>
  <c r="S25" i="40"/>
  <c r="S18" i="36"/>
  <c r="U18" i="36"/>
  <c r="F94" i="40"/>
  <c r="G94" i="40" s="1"/>
  <c r="H25" i="40"/>
  <c r="AB25" i="40" s="1"/>
  <c r="J25" i="40"/>
  <c r="AC25" i="40" s="1"/>
  <c r="H29" i="39"/>
  <c r="J29" i="39"/>
  <c r="AC29" i="39" s="1"/>
  <c r="G66" i="36"/>
  <c r="J18" i="36"/>
  <c r="W18" i="36" s="1"/>
  <c r="F68" i="35"/>
  <c r="G68" i="35" s="1"/>
  <c r="H18" i="35"/>
  <c r="S18" i="35"/>
  <c r="J18" i="35"/>
  <c r="H21" i="37"/>
  <c r="F21" i="37"/>
  <c r="AA21" i="37" s="1"/>
  <c r="F84" i="34"/>
  <c r="G84" i="34" s="1"/>
  <c r="H21" i="34"/>
  <c r="AB21" i="34" s="1"/>
  <c r="H21" i="33"/>
  <c r="F21" i="33"/>
  <c r="AA21" i="33" s="1"/>
  <c r="S21" i="21"/>
  <c r="H1" i="69"/>
  <c r="U25" i="40"/>
  <c r="AB29" i="39"/>
  <c r="U29" i="39"/>
  <c r="W29" i="39"/>
  <c r="AC18" i="36"/>
  <c r="AB21" i="37"/>
  <c r="U21" i="37"/>
  <c r="S21" i="37"/>
  <c r="U21" i="33"/>
  <c r="AB21" i="33"/>
  <c r="S21" i="33"/>
  <c r="AB18" i="35"/>
  <c r="U18" i="35"/>
  <c r="AC18" i="35"/>
  <c r="W18" i="35"/>
  <c r="J21" i="37"/>
  <c r="J21" i="34"/>
  <c r="J21" i="33"/>
  <c r="AC21" i="33" s="1"/>
  <c r="H21" i="21"/>
  <c r="AB21" i="21" s="1"/>
  <c r="F38" i="69"/>
  <c r="E37" i="69"/>
  <c r="F36" i="69"/>
  <c r="F35" i="69"/>
  <c r="F21" i="69"/>
  <c r="F40" i="69" s="1"/>
  <c r="F20" i="69"/>
  <c r="F39" i="69" s="1"/>
  <c r="E10" i="69"/>
  <c r="E9" i="69"/>
  <c r="C7" i="69"/>
  <c r="AC21" i="34"/>
  <c r="W21" i="34"/>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20" i="66" s="1"/>
  <c r="I17" i="66"/>
  <c r="E15" i="66"/>
  <c r="I14" i="66"/>
  <c r="I13" i="66"/>
  <c r="I12" i="66"/>
  <c r="I15" i="66" s="1"/>
  <c r="I9" i="66"/>
  <c r="I8" i="66"/>
  <c r="I7" i="66"/>
  <c r="I6" i="66"/>
  <c r="I5" i="66"/>
  <c r="I4" i="66"/>
  <c r="I3" i="66"/>
  <c r="F113" i="43"/>
  <c r="N99" i="43"/>
  <c r="N108" i="43"/>
  <c r="D99" i="43"/>
  <c r="D108" i="43"/>
  <c r="E99" i="43"/>
  <c r="E100" i="43" s="1"/>
  <c r="E108" i="43"/>
  <c r="F99" i="43"/>
  <c r="F108" i="43"/>
  <c r="G99" i="43"/>
  <c r="G108" i="43" s="1"/>
  <c r="H99" i="43"/>
  <c r="H108" i="43" s="1"/>
  <c r="I99" i="43"/>
  <c r="I108" i="43"/>
  <c r="J99" i="43"/>
  <c r="J108" i="43"/>
  <c r="K99" i="43"/>
  <c r="K100" i="43" s="1"/>
  <c r="K108" i="43"/>
  <c r="L99" i="43"/>
  <c r="L108" i="43"/>
  <c r="M99" i="43"/>
  <c r="M108" i="43" s="1"/>
  <c r="C99" i="43"/>
  <c r="C108" i="43" s="1"/>
  <c r="N100" i="43"/>
  <c r="D100" i="43"/>
  <c r="L100" i="43"/>
  <c r="G100" i="43"/>
  <c r="I100" i="43"/>
  <c r="M100" i="43"/>
  <c r="B48" i="43"/>
  <c r="B84" i="43"/>
  <c r="B83" i="43"/>
  <c r="B72" i="43"/>
  <c r="B61" i="43"/>
  <c r="B50" i="43"/>
  <c r="D84" i="43"/>
  <c r="D86" i="43"/>
  <c r="D67" i="43"/>
  <c r="D60" i="43"/>
  <c r="D61" i="43"/>
  <c r="D62" i="43"/>
  <c r="D63" i="43"/>
  <c r="D64" i="43"/>
  <c r="D65" i="43"/>
  <c r="D66" i="43"/>
  <c r="D59" i="43"/>
  <c r="E59" i="43"/>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c r="K74" i="43"/>
  <c r="J74" i="43" s="1"/>
  <c r="D74" i="43"/>
  <c r="M73" i="43"/>
  <c r="N73" i="43" s="1"/>
  <c r="K73" i="43"/>
  <c r="J73" i="43"/>
  <c r="D73" i="43"/>
  <c r="M72" i="43"/>
  <c r="N72" i="43" s="1"/>
  <c r="K72" i="43"/>
  <c r="J72" i="43"/>
  <c r="D72" i="43"/>
  <c r="M71" i="43"/>
  <c r="N71" i="43"/>
  <c r="K71" i="43"/>
  <c r="J71" i="43" s="1"/>
  <c r="D71" i="43"/>
  <c r="M70" i="43"/>
  <c r="N70" i="43" s="1"/>
  <c r="K70" i="43"/>
  <c r="J70" i="43" s="1"/>
  <c r="D70" i="43"/>
  <c r="M67" i="43"/>
  <c r="N67" i="43"/>
  <c r="K67" i="43"/>
  <c r="J67" i="43"/>
  <c r="M66" i="43"/>
  <c r="N66" i="43" s="1"/>
  <c r="K66" i="43"/>
  <c r="J66" i="43" s="1"/>
  <c r="M65" i="43"/>
  <c r="N65" i="43"/>
  <c r="K65" i="43"/>
  <c r="J65" i="43"/>
  <c r="M64" i="43"/>
  <c r="N64" i="43"/>
  <c r="K64" i="43"/>
  <c r="J64" i="43"/>
  <c r="M63" i="43"/>
  <c r="N63" i="43" s="1"/>
  <c r="K63" i="43"/>
  <c r="J63" i="43" s="1"/>
  <c r="M62" i="43"/>
  <c r="N62" i="43"/>
  <c r="K62" i="43"/>
  <c r="J62" i="43"/>
  <c r="M61" i="43"/>
  <c r="N61" i="43"/>
  <c r="K61" i="43"/>
  <c r="J61" i="43"/>
  <c r="M60" i="43"/>
  <c r="N60" i="43" s="1"/>
  <c r="K60" i="43"/>
  <c r="J60" i="43" s="1"/>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c r="H8" i="31" s="1"/>
  <c r="I8" i="31" s="1"/>
  <c r="J8" i="31" s="1"/>
  <c r="K8" i="31" s="1"/>
  <c r="L8" i="31" s="1"/>
  <c r="M8" i="31" s="1"/>
  <c r="N8" i="31" s="1"/>
  <c r="O8" i="31"/>
  <c r="P8" i="31" s="1"/>
  <c r="Q8" i="31" s="1"/>
  <c r="R8" i="31" s="1"/>
  <c r="S8" i="31" s="1"/>
  <c r="D6" i="31"/>
  <c r="E6" i="31"/>
  <c r="F6" i="31" s="1"/>
  <c r="G6" i="31" s="1"/>
  <c r="H6" i="31" s="1"/>
  <c r="I6" i="31" s="1"/>
  <c r="J6" i="31" s="1"/>
  <c r="K6" i="3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A8" i="1"/>
  <c r="B8" i="1"/>
  <c r="E8" i="1"/>
  <c r="A9" i="1"/>
  <c r="A10" i="1"/>
  <c r="K10" i="1" s="1"/>
  <c r="A11" i="1"/>
  <c r="A12" i="1"/>
  <c r="A13" i="1"/>
  <c r="B13" i="1" s="1"/>
  <c r="E13" i="1" s="1"/>
  <c r="A6" i="1"/>
  <c r="B11" i="1"/>
  <c r="E11" i="1" s="1"/>
  <c r="B7" i="1"/>
  <c r="E7"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A102" i="3" s="1"/>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A96" i="3" s="1"/>
  <c r="BC96" i="3"/>
  <c r="BB96" i="3"/>
  <c r="AX96" i="3"/>
  <c r="AW96" i="3"/>
  <c r="AV96" i="3"/>
  <c r="AC96" i="3"/>
  <c r="H96" i="3"/>
  <c r="G96" i="3" s="1"/>
  <c r="BT95" i="3"/>
  <c r="BS95" i="3"/>
  <c r="BL95" i="3" s="1"/>
  <c r="BR95" i="3"/>
  <c r="BQ95" i="3"/>
  <c r="BP95" i="3"/>
  <c r="BO95" i="3"/>
  <c r="BN95" i="3"/>
  <c r="BM95" i="3"/>
  <c r="BK95" i="3"/>
  <c r="BJ95" i="3"/>
  <c r="BI95" i="3"/>
  <c r="BH95" i="3"/>
  <c r="BG95" i="3"/>
  <c r="BA95" i="3" s="1"/>
  <c r="AZ95" i="3" s="1"/>
  <c r="BF95" i="3"/>
  <c r="BE95" i="3"/>
  <c r="BD95" i="3"/>
  <c r="BC95" i="3"/>
  <c r="BB95" i="3"/>
  <c r="AX95" i="3"/>
  <c r="AW95" i="3"/>
  <c r="AV95" i="3"/>
  <c r="AC95" i="3"/>
  <c r="H95" i="3"/>
  <c r="G95" i="3" s="1"/>
  <c r="BT94" i="3"/>
  <c r="BS94" i="3"/>
  <c r="BR94" i="3"/>
  <c r="BQ94" i="3"/>
  <c r="BP94" i="3"/>
  <c r="BO94" i="3"/>
  <c r="BN94" i="3"/>
  <c r="BM94" i="3"/>
  <c r="BK94" i="3"/>
  <c r="BJ94" i="3"/>
  <c r="BA94" i="3" s="1"/>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A90" i="3" s="1"/>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G88" i="3"/>
  <c r="BT87" i="3"/>
  <c r="BL87" i="3" s="1"/>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G75" i="3"/>
  <c r="BT74" i="3"/>
  <c r="BS74" i="3"/>
  <c r="BR74" i="3"/>
  <c r="BL74" i="3" s="1"/>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A66" i="3" s="1"/>
  <c r="BC66" i="3"/>
  <c r="BB66" i="3"/>
  <c r="AX66" i="3"/>
  <c r="AW66" i="3"/>
  <c r="AV66" i="3"/>
  <c r="AC66" i="3"/>
  <c r="G66" i="3" s="1"/>
  <c r="H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G65" i="3" s="1"/>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c r="BT63" i="3"/>
  <c r="BS63" i="3"/>
  <c r="BR63" i="3"/>
  <c r="BQ63" i="3"/>
  <c r="BP63" i="3"/>
  <c r="BO63" i="3"/>
  <c r="BN63" i="3"/>
  <c r="BL63" i="3" s="1"/>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A54" i="3" s="1"/>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K47" i="3"/>
  <c r="BJ47" i="3"/>
  <c r="BI47" i="3"/>
  <c r="BH47" i="3"/>
  <c r="BG47" i="3"/>
  <c r="BF47" i="3"/>
  <c r="BE47" i="3"/>
  <c r="BA47" i="3" s="1"/>
  <c r="BD47" i="3"/>
  <c r="BC47" i="3"/>
  <c r="BB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A32" i="3" s="1"/>
  <c r="BD32" i="3"/>
  <c r="BC32" i="3"/>
  <c r="BB32" i="3"/>
  <c r="AX32" i="3"/>
  <c r="AW32" i="3"/>
  <c r="AV32" i="3"/>
  <c r="AC32" i="3"/>
  <c r="H32" i="3"/>
  <c r="G32" i="3"/>
  <c r="BT31" i="3"/>
  <c r="BS31" i="3"/>
  <c r="BL31" i="3" s="1"/>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AZ22" i="3" s="1"/>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L202" i="3" s="1"/>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L187" i="3" s="1"/>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A186" i="3" s="1"/>
  <c r="BD186" i="3"/>
  <c r="BC186" i="3"/>
  <c r="BB186" i="3"/>
  <c r="AX186" i="3"/>
  <c r="AW186" i="3"/>
  <c r="AV186" i="3"/>
  <c r="AC186" i="3"/>
  <c r="H186" i="3"/>
  <c r="G186" i="3"/>
  <c r="BT185" i="3"/>
  <c r="BS185" i="3"/>
  <c r="BL185" i="3" s="1"/>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L161" i="3" s="1"/>
  <c r="BO161" i="3"/>
  <c r="BN161" i="3"/>
  <c r="BM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L159" i="3" s="1"/>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A154" i="3" s="1"/>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A141" i="3" s="1"/>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L121" i="3" s="1"/>
  <c r="BO121" i="3"/>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s="1"/>
  <c r="BK117" i="3"/>
  <c r="BA117" i="3" s="1"/>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A116" i="3" s="1"/>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A297" i="3" s="1"/>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s="1"/>
  <c r="BK291" i="3"/>
  <c r="BA291" i="3" s="1"/>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L288" i="3" s="1"/>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L283" i="3" s="1"/>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A273" i="3" s="1"/>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A263" i="3" s="1"/>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A258" i="3" s="1"/>
  <c r="BG258" i="3"/>
  <c r="BF258" i="3"/>
  <c r="BE258" i="3"/>
  <c r="BD258" i="3"/>
  <c r="BC258" i="3"/>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A253" i="3" s="1"/>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A251" i="3" s="1"/>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L248" i="3" s="1"/>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L233" i="3" s="1"/>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A229" i="3" s="1"/>
  <c r="BF229" i="3"/>
  <c r="BE229" i="3"/>
  <c r="BD229" i="3"/>
  <c r="BC229" i="3"/>
  <c r="BB229" i="3"/>
  <c r="AX229" i="3"/>
  <c r="AW229" i="3"/>
  <c r="AV229" i="3"/>
  <c r="AC229" i="3"/>
  <c r="H229" i="3"/>
  <c r="G229" i="3"/>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L226" i="3" s="1"/>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L221" i="3" s="1"/>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A217" i="3" s="1"/>
  <c r="BC217" i="3"/>
  <c r="BB217" i="3"/>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L396" i="3" s="1"/>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A368" i="3" s="1"/>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A353" i="3" s="1"/>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A352" i="3" s="1"/>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L491" i="3" s="1"/>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AZ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AZ484" i="3" s="1"/>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AZ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AZ476" i="3" s="1"/>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L472" i="3" s="1"/>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A466" i="3" s="1"/>
  <c r="AZ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A458" i="3" s="1"/>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A453" i="3" s="1"/>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c r="BK451" i="3"/>
  <c r="BJ451" i="3"/>
  <c r="BI451" i="3"/>
  <c r="BH451" i="3"/>
  <c r="BA451" i="3" s="1"/>
  <c r="AZ451" i="3" s="1"/>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A447" i="3" s="1"/>
  <c r="AZ447" i="3" s="1"/>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A443" i="3" s="1"/>
  <c r="AZ443" i="3" s="1"/>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A432" i="3" s="1"/>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A428" i="3" s="1"/>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L424" i="3" s="1"/>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A411" i="3" s="1"/>
  <c r="AZ411" i="3" s="1"/>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L407" i="3" s="1"/>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L403" i="3" s="1"/>
  <c r="BP403" i="3"/>
  <c r="BO403" i="3"/>
  <c r="BN403" i="3"/>
  <c r="BM403" i="3"/>
  <c r="BK403" i="3"/>
  <c r="BJ403" i="3"/>
  <c r="BI403" i="3"/>
  <c r="BH403" i="3"/>
  <c r="BG403" i="3"/>
  <c r="BF403" i="3"/>
  <c r="BA403" i="3" s="1"/>
  <c r="AZ403" i="3" s="1"/>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H60" i="40"/>
  <c r="I60" i="40" s="1"/>
  <c r="C60" i="40" s="1"/>
  <c r="H59" i="40"/>
  <c r="I59" i="40"/>
  <c r="C59" i="40" s="1"/>
  <c r="H58" i="40"/>
  <c r="I58" i="40" s="1"/>
  <c r="C58" i="40" s="1"/>
  <c r="H57" i="40"/>
  <c r="I57" i="40" s="1"/>
  <c r="C57" i="40" s="1"/>
  <c r="H56" i="40"/>
  <c r="I56" i="40"/>
  <c r="C56" i="40" s="1"/>
  <c r="H55" i="40"/>
  <c r="I55" i="40" s="1"/>
  <c r="C55" i="40" s="1"/>
  <c r="H54" i="40"/>
  <c r="I54" i="40" s="1"/>
  <c r="C54" i="40" s="1"/>
  <c r="H53" i="40"/>
  <c r="I53" i="40"/>
  <c r="C53" i="40" s="1"/>
  <c r="H52" i="40"/>
  <c r="I52" i="40" s="1"/>
  <c r="C52" i="40" s="1"/>
  <c r="H65" i="39"/>
  <c r="I65" i="39" s="1"/>
  <c r="C65" i="39" s="1"/>
  <c r="H64" i="39"/>
  <c r="I64" i="39"/>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s="1"/>
  <c r="R264" i="31"/>
  <c r="R265" i="31"/>
  <c r="S265" i="31"/>
  <c r="R266" i="31"/>
  <c r="R267" i="31"/>
  <c r="S267" i="31" s="1"/>
  <c r="R268" i="31"/>
  <c r="R269" i="31"/>
  <c r="S269" i="31"/>
  <c r="R270" i="31"/>
  <c r="R271" i="31"/>
  <c r="S271" i="31"/>
  <c r="R272" i="31"/>
  <c r="R273" i="31"/>
  <c r="S273" i="31" s="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s="1"/>
  <c r="R344" i="31"/>
  <c r="R345" i="31"/>
  <c r="S345" i="31"/>
  <c r="R346" i="31"/>
  <c r="R347" i="31"/>
  <c r="S347" i="31" s="1"/>
  <c r="R348" i="31"/>
  <c r="R349" i="31"/>
  <c r="S349" i="31"/>
  <c r="R350" i="31"/>
  <c r="R351" i="31"/>
  <c r="S351" i="31"/>
  <c r="R352" i="31"/>
  <c r="R353" i="31"/>
  <c r="S353" i="31" s="1"/>
  <c r="R354" i="31"/>
  <c r="R355" i="31"/>
  <c r="S355" i="31" s="1"/>
  <c r="R356" i="31"/>
  <c r="R357" i="31"/>
  <c r="S357" i="31"/>
  <c r="R358" i="31"/>
  <c r="R359" i="31"/>
  <c r="S359" i="31" s="1"/>
  <c r="R360" i="31"/>
  <c r="R361" i="31"/>
  <c r="S361" i="31"/>
  <c r="R362" i="31"/>
  <c r="R363" i="31"/>
  <c r="S363" i="31" s="1"/>
  <c r="R364" i="31"/>
  <c r="R365" i="31"/>
  <c r="S365" i="31"/>
  <c r="R366" i="31"/>
  <c r="R367" i="31"/>
  <c r="S367" i="31"/>
  <c r="R368" i="31"/>
  <c r="R369" i="31"/>
  <c r="S369" i="31" s="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22" i="31" s="1"/>
  <c r="R22" i="31" s="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c r="E55" i="34"/>
  <c r="F55" i="34"/>
  <c r="I48" i="40"/>
  <c r="J48" i="40" s="1"/>
  <c r="G48" i="40"/>
  <c r="H48" i="40" s="1"/>
  <c r="E48" i="40"/>
  <c r="F48" i="40" s="1"/>
  <c r="I53" i="39"/>
  <c r="J53" i="39" s="1"/>
  <c r="G53" i="39"/>
  <c r="H53" i="39"/>
  <c r="E53" i="39"/>
  <c r="F53" i="39"/>
  <c r="I42" i="36"/>
  <c r="J42" i="36" s="1"/>
  <c r="G42" i="36"/>
  <c r="H42" i="36" s="1"/>
  <c r="E42" i="36"/>
  <c r="F42" i="36" s="1"/>
  <c r="I44" i="35"/>
  <c r="J44" i="35" s="1"/>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R5" i="3" s="1"/>
  <c r="G28" i="6" s="1"/>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A534" i="3" s="1"/>
  <c r="AZ534" i="3" s="1"/>
  <c r="BG534" i="3"/>
  <c r="BH534" i="3"/>
  <c r="BI534" i="3"/>
  <c r="BJ534" i="3"/>
  <c r="BK534" i="3"/>
  <c r="BM534" i="3"/>
  <c r="BN534" i="3"/>
  <c r="BO534" i="3"/>
  <c r="BP534" i="3"/>
  <c r="BQ534" i="3"/>
  <c r="BR534" i="3"/>
  <c r="BS534" i="3"/>
  <c r="BL534" i="3" s="1"/>
  <c r="BT534" i="3"/>
  <c r="H535" i="3"/>
  <c r="AC535" i="3"/>
  <c r="BB535" i="3"/>
  <c r="BC535" i="3"/>
  <c r="BD535" i="3"/>
  <c r="BE535" i="3"/>
  <c r="BF535" i="3"/>
  <c r="BG535" i="3"/>
  <c r="BH535" i="3"/>
  <c r="BI535" i="3"/>
  <c r="BJ535" i="3"/>
  <c r="BA535" i="3" s="1"/>
  <c r="AZ535" i="3" s="1"/>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D537" i="3"/>
  <c r="BE537" i="3"/>
  <c r="BF537" i="3"/>
  <c r="BG537" i="3"/>
  <c r="BA537" i="3" s="1"/>
  <c r="AZ537" i="3" s="1"/>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A540" i="3" s="1"/>
  <c r="AZ540" i="3" s="1"/>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c r="H31" i="35"/>
  <c r="F31" i="35"/>
  <c r="D87" i="35"/>
  <c r="E87" i="35"/>
  <c r="F87" i="35" s="1"/>
  <c r="G87" i="35" s="1"/>
  <c r="H87" i="35"/>
  <c r="I87" i="35" s="1"/>
  <c r="J87" i="35" s="1"/>
  <c r="K87" i="35" s="1"/>
  <c r="L87" i="35" s="1"/>
  <c r="M87" i="35" s="1"/>
  <c r="H34" i="37"/>
  <c r="D101" i="37"/>
  <c r="F34" i="37"/>
  <c r="D99" i="37"/>
  <c r="E99" i="37" s="1"/>
  <c r="F99" i="37" s="1"/>
  <c r="G99" i="37"/>
  <c r="H99" i="37" s="1"/>
  <c r="I99" i="37" s="1"/>
  <c r="J99" i="37" s="1"/>
  <c r="K99" i="37" s="1"/>
  <c r="L99" i="37" s="1"/>
  <c r="M99" i="37" s="1"/>
  <c r="H42" i="34"/>
  <c r="U42" i="34" s="1"/>
  <c r="J42" i="34"/>
  <c r="W42" i="34"/>
  <c r="F42" i="34"/>
  <c r="J38" i="34"/>
  <c r="W38" i="34"/>
  <c r="D114" i="34"/>
  <c r="F38" i="34"/>
  <c r="S38" i="34"/>
  <c r="D112" i="34"/>
  <c r="E112" i="34"/>
  <c r="F112" i="34" s="1"/>
  <c r="G112" i="34"/>
  <c r="H112" i="34"/>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F40" i="40" s="1"/>
  <c r="AA40" i="40" s="1"/>
  <c r="B118" i="40"/>
  <c r="J39" i="40" s="1"/>
  <c r="B116" i="40"/>
  <c r="F38" i="40"/>
  <c r="AA38" i="40" s="1"/>
  <c r="D115" i="40"/>
  <c r="E115" i="40"/>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c r="I96" i="40" s="1"/>
  <c r="J96" i="40"/>
  <c r="K96" i="40" s="1"/>
  <c r="L96" i="40" s="1"/>
  <c r="M96" i="40" s="1"/>
  <c r="B95" i="40"/>
  <c r="D92" i="40"/>
  <c r="E92" i="40" s="1"/>
  <c r="F92" i="40" s="1"/>
  <c r="G92" i="40" s="1"/>
  <c r="D90" i="40"/>
  <c r="E90" i="40"/>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c r="Q38" i="40"/>
  <c r="Z38" i="40" s="1"/>
  <c r="J38" i="40"/>
  <c r="AC38" i="40" s="1"/>
  <c r="H38" i="40"/>
  <c r="AB38" i="40"/>
  <c r="Q37" i="40"/>
  <c r="Z37" i="40"/>
  <c r="Q36" i="40"/>
  <c r="Z36" i="40"/>
  <c r="Q35" i="40"/>
  <c r="Z35" i="40"/>
  <c r="Q34" i="40"/>
  <c r="Z34" i="40" s="1"/>
  <c r="J34" i="40"/>
  <c r="AC34" i="40" s="1"/>
  <c r="H34" i="40"/>
  <c r="AB34" i="40"/>
  <c r="F34" i="40"/>
  <c r="AA34" i="40"/>
  <c r="Q33" i="40"/>
  <c r="Z33" i="40"/>
  <c r="Q32" i="40"/>
  <c r="Z32" i="40"/>
  <c r="Q31" i="40"/>
  <c r="Z31" i="40" s="1"/>
  <c r="Q30" i="40"/>
  <c r="Z30" i="40" s="1"/>
  <c r="Q28" i="40"/>
  <c r="Z28" i="40"/>
  <c r="Q27" i="40"/>
  <c r="Z27" i="40"/>
  <c r="Q23" i="40"/>
  <c r="Z23" i="40"/>
  <c r="Q21" i="40"/>
  <c r="Z21" i="40"/>
  <c r="Q19" i="40"/>
  <c r="Z19" i="40" s="1"/>
  <c r="Q17" i="40"/>
  <c r="Z17" i="40" s="1"/>
  <c r="Q15" i="40"/>
  <c r="Z15" i="40"/>
  <c r="Q14" i="40"/>
  <c r="Z14" i="40"/>
  <c r="Q13" i="40"/>
  <c r="Z13" i="40"/>
  <c r="Q12" i="40"/>
  <c r="Z12" i="40"/>
  <c r="Q11" i="40"/>
  <c r="Z11" i="40" s="1"/>
  <c r="Q10" i="40"/>
  <c r="Z10" i="40" s="1"/>
  <c r="Q9" i="40"/>
  <c r="Z9" i="40"/>
  <c r="J9" i="40"/>
  <c r="W9" i="40"/>
  <c r="H9" i="40"/>
  <c r="AB9" i="40"/>
  <c r="F9" i="40"/>
  <c r="S9" i="40"/>
  <c r="J8" i="40"/>
  <c r="AC8" i="40" s="1"/>
  <c r="H8" i="40"/>
  <c r="AB8" i="40" s="1"/>
  <c r="F8" i="40"/>
  <c r="AA8" i="40"/>
  <c r="J38" i="39"/>
  <c r="W38" i="39"/>
  <c r="H38" i="39"/>
  <c r="AB38" i="39"/>
  <c r="F38" i="39"/>
  <c r="AA38" i="39"/>
  <c r="D124" i="39"/>
  <c r="E124" i="39" s="1"/>
  <c r="F124" i="39"/>
  <c r="G124" i="39" s="1"/>
  <c r="H124" i="39"/>
  <c r="I124" i="39"/>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c r="D105" i="39"/>
  <c r="E105" i="39"/>
  <c r="F105" i="39"/>
  <c r="G105" i="39" s="1"/>
  <c r="H105" i="39" s="1"/>
  <c r="I105" i="39" s="1"/>
  <c r="J105" i="39" s="1"/>
  <c r="K105" i="39"/>
  <c r="L105" i="39" s="1"/>
  <c r="M105" i="39" s="1"/>
  <c r="D101" i="39"/>
  <c r="D99" i="39"/>
  <c r="E99" i="39" s="1"/>
  <c r="F99" i="39" s="1"/>
  <c r="G99" i="39" s="1"/>
  <c r="Q39" i="39"/>
  <c r="Z39" i="39"/>
  <c r="Q40" i="39"/>
  <c r="Z40" i="39"/>
  <c r="Q41" i="39"/>
  <c r="Z41" i="39"/>
  <c r="Q42" i="39"/>
  <c r="Z42" i="39" s="1"/>
  <c r="Q43" i="39"/>
  <c r="Z43" i="39" s="1"/>
  <c r="Q44" i="39"/>
  <c r="Z44" i="39"/>
  <c r="Q45" i="39"/>
  <c r="Z45" i="39"/>
  <c r="Q38" i="39"/>
  <c r="Z38" i="39"/>
  <c r="Q36" i="39"/>
  <c r="Z36" i="39"/>
  <c r="Q37" i="39"/>
  <c r="Z37" i="39" s="1"/>
  <c r="B131" i="39"/>
  <c r="B129" i="39"/>
  <c r="H44" i="39"/>
  <c r="B127" i="39"/>
  <c r="J43" i="39"/>
  <c r="D126" i="39"/>
  <c r="E126" i="39"/>
  <c r="F126" i="39" s="1"/>
  <c r="G126" i="39" s="1"/>
  <c r="H126" i="39" s="1"/>
  <c r="I126" i="39" s="1"/>
  <c r="J126" i="39" s="1"/>
  <c r="K126" i="39" s="1"/>
  <c r="L126" i="39" s="1"/>
  <c r="M126" i="39"/>
  <c r="D122" i="39"/>
  <c r="E122" i="39"/>
  <c r="F122" i="39" s="1"/>
  <c r="G122" i="39" s="1"/>
  <c r="H122" i="39" s="1"/>
  <c r="I122" i="39" s="1"/>
  <c r="J122" i="39" s="1"/>
  <c r="K122" i="39" s="1"/>
  <c r="L122" i="39" s="1"/>
  <c r="M122" i="39" s="1"/>
  <c r="B104" i="39"/>
  <c r="D97" i="39"/>
  <c r="J23" i="39"/>
  <c r="AC23" i="39"/>
  <c r="D95" i="39"/>
  <c r="E95" i="39" s="1"/>
  <c r="F95" i="39" s="1"/>
  <c r="G95" i="39" s="1"/>
  <c r="D93" i="39"/>
  <c r="E93" i="39"/>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c r="Q31" i="39"/>
  <c r="Z31" i="39"/>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c r="Q31" i="37"/>
  <c r="Z31" i="37" s="1"/>
  <c r="J31" i="37"/>
  <c r="AC31" i="37" s="1"/>
  <c r="Q30" i="37"/>
  <c r="Z30" i="37" s="1"/>
  <c r="J30" i="37"/>
  <c r="AC30" i="37"/>
  <c r="H30" i="37"/>
  <c r="AB30" i="37"/>
  <c r="F30" i="37"/>
  <c r="AA30" i="37"/>
  <c r="Q29" i="37"/>
  <c r="Z29" i="37"/>
  <c r="H29" i="37"/>
  <c r="AB29" i="37"/>
  <c r="Q28" i="37"/>
  <c r="Z28" i="37" s="1"/>
  <c r="Q27" i="37"/>
  <c r="Z27" i="37" s="1"/>
  <c r="Q26" i="37"/>
  <c r="Z26" i="37" s="1"/>
  <c r="F26" i="37"/>
  <c r="AA26" i="37" s="1"/>
  <c r="Q25" i="37"/>
  <c r="Z25" i="37" s="1"/>
  <c r="Q23" i="37"/>
  <c r="Z23" i="37"/>
  <c r="Q19" i="37"/>
  <c r="Z19" i="37"/>
  <c r="Q17" i="37"/>
  <c r="Z17" i="37"/>
  <c r="Q15" i="37"/>
  <c r="Z15" i="37" s="1"/>
  <c r="Q14" i="37"/>
  <c r="Z14" i="37" s="1"/>
  <c r="Q13" i="37"/>
  <c r="Z13" i="37" s="1"/>
  <c r="Q12" i="37"/>
  <c r="Z12" i="37" s="1"/>
  <c r="Q11" i="37"/>
  <c r="Z11" i="37" s="1"/>
  <c r="Q10" i="37"/>
  <c r="Z10" i="37"/>
  <c r="F10" i="37"/>
  <c r="Q9" i="37"/>
  <c r="Z9" i="37"/>
  <c r="J8" i="37"/>
  <c r="W8" i="37" s="1"/>
  <c r="H8" i="37"/>
  <c r="AB8" i="37"/>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c r="H83" i="36" s="1"/>
  <c r="I83" i="36" s="1"/>
  <c r="J83" i="36" s="1"/>
  <c r="K83" i="36" s="1"/>
  <c r="L83" i="36" s="1"/>
  <c r="M83" i="36" s="1"/>
  <c r="D78" i="36"/>
  <c r="E78" i="36"/>
  <c r="F78" i="36"/>
  <c r="G78" i="36" s="1"/>
  <c r="H78" i="36"/>
  <c r="I78" i="36"/>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54" i="36"/>
  <c r="G54" i="36"/>
  <c r="H54" i="36" s="1"/>
  <c r="I54" i="36" s="1"/>
  <c r="C51" i="36"/>
  <c r="P37" i="36"/>
  <c r="P36" i="36"/>
  <c r="V35" i="36"/>
  <c r="T35" i="36"/>
  <c r="R35" i="36"/>
  <c r="P35" i="36"/>
  <c r="Q34" i="36"/>
  <c r="Z34" i="36" s="1"/>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s="1"/>
  <c r="H24" i="36"/>
  <c r="AB24" i="36" s="1"/>
  <c r="Q23" i="36"/>
  <c r="Z23" i="36" s="1"/>
  <c r="J23" i="36"/>
  <c r="AC23" i="36" s="1"/>
  <c r="H23" i="36"/>
  <c r="AB23" i="36"/>
  <c r="F23" i="36"/>
  <c r="AA23" i="36" s="1"/>
  <c r="Q22" i="36"/>
  <c r="Z22" i="36" s="1"/>
  <c r="J22" i="36"/>
  <c r="AC22" i="36" s="1"/>
  <c r="Q20" i="36"/>
  <c r="Z20" i="36"/>
  <c r="Q16" i="36"/>
  <c r="Z16" i="36"/>
  <c r="Q14" i="36"/>
  <c r="Z14" i="36"/>
  <c r="Q13" i="36"/>
  <c r="Z13" i="36"/>
  <c r="Q12" i="36"/>
  <c r="Z12" i="36"/>
  <c r="Q11" i="36"/>
  <c r="Z11" i="36" s="1"/>
  <c r="Q10" i="36"/>
  <c r="Z10" i="36" s="1"/>
  <c r="F10" i="36"/>
  <c r="AA10" i="36" s="1"/>
  <c r="Q9" i="36"/>
  <c r="Z9" i="36"/>
  <c r="J9" i="36"/>
  <c r="AC9" i="36" s="1"/>
  <c r="H9" i="36"/>
  <c r="AB9" i="36" s="1"/>
  <c r="F9" i="36"/>
  <c r="AA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c r="AB36" i="35" s="1"/>
  <c r="B99" i="35"/>
  <c r="B97" i="35"/>
  <c r="F34" i="35" s="1"/>
  <c r="AA34" i="35" s="1"/>
  <c r="B77" i="35"/>
  <c r="B75" i="35"/>
  <c r="J24" i="35"/>
  <c r="AC24" i="35" s="1"/>
  <c r="B73" i="35"/>
  <c r="H23" i="35" s="1"/>
  <c r="U23" i="35" s="1"/>
  <c r="B57" i="35"/>
  <c r="B61" i="35"/>
  <c r="B59" i="35"/>
  <c r="J12" i="35" s="1"/>
  <c r="W12" i="35" s="1"/>
  <c r="B131" i="34"/>
  <c r="B129" i="34"/>
  <c r="B127" i="34"/>
  <c r="B99" i="34"/>
  <c r="B97" i="34"/>
  <c r="B95" i="34"/>
  <c r="B93" i="34"/>
  <c r="B75" i="34"/>
  <c r="B73" i="34"/>
  <c r="B71" i="34"/>
  <c r="B130" i="33"/>
  <c r="H46" i="33" s="1"/>
  <c r="B128" i="33"/>
  <c r="B126" i="33"/>
  <c r="B98" i="33"/>
  <c r="B96" i="33"/>
  <c r="B94" i="33"/>
  <c r="B74" i="33"/>
  <c r="B72" i="33"/>
  <c r="B70" i="33"/>
  <c r="J12" i="33" s="1"/>
  <c r="D96" i="35"/>
  <c r="E96" i="35"/>
  <c r="F96" i="35"/>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c r="D66" i="35"/>
  <c r="E66" i="35"/>
  <c r="F66" i="35" s="1"/>
  <c r="G66" i="35" s="1"/>
  <c r="D64" i="35"/>
  <c r="E64" i="35"/>
  <c r="F64" i="35" s="1"/>
  <c r="G64" i="35" s="1"/>
  <c r="J14" i="35"/>
  <c r="W14" i="35" s="1"/>
  <c r="F56" i="35"/>
  <c r="G56" i="35"/>
  <c r="H56" i="35" s="1"/>
  <c r="I56" i="35" s="1"/>
  <c r="C53" i="35"/>
  <c r="J9" i="35" s="1"/>
  <c r="P39" i="35"/>
  <c r="P38" i="35"/>
  <c r="V37" i="35"/>
  <c r="T37" i="35"/>
  <c r="R37" i="35"/>
  <c r="P37" i="35"/>
  <c r="Q36" i="35"/>
  <c r="Z36" i="35"/>
  <c r="J36" i="35"/>
  <c r="AC36" i="35"/>
  <c r="Q35" i="35"/>
  <c r="Z35" i="35" s="1"/>
  <c r="Q34" i="35"/>
  <c r="Z34" i="35"/>
  <c r="Q33" i="35"/>
  <c r="Z33" i="35" s="1"/>
  <c r="Q32" i="35"/>
  <c r="Z32" i="35" s="1"/>
  <c r="H32" i="35"/>
  <c r="AB32" i="35" s="1"/>
  <c r="F32" i="35"/>
  <c r="AA32" i="35" s="1"/>
  <c r="Q31" i="35"/>
  <c r="Z31" i="35" s="1"/>
  <c r="AC31" i="35"/>
  <c r="AB31" i="35"/>
  <c r="AA31" i="35"/>
  <c r="Q30" i="35"/>
  <c r="Z30" i="35"/>
  <c r="Q29" i="35"/>
  <c r="Z29" i="35" s="1"/>
  <c r="Q28" i="35"/>
  <c r="Z28" i="35"/>
  <c r="J28" i="35"/>
  <c r="AC28" i="35"/>
  <c r="H28" i="35"/>
  <c r="AB28" i="35" s="1"/>
  <c r="F28" i="35"/>
  <c r="AA28" i="35"/>
  <c r="Q27" i="35"/>
  <c r="Z27" i="35" s="1"/>
  <c r="Q26" i="35"/>
  <c r="Z26" i="35" s="1"/>
  <c r="Q25" i="35"/>
  <c r="Z25" i="35" s="1"/>
  <c r="Q24" i="35"/>
  <c r="Z24" i="35" s="1"/>
  <c r="Q23" i="35"/>
  <c r="Z23" i="35" s="1"/>
  <c r="Q22" i="35"/>
  <c r="Z22" i="35"/>
  <c r="Q20" i="35"/>
  <c r="Z20" i="35"/>
  <c r="Q16" i="35"/>
  <c r="Z16" i="35" s="1"/>
  <c r="Q14" i="35"/>
  <c r="Z14" i="35"/>
  <c r="Q13" i="35"/>
  <c r="Z13" i="35" s="1"/>
  <c r="Q12" i="35"/>
  <c r="Z12" i="35" s="1"/>
  <c r="H12" i="35"/>
  <c r="F12" i="35"/>
  <c r="S12" i="35" s="1"/>
  <c r="Q11" i="35"/>
  <c r="Z11" i="35" s="1"/>
  <c r="Q10" i="35"/>
  <c r="Z10" i="35" s="1"/>
  <c r="Q9" i="35"/>
  <c r="Z9" i="35"/>
  <c r="J8" i="35"/>
  <c r="W8" i="35" s="1"/>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c r="F124" i="34"/>
  <c r="G124" i="34" s="1"/>
  <c r="H124" i="34" s="1"/>
  <c r="I124" i="34" s="1"/>
  <c r="J124" i="34" s="1"/>
  <c r="K124" i="34" s="1"/>
  <c r="L124" i="34" s="1"/>
  <c r="M124" i="34" s="1"/>
  <c r="H43" i="34"/>
  <c r="AB43" i="34" s="1"/>
  <c r="D118" i="34"/>
  <c r="E118" i="34"/>
  <c r="F118" i="34"/>
  <c r="G118" i="34" s="1"/>
  <c r="D116" i="34"/>
  <c r="E116" i="34" s="1"/>
  <c r="F116" i="34" s="1"/>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c r="D86" i="34"/>
  <c r="E86" i="34"/>
  <c r="F86" i="34" s="1"/>
  <c r="G86" i="34" s="1"/>
  <c r="D82" i="34"/>
  <c r="E82" i="34"/>
  <c r="F82" i="34" s="1"/>
  <c r="G82" i="34" s="1"/>
  <c r="D80" i="34"/>
  <c r="E80" i="34" s="1"/>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s="1"/>
  <c r="Q42" i="34"/>
  <c r="Z42" i="34"/>
  <c r="Q41" i="34"/>
  <c r="Z41" i="34"/>
  <c r="Q40" i="34"/>
  <c r="Z40" i="34" s="1"/>
  <c r="Q39" i="34"/>
  <c r="Z39" i="34"/>
  <c r="H39" i="34"/>
  <c r="AB39" i="34"/>
  <c r="Q38" i="34"/>
  <c r="Z38" i="34" s="1"/>
  <c r="Q37" i="34"/>
  <c r="Z37" i="34"/>
  <c r="Q36" i="34"/>
  <c r="Z36" i="34"/>
  <c r="Q35" i="34"/>
  <c r="Z35" i="34" s="1"/>
  <c r="Q34" i="34"/>
  <c r="Z34" i="34"/>
  <c r="J34" i="34"/>
  <c r="AC34" i="34"/>
  <c r="H34" i="34"/>
  <c r="AB34" i="34" s="1"/>
  <c r="F34" i="34"/>
  <c r="AA34" i="34"/>
  <c r="Q33" i="34"/>
  <c r="Z33" i="34"/>
  <c r="Q32" i="34"/>
  <c r="Z32" i="34" s="1"/>
  <c r="Q31" i="34"/>
  <c r="Z31" i="34"/>
  <c r="Q30" i="34"/>
  <c r="Z30" i="34"/>
  <c r="Q29" i="34"/>
  <c r="Z29" i="34" s="1"/>
  <c r="Q28" i="34"/>
  <c r="Z28" i="34"/>
  <c r="Q27" i="34"/>
  <c r="Z27" i="34"/>
  <c r="Q25" i="34"/>
  <c r="Z25" i="34" s="1"/>
  <c r="Q23" i="34"/>
  <c r="Z23" i="34"/>
  <c r="C23" i="34"/>
  <c r="Q19" i="34"/>
  <c r="Z19" i="34" s="1"/>
  <c r="C19" i="34"/>
  <c r="Q17" i="34"/>
  <c r="Z17" i="34"/>
  <c r="C17" i="34"/>
  <c r="Q15" i="34"/>
  <c r="Z15" i="34" s="1"/>
  <c r="Q14" i="34"/>
  <c r="Z14" i="34" s="1"/>
  <c r="Q13" i="34"/>
  <c r="Z13" i="34" s="1"/>
  <c r="Q12" i="34"/>
  <c r="Z12" i="34" s="1"/>
  <c r="J12" i="34"/>
  <c r="W12" i="34"/>
  <c r="H12" i="34"/>
  <c r="F12" i="34"/>
  <c r="S12" i="34"/>
  <c r="Q11" i="34"/>
  <c r="Z11" i="34" s="1"/>
  <c r="Q10" i="34"/>
  <c r="Z10" i="34"/>
  <c r="F10" i="34"/>
  <c r="AA10" i="34" s="1"/>
  <c r="Q9" i="34"/>
  <c r="Z9" i="34" s="1"/>
  <c r="J9" i="34"/>
  <c r="AC9" i="34"/>
  <c r="H9" i="34"/>
  <c r="F9" i="34"/>
  <c r="AA9" i="34" s="1"/>
  <c r="J8" i="34"/>
  <c r="AC8" i="34" s="1"/>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c r="Q40" i="33"/>
  <c r="Z40" i="33" s="1"/>
  <c r="J40" i="33"/>
  <c r="AC40" i="33" s="1"/>
  <c r="H40" i="33"/>
  <c r="AB40" i="33" s="1"/>
  <c r="AA40" i="33"/>
  <c r="Q39" i="33"/>
  <c r="Z39" i="33" s="1"/>
  <c r="J39" i="33"/>
  <c r="AC39" i="33" s="1"/>
  <c r="Q38" i="33"/>
  <c r="Z38" i="33"/>
  <c r="J38" i="33"/>
  <c r="AC38" i="33"/>
  <c r="H38" i="33"/>
  <c r="AB38" i="33" s="1"/>
  <c r="F38" i="33"/>
  <c r="AA38" i="33"/>
  <c r="Q37" i="33"/>
  <c r="Z37" i="33" s="1"/>
  <c r="Q36" i="33"/>
  <c r="Z36" i="33" s="1"/>
  <c r="Q35" i="33"/>
  <c r="Z35" i="33"/>
  <c r="H35" i="33"/>
  <c r="AB35" i="33"/>
  <c r="Q34" i="33"/>
  <c r="Z34" i="33" s="1"/>
  <c r="Q33" i="33"/>
  <c r="Z33" i="33"/>
  <c r="J33" i="33"/>
  <c r="H33" i="33"/>
  <c r="AB33" i="33" s="1"/>
  <c r="F33" i="33"/>
  <c r="AA33" i="33"/>
  <c r="Q32" i="33"/>
  <c r="Z32" i="33"/>
  <c r="Q31" i="33"/>
  <c r="Z31" i="33" s="1"/>
  <c r="Q30" i="33"/>
  <c r="Z30" i="33"/>
  <c r="Q29" i="33"/>
  <c r="Z29" i="33" s="1"/>
  <c r="Q28" i="33"/>
  <c r="Z28" i="33" s="1"/>
  <c r="Q27" i="33"/>
  <c r="Z27" i="33"/>
  <c r="Q26" i="33"/>
  <c r="Z26" i="33"/>
  <c r="Q25" i="33"/>
  <c r="Z25" i="33" s="1"/>
  <c r="Q23" i="33"/>
  <c r="Z23" i="33"/>
  <c r="Q19" i="33"/>
  <c r="Z19" i="33" s="1"/>
  <c r="Q17" i="33"/>
  <c r="Z17" i="33" s="1"/>
  <c r="Q15" i="33"/>
  <c r="Z15" i="33"/>
  <c r="F15" i="33"/>
  <c r="AA15" i="33"/>
  <c r="Q14" i="33"/>
  <c r="Z14" i="33" s="1"/>
  <c r="Q13" i="33"/>
  <c r="Z13" i="33"/>
  <c r="Q12" i="33"/>
  <c r="Z12" i="33" s="1"/>
  <c r="Q11" i="33"/>
  <c r="Z11" i="33"/>
  <c r="Q10" i="33"/>
  <c r="Z10" i="33"/>
  <c r="Q9" i="33"/>
  <c r="Z9" i="33" s="1"/>
  <c r="H9" i="33"/>
  <c r="AB9" i="33" s="1"/>
  <c r="F9" i="33"/>
  <c r="AA9" i="33" s="1"/>
  <c r="J8" i="33"/>
  <c r="AC8" i="33"/>
  <c r="H8" i="33"/>
  <c r="AB8" i="33"/>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c r="G125" i="21" s="1"/>
  <c r="D123" i="21"/>
  <c r="E123" i="21" s="1"/>
  <c r="F123" i="21" s="1"/>
  <c r="G123" i="21" s="1"/>
  <c r="H123" i="21" s="1"/>
  <c r="I123" i="21" s="1"/>
  <c r="J123" i="21" s="1"/>
  <c r="K123" i="21" s="1"/>
  <c r="L123" i="21" s="1"/>
  <c r="M123" i="21" s="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s="1"/>
  <c r="B96" i="21"/>
  <c r="B94" i="21"/>
  <c r="B92" i="21"/>
  <c r="B90" i="21"/>
  <c r="J27" i="21"/>
  <c r="W27" i="21" s="1"/>
  <c r="B74" i="21"/>
  <c r="B72" i="21"/>
  <c r="H13" i="21" s="1"/>
  <c r="B70" i="21"/>
  <c r="F12" i="21"/>
  <c r="S12" i="21"/>
  <c r="C19" i="21"/>
  <c r="C17" i="21"/>
  <c r="C23" i="21"/>
  <c r="Q9" i="21"/>
  <c r="Z9" i="21"/>
  <c r="Q10" i="21"/>
  <c r="Z10" i="21"/>
  <c r="Q11" i="21"/>
  <c r="Z11" i="21" s="1"/>
  <c r="Q12" i="21"/>
  <c r="Z12" i="21"/>
  <c r="Q13" i="21"/>
  <c r="Z13" i="21" s="1"/>
  <c r="Q14" i="21"/>
  <c r="Z14" i="21" s="1"/>
  <c r="Q15" i="21"/>
  <c r="Z15" i="21"/>
  <c r="Q17" i="21"/>
  <c r="Z17" i="21"/>
  <c r="Q19" i="21"/>
  <c r="Z19" i="21" s="1"/>
  <c r="Q23" i="21"/>
  <c r="Z23" i="21"/>
  <c r="Q25" i="21"/>
  <c r="Z25" i="21" s="1"/>
  <c r="Q26" i="21"/>
  <c r="Z26" i="21" s="1"/>
  <c r="Q27" i="21"/>
  <c r="Z27" i="21"/>
  <c r="Q28" i="21"/>
  <c r="Z28" i="21"/>
  <c r="Q29" i="21"/>
  <c r="Z29" i="21" s="1"/>
  <c r="Q30" i="21"/>
  <c r="Z30" i="21"/>
  <c r="Q31" i="21"/>
  <c r="Z31" i="21" s="1"/>
  <c r="Q32" i="21"/>
  <c r="Z32" i="21" s="1"/>
  <c r="Q33" i="21"/>
  <c r="Z33" i="21"/>
  <c r="Q34" i="21"/>
  <c r="Z34" i="21"/>
  <c r="J35" i="21"/>
  <c r="W35" i="21" s="1"/>
  <c r="Q35" i="21"/>
  <c r="Z35" i="21"/>
  <c r="Q36" i="21"/>
  <c r="Z36" i="21" s="1"/>
  <c r="Q37" i="21"/>
  <c r="Z37" i="21" s="1"/>
  <c r="J38" i="21"/>
  <c r="W38" i="21"/>
  <c r="Q38" i="21"/>
  <c r="Z38" i="21"/>
  <c r="J39" i="21"/>
  <c r="AC39" i="21" s="1"/>
  <c r="Q39" i="21"/>
  <c r="Z39" i="21"/>
  <c r="H40" i="21"/>
  <c r="AB40" i="21" s="1"/>
  <c r="Q40" i="21"/>
  <c r="Z40" i="21" s="1"/>
  <c r="Q41" i="21"/>
  <c r="Z41" i="21"/>
  <c r="Q42" i="21"/>
  <c r="Z42" i="21"/>
  <c r="J43" i="21"/>
  <c r="AC43" i="21" s="1"/>
  <c r="Q43" i="21"/>
  <c r="Z43" i="2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H34" i="21"/>
  <c r="AB34" i="21" s="1"/>
  <c r="F43" i="21"/>
  <c r="S43" i="21"/>
  <c r="H38" i="21"/>
  <c r="U38" i="21"/>
  <c r="H43" i="21"/>
  <c r="AB43" i="21" s="1"/>
  <c r="F38" i="21"/>
  <c r="S38" i="21"/>
  <c r="F36" i="21"/>
  <c r="S36" i="21" s="1"/>
  <c r="F39" i="21"/>
  <c r="AA39" i="21" s="1"/>
  <c r="J40" i="21"/>
  <c r="W40" i="21"/>
  <c r="H35" i="21"/>
  <c r="AB35" i="21"/>
  <c r="J8" i="21"/>
  <c r="AC8" i="21" s="1"/>
  <c r="H8" i="21"/>
  <c r="U8" i="21"/>
  <c r="H10" i="21"/>
  <c r="AB10" i="21" s="1"/>
  <c r="H39" i="21"/>
  <c r="U39" i="21" s="1"/>
  <c r="J34" i="21"/>
  <c r="W34" i="21"/>
  <c r="H36" i="21"/>
  <c r="U36" i="21"/>
  <c r="F35" i="21"/>
  <c r="AA35" i="21" s="1"/>
  <c r="J10" i="21"/>
  <c r="AC10" i="21" s="1"/>
  <c r="H26" i="21"/>
  <c r="AB26" i="21" s="1"/>
  <c r="AB19" i="21"/>
  <c r="J19" i="21"/>
  <c r="W19" i="21"/>
  <c r="J12" i="21"/>
  <c r="AC12" i="21" s="1"/>
  <c r="H12" i="21"/>
  <c r="AB12" i="21"/>
  <c r="J26" i="21"/>
  <c r="W26" i="21"/>
  <c r="F26" i="21"/>
  <c r="S26" i="21"/>
  <c r="AB41" i="21"/>
  <c r="S41" i="21"/>
  <c r="AA41" i="21"/>
  <c r="J44" i="39"/>
  <c r="AC44" i="39" s="1"/>
  <c r="H36" i="39"/>
  <c r="AB36" i="39" s="1"/>
  <c r="J35" i="39"/>
  <c r="AC35" i="39" s="1"/>
  <c r="F35" i="39"/>
  <c r="AA35" i="39"/>
  <c r="U9" i="39"/>
  <c r="W40" i="39"/>
  <c r="U30" i="37"/>
  <c r="W31" i="37"/>
  <c r="E103" i="37"/>
  <c r="F103" i="37" s="1"/>
  <c r="G103" i="37" s="1"/>
  <c r="H103" i="37" s="1"/>
  <c r="I103" i="37"/>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c r="AC27" i="35"/>
  <c r="W28" i="35"/>
  <c r="U31" i="35"/>
  <c r="S34" i="35"/>
  <c r="W36" i="35"/>
  <c r="W22" i="35"/>
  <c r="S31" i="35"/>
  <c r="F36" i="34"/>
  <c r="J35" i="34"/>
  <c r="W9" i="34"/>
  <c r="S34" i="34"/>
  <c r="U34" i="34"/>
  <c r="H39" i="33"/>
  <c r="AB39" i="33"/>
  <c r="F26" i="33"/>
  <c r="AA26" i="33"/>
  <c r="S9" i="33"/>
  <c r="U33" i="33"/>
  <c r="U35" i="33"/>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c r="H40" i="39"/>
  <c r="AB40" i="39" s="1"/>
  <c r="H39" i="39"/>
  <c r="U39" i="39"/>
  <c r="S38" i="39"/>
  <c r="S34" i="39"/>
  <c r="H34" i="39"/>
  <c r="U34" i="39"/>
  <c r="E109" i="39"/>
  <c r="F109" i="39" s="1"/>
  <c r="G109" i="39" s="1"/>
  <c r="H109" i="39" s="1"/>
  <c r="I109" i="39" s="1"/>
  <c r="J109" i="39" s="1"/>
  <c r="K109" i="39" s="1"/>
  <c r="L109" i="39" s="1"/>
  <c r="M109" i="39" s="1"/>
  <c r="H31" i="39"/>
  <c r="AB31" i="39" s="1"/>
  <c r="F31" i="39"/>
  <c r="AA31" i="39"/>
  <c r="E101" i="39"/>
  <c r="H19" i="39"/>
  <c r="AB19" i="39" s="1"/>
  <c r="F19" i="39"/>
  <c r="AA19" i="39"/>
  <c r="H17" i="39"/>
  <c r="AB17" i="39"/>
  <c r="F17" i="39"/>
  <c r="AA17" i="39" s="1"/>
  <c r="J23" i="40"/>
  <c r="AC23" i="40"/>
  <c r="F21" i="40"/>
  <c r="AA21" i="40" s="1"/>
  <c r="J21" i="40"/>
  <c r="W21" i="40" s="1"/>
  <c r="H42" i="39"/>
  <c r="AB42" i="39"/>
  <c r="J34" i="39"/>
  <c r="AC34" i="39"/>
  <c r="J31" i="39"/>
  <c r="F101" i="39"/>
  <c r="H27" i="39"/>
  <c r="U27" i="39"/>
  <c r="J19" i="39"/>
  <c r="AC19" i="39" s="1"/>
  <c r="J17" i="39"/>
  <c r="J27" i="39"/>
  <c r="AC27" i="39"/>
  <c r="F27" i="39"/>
  <c r="F11" i="21"/>
  <c r="S11" i="21" s="1"/>
  <c r="S40" i="21"/>
  <c r="U34" i="21"/>
  <c r="C25" i="39"/>
  <c r="C27" i="39"/>
  <c r="H11" i="39"/>
  <c r="S40" i="39"/>
  <c r="C15" i="39"/>
  <c r="H32" i="33"/>
  <c r="AB32" i="33"/>
  <c r="H11" i="21"/>
  <c r="U11" i="21" s="1"/>
  <c r="J11" i="21"/>
  <c r="W11" i="21" s="1"/>
  <c r="H37" i="40"/>
  <c r="U37" i="40" s="1"/>
  <c r="H36" i="40"/>
  <c r="AB36" i="40" s="1"/>
  <c r="F35" i="40"/>
  <c r="AA35" i="40"/>
  <c r="H23" i="40"/>
  <c r="AB23" i="40"/>
  <c r="H17" i="40"/>
  <c r="U17" i="40" s="1"/>
  <c r="J15" i="40"/>
  <c r="W15" i="40" s="1"/>
  <c r="J11" i="40"/>
  <c r="W11" i="40" s="1"/>
  <c r="AB8" i="39"/>
  <c r="AC12" i="34"/>
  <c r="AA12" i="34"/>
  <c r="W32" i="40"/>
  <c r="F37" i="39"/>
  <c r="AA37" i="39" s="1"/>
  <c r="J34" i="36"/>
  <c r="U30" i="36"/>
  <c r="J30" i="35"/>
  <c r="W30" i="35"/>
  <c r="H30" i="35"/>
  <c r="AB30" i="35" s="1"/>
  <c r="F22" i="35"/>
  <c r="AA22" i="35" s="1"/>
  <c r="H10" i="35"/>
  <c r="U10" i="35" s="1"/>
  <c r="AC16" i="36"/>
  <c r="F33" i="36"/>
  <c r="AA33" i="36" s="1"/>
  <c r="W30" i="36"/>
  <c r="H16" i="36"/>
  <c r="AB16" i="36"/>
  <c r="E85" i="36"/>
  <c r="F85" i="36" s="1"/>
  <c r="G85" i="36"/>
  <c r="H85" i="36"/>
  <c r="I85" i="36"/>
  <c r="J85" i="36" s="1"/>
  <c r="K85" i="36" s="1"/>
  <c r="L85" i="36" s="1"/>
  <c r="M85" i="36" s="1"/>
  <c r="J29" i="36"/>
  <c r="AC29" i="36"/>
  <c r="F12" i="36"/>
  <c r="F24" i="36"/>
  <c r="AA24" i="36" s="1"/>
  <c r="F34" i="36"/>
  <c r="S34" i="36"/>
  <c r="S10" i="36"/>
  <c r="AB8" i="36"/>
  <c r="S8" i="36"/>
  <c r="U8" i="35"/>
  <c r="F14" i="35"/>
  <c r="AA14" i="35" s="1"/>
  <c r="J32" i="35"/>
  <c r="AC32" i="35" s="1"/>
  <c r="J16" i="35"/>
  <c r="AC16" i="35" s="1"/>
  <c r="H16" i="35"/>
  <c r="U16" i="35" s="1"/>
  <c r="F16" i="35"/>
  <c r="S16" i="35"/>
  <c r="H14" i="35"/>
  <c r="AB14" i="35" s="1"/>
  <c r="J29" i="35"/>
  <c r="H33" i="35"/>
  <c r="U33" i="35" s="1"/>
  <c r="AB33" i="35"/>
  <c r="AC8" i="35"/>
  <c r="J20" i="35"/>
  <c r="W20" i="35" s="1"/>
  <c r="F35" i="37"/>
  <c r="S35" i="37" s="1"/>
  <c r="E101" i="37"/>
  <c r="F101" i="37"/>
  <c r="G101" i="37"/>
  <c r="H101" i="37" s="1"/>
  <c r="I101" i="37" s="1"/>
  <c r="J101" i="37" s="1"/>
  <c r="K101" i="37" s="1"/>
  <c r="L101" i="37" s="1"/>
  <c r="M101" i="37" s="1"/>
  <c r="J34" i="37"/>
  <c r="W34" i="37" s="1"/>
  <c r="AB34" i="37"/>
  <c r="J33" i="37"/>
  <c r="AC33" i="37" s="1"/>
  <c r="H40" i="34"/>
  <c r="U40" i="34"/>
  <c r="E114" i="34"/>
  <c r="F114" i="34" s="1"/>
  <c r="H36" i="34"/>
  <c r="U36" i="34"/>
  <c r="F37" i="34"/>
  <c r="AA37" i="34" s="1"/>
  <c r="S35" i="34"/>
  <c r="F27" i="34"/>
  <c r="AA27" i="34"/>
  <c r="F25" i="34"/>
  <c r="S25" i="34" s="1"/>
  <c r="H23" i="34"/>
  <c r="U23" i="34"/>
  <c r="J23" i="34"/>
  <c r="F19" i="34"/>
  <c r="H17" i="34"/>
  <c r="U17" i="34" s="1"/>
  <c r="F15" i="34"/>
  <c r="S15" i="34" s="1"/>
  <c r="J15" i="34"/>
  <c r="W15" i="34" s="1"/>
  <c r="H15" i="34"/>
  <c r="AB15" i="34" s="1"/>
  <c r="S9" i="34"/>
  <c r="W8" i="34"/>
  <c r="J28" i="34"/>
  <c r="W28" i="34" s="1"/>
  <c r="F41" i="33"/>
  <c r="AA41" i="33" s="1"/>
  <c r="S38" i="33"/>
  <c r="E113" i="33"/>
  <c r="F32" i="33"/>
  <c r="AA32" i="33"/>
  <c r="J19" i="33"/>
  <c r="AC19" i="33" s="1"/>
  <c r="J15" i="33"/>
  <c r="AC15" i="33" s="1"/>
  <c r="F11" i="33"/>
  <c r="AA11" i="33" s="1"/>
  <c r="S26" i="33"/>
  <c r="U40" i="33"/>
  <c r="W40" i="33"/>
  <c r="U8" i="33"/>
  <c r="S8" i="33"/>
  <c r="F37" i="40"/>
  <c r="AA37" i="40" s="1"/>
  <c r="F36" i="40"/>
  <c r="AA36" i="40"/>
  <c r="H28" i="40"/>
  <c r="U28" i="40" s="1"/>
  <c r="F23" i="40"/>
  <c r="AA23" i="40" s="1"/>
  <c r="F17" i="40"/>
  <c r="AA17" i="40"/>
  <c r="J17" i="40"/>
  <c r="W17" i="40"/>
  <c r="F15" i="40"/>
  <c r="S15" i="40" s="1"/>
  <c r="H15" i="40"/>
  <c r="AB15" i="40"/>
  <c r="AC11" i="40"/>
  <c r="S12" i="36"/>
  <c r="AA12" i="36"/>
  <c r="AB30" i="36"/>
  <c r="U30" i="35"/>
  <c r="F29" i="35"/>
  <c r="AA29" i="35" s="1"/>
  <c r="H29" i="35"/>
  <c r="AB29" i="35" s="1"/>
  <c r="H33" i="37"/>
  <c r="AB33" i="37" s="1"/>
  <c r="F33" i="37"/>
  <c r="AA33" i="37" s="1"/>
  <c r="U34" i="37"/>
  <c r="S34" i="37"/>
  <c r="AA34" i="37"/>
  <c r="J43" i="34"/>
  <c r="AB42" i="34"/>
  <c r="J40" i="34"/>
  <c r="G114" i="34"/>
  <c r="H114" i="34"/>
  <c r="I114" i="34" s="1"/>
  <c r="J114" i="34" s="1"/>
  <c r="K114" i="34" s="1"/>
  <c r="L114" i="34" s="1"/>
  <c r="M114" i="34" s="1"/>
  <c r="H38" i="34"/>
  <c r="AB38" i="34"/>
  <c r="J36" i="34"/>
  <c r="W36" i="34"/>
  <c r="H37" i="34"/>
  <c r="U37" i="34"/>
  <c r="H25" i="34"/>
  <c r="AB25" i="34" s="1"/>
  <c r="J25" i="34"/>
  <c r="AC25" i="34" s="1"/>
  <c r="AB23" i="34"/>
  <c r="F23" i="34"/>
  <c r="AA23" i="34" s="1"/>
  <c r="J19" i="34"/>
  <c r="AC19" i="34" s="1"/>
  <c r="F17" i="34"/>
  <c r="AA17" i="34" s="1"/>
  <c r="J17" i="34"/>
  <c r="W17" i="34" s="1"/>
  <c r="AB17" i="34"/>
  <c r="AA15" i="34"/>
  <c r="S41" i="33"/>
  <c r="F113" i="33"/>
  <c r="G113" i="33" s="1"/>
  <c r="H113" i="33"/>
  <c r="I113" i="33" s="1"/>
  <c r="J113" i="33"/>
  <c r="K113" i="33" s="1"/>
  <c r="L113" i="33" s="1"/>
  <c r="M113" i="33" s="1"/>
  <c r="H37" i="33"/>
  <c r="AB37" i="33" s="1"/>
  <c r="H15" i="33"/>
  <c r="AB15" i="33"/>
  <c r="H11" i="33"/>
  <c r="AB11" i="33" s="1"/>
  <c r="F28" i="40"/>
  <c r="AA28" i="40" s="1"/>
  <c r="AA42" i="34"/>
  <c r="S42" i="34"/>
  <c r="AC38" i="34"/>
  <c r="AA38" i="34"/>
  <c r="J37" i="34"/>
  <c r="AC37" i="34" s="1"/>
  <c r="J11" i="33"/>
  <c r="W11" i="33"/>
  <c r="U23" i="40"/>
  <c r="J42" i="21"/>
  <c r="AC42" i="21"/>
  <c r="H42" i="21"/>
  <c r="U42" i="21" s="1"/>
  <c r="J44" i="34"/>
  <c r="F44" i="34"/>
  <c r="J10" i="35"/>
  <c r="W10" i="35"/>
  <c r="BL587" i="3"/>
  <c r="J14" i="21"/>
  <c r="W14" i="21"/>
  <c r="F14" i="21"/>
  <c r="S14" i="21"/>
  <c r="H14" i="21"/>
  <c r="U14" i="21" s="1"/>
  <c r="H28" i="21"/>
  <c r="AB28" i="21"/>
  <c r="F28" i="21"/>
  <c r="AA28" i="21" s="1"/>
  <c r="J28" i="21"/>
  <c r="W28" i="21" s="1"/>
  <c r="H30" i="21"/>
  <c r="AB30" i="21" s="1"/>
  <c r="F30" i="21"/>
  <c r="S30" i="21" s="1"/>
  <c r="J30" i="21"/>
  <c r="AC30" i="21" s="1"/>
  <c r="J44" i="21"/>
  <c r="W44" i="21" s="1"/>
  <c r="H44" i="21"/>
  <c r="U44" i="21"/>
  <c r="F44" i="21"/>
  <c r="AA44" i="21"/>
  <c r="H46" i="21"/>
  <c r="U46" i="21"/>
  <c r="J46" i="21"/>
  <c r="W46" i="21"/>
  <c r="F46" i="21"/>
  <c r="AA46" i="21" s="1"/>
  <c r="E119" i="21"/>
  <c r="F119" i="21"/>
  <c r="G119" i="21" s="1"/>
  <c r="H119" i="21" s="1"/>
  <c r="I119" i="21" s="1"/>
  <c r="J119" i="21" s="1"/>
  <c r="K119" i="21" s="1"/>
  <c r="L119" i="21" s="1"/>
  <c r="M119" i="21" s="1"/>
  <c r="H26" i="33"/>
  <c r="U26" i="33"/>
  <c r="H28" i="33"/>
  <c r="U28" i="33"/>
  <c r="F28" i="33"/>
  <c r="AA28" i="33" s="1"/>
  <c r="J28" i="33"/>
  <c r="W28" i="33"/>
  <c r="F33" i="35"/>
  <c r="S33" i="35"/>
  <c r="J33" i="35"/>
  <c r="AC33" i="35"/>
  <c r="F30" i="35"/>
  <c r="S30" i="35"/>
  <c r="E89" i="35"/>
  <c r="F89" i="35"/>
  <c r="G89" i="35"/>
  <c r="H89" i="35" s="1"/>
  <c r="I89" i="35" s="1"/>
  <c r="J89" i="35"/>
  <c r="K89" i="35" s="1"/>
  <c r="L89" i="35" s="1"/>
  <c r="M89" i="35" s="1"/>
  <c r="H10" i="36"/>
  <c r="AB10" i="36" s="1"/>
  <c r="J14" i="36"/>
  <c r="AC14" i="36" s="1"/>
  <c r="H14" i="36"/>
  <c r="U14" i="36" s="1"/>
  <c r="F28" i="36"/>
  <c r="AA28" i="36" s="1"/>
  <c r="J13" i="21"/>
  <c r="AC13" i="21"/>
  <c r="H27" i="21"/>
  <c r="AB27" i="21"/>
  <c r="F27" i="21"/>
  <c r="AA27" i="21"/>
  <c r="J31" i="21"/>
  <c r="AC31" i="21" s="1"/>
  <c r="F31" i="21"/>
  <c r="S31" i="21"/>
  <c r="F45" i="21"/>
  <c r="AA45" i="21"/>
  <c r="F27" i="33"/>
  <c r="AA27" i="33" s="1"/>
  <c r="J13" i="33"/>
  <c r="H13" i="33"/>
  <c r="AB13" i="33"/>
  <c r="F13" i="33"/>
  <c r="S13" i="33"/>
  <c r="J29" i="33"/>
  <c r="AC29" i="33" s="1"/>
  <c r="H29" i="33"/>
  <c r="U29" i="33" s="1"/>
  <c r="F29" i="33"/>
  <c r="S29" i="33"/>
  <c r="J31" i="33"/>
  <c r="AC31" i="33" s="1"/>
  <c r="W31" i="33"/>
  <c r="H31" i="33"/>
  <c r="F31" i="33"/>
  <c r="H45" i="33"/>
  <c r="U45" i="33"/>
  <c r="J45" i="33"/>
  <c r="W45" i="33" s="1"/>
  <c r="F45" i="33"/>
  <c r="S45" i="33" s="1"/>
  <c r="J14" i="34"/>
  <c r="W14" i="34"/>
  <c r="F14" i="34"/>
  <c r="S14" i="34"/>
  <c r="H14" i="34"/>
  <c r="H30" i="34"/>
  <c r="F30" i="34"/>
  <c r="S30" i="34"/>
  <c r="J30" i="34"/>
  <c r="W30" i="34" s="1"/>
  <c r="H32" i="34"/>
  <c r="F32" i="34"/>
  <c r="J32" i="34"/>
  <c r="W32" i="34"/>
  <c r="H46" i="34"/>
  <c r="U46" i="34"/>
  <c r="F46" i="34"/>
  <c r="J46" i="34"/>
  <c r="H11" i="35"/>
  <c r="U11" i="35"/>
  <c r="J11" i="35"/>
  <c r="AC11" i="35" s="1"/>
  <c r="F11" i="35"/>
  <c r="S11" i="35" s="1"/>
  <c r="J26" i="36"/>
  <c r="W26" i="36"/>
  <c r="H28" i="36"/>
  <c r="U28" i="36"/>
  <c r="H32" i="36"/>
  <c r="AB32" i="36"/>
  <c r="J32" i="36"/>
  <c r="W32" i="36"/>
  <c r="J11" i="36"/>
  <c r="AC11" i="36" s="1"/>
  <c r="H11" i="36"/>
  <c r="U11" i="36" s="1"/>
  <c r="F11" i="36"/>
  <c r="S11" i="36" s="1"/>
  <c r="AA11" i="36"/>
  <c r="H13" i="36"/>
  <c r="AB13" i="36"/>
  <c r="J13" i="36"/>
  <c r="F13" i="36"/>
  <c r="S13" i="36" s="1"/>
  <c r="E89" i="37"/>
  <c r="F89" i="37"/>
  <c r="G89" i="37" s="1"/>
  <c r="H89" i="37" s="1"/>
  <c r="I89" i="37" s="1"/>
  <c r="J89" i="37" s="1"/>
  <c r="K89" i="37" s="1"/>
  <c r="L89" i="37" s="1"/>
  <c r="M89" i="37" s="1"/>
  <c r="J29" i="37"/>
  <c r="W29" i="37" s="1"/>
  <c r="F29" i="37"/>
  <c r="S29" i="37"/>
  <c r="H36" i="37"/>
  <c r="AB36" i="37" s="1"/>
  <c r="F107" i="37"/>
  <c r="G107" i="37" s="1"/>
  <c r="H107" i="37" s="1"/>
  <c r="I107" i="37" s="1"/>
  <c r="J37" i="37"/>
  <c r="AC37" i="37"/>
  <c r="H37" i="37"/>
  <c r="U37" i="37" s="1"/>
  <c r="H40" i="37"/>
  <c r="U40" i="37" s="1"/>
  <c r="J40" i="37"/>
  <c r="AC40" i="37"/>
  <c r="F40" i="37"/>
  <c r="AA40" i="37" s="1"/>
  <c r="AC12" i="40"/>
  <c r="W12" i="40"/>
  <c r="H14" i="33"/>
  <c r="U14" i="33"/>
  <c r="F14" i="33"/>
  <c r="J14" i="33"/>
  <c r="H30" i="33"/>
  <c r="AB30" i="33" s="1"/>
  <c r="F30" i="33"/>
  <c r="J30" i="33"/>
  <c r="H44" i="33"/>
  <c r="J44" i="33"/>
  <c r="AC44" i="33" s="1"/>
  <c r="F44" i="33"/>
  <c r="AA44" i="33" s="1"/>
  <c r="J46" i="33"/>
  <c r="AC46" i="33"/>
  <c r="F46" i="33"/>
  <c r="AA46" i="33"/>
  <c r="AB46" i="33"/>
  <c r="H13" i="34"/>
  <c r="U13" i="34" s="1"/>
  <c r="J13" i="34"/>
  <c r="F13" i="34"/>
  <c r="AA13" i="34"/>
  <c r="J29" i="34"/>
  <c r="F29" i="34"/>
  <c r="S29" i="34"/>
  <c r="H29" i="34"/>
  <c r="AB29" i="34" s="1"/>
  <c r="J31" i="34"/>
  <c r="AC31" i="34" s="1"/>
  <c r="H31" i="34"/>
  <c r="AB31" i="34" s="1"/>
  <c r="F31" i="34"/>
  <c r="S31" i="34" s="1"/>
  <c r="H45" i="34"/>
  <c r="U45" i="34"/>
  <c r="J45" i="34"/>
  <c r="W45" i="34"/>
  <c r="F45" i="34"/>
  <c r="S45" i="34" s="1"/>
  <c r="H47" i="34"/>
  <c r="U47" i="34"/>
  <c r="F47" i="34"/>
  <c r="S47" i="34"/>
  <c r="J47" i="34"/>
  <c r="AC47" i="34"/>
  <c r="F13" i="35"/>
  <c r="AA13" i="35" s="1"/>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s="1"/>
  <c r="J13" i="37"/>
  <c r="W13" i="37" s="1"/>
  <c r="F28" i="37"/>
  <c r="AA28" i="37"/>
  <c r="J28" i="37"/>
  <c r="H28" i="37"/>
  <c r="AB28" i="37" s="1"/>
  <c r="H38" i="37"/>
  <c r="AB38" i="37" s="1"/>
  <c r="J38" i="37"/>
  <c r="AC38" i="37" s="1"/>
  <c r="F38" i="37"/>
  <c r="S38" i="37" s="1"/>
  <c r="F43" i="39"/>
  <c r="AA43" i="39" s="1"/>
  <c r="H43" i="39"/>
  <c r="J14" i="39"/>
  <c r="F14" i="39"/>
  <c r="H14" i="39"/>
  <c r="AB14" i="39"/>
  <c r="F12" i="40"/>
  <c r="S12" i="40"/>
  <c r="H12" i="40"/>
  <c r="AB12" i="40" s="1"/>
  <c r="H30" i="40"/>
  <c r="AB30" i="40"/>
  <c r="F33" i="40"/>
  <c r="AA33" i="40"/>
  <c r="H33" i="40"/>
  <c r="U33" i="40" s="1"/>
  <c r="J35" i="40"/>
  <c r="AC35" i="40" s="1"/>
  <c r="J37" i="40"/>
  <c r="AC37" i="40" s="1"/>
  <c r="H13" i="40"/>
  <c r="U13" i="40" s="1"/>
  <c r="J13" i="40"/>
  <c r="W13" i="40" s="1"/>
  <c r="F13" i="40"/>
  <c r="AA13" i="40" s="1"/>
  <c r="F14" i="37"/>
  <c r="AA14" i="37" s="1"/>
  <c r="S14" i="37"/>
  <c r="F27" i="37"/>
  <c r="AA27" i="37"/>
  <c r="F13" i="39"/>
  <c r="J13" i="39"/>
  <c r="W13" i="39" s="1"/>
  <c r="H13" i="39"/>
  <c r="H14" i="40"/>
  <c r="AB14" i="40" s="1"/>
  <c r="J14" i="40"/>
  <c r="W14" i="40" s="1"/>
  <c r="F14" i="40"/>
  <c r="AA14" i="40"/>
  <c r="J14" i="37"/>
  <c r="AC14" i="37"/>
  <c r="J27" i="37"/>
  <c r="AC27" i="37"/>
  <c r="U31" i="34"/>
  <c r="U46" i="33"/>
  <c r="J36" i="37"/>
  <c r="AC36" i="37" s="1"/>
  <c r="AB11" i="36"/>
  <c r="AB11" i="35"/>
  <c r="J10" i="36"/>
  <c r="AC10" i="36" s="1"/>
  <c r="AB26" i="33"/>
  <c r="W31" i="34"/>
  <c r="AC13" i="36"/>
  <c r="W13" i="36"/>
  <c r="W11" i="35"/>
  <c r="AB46" i="34"/>
  <c r="AA14" i="34"/>
  <c r="AB45" i="33"/>
  <c r="AB31" i="33"/>
  <c r="U31" i="33"/>
  <c r="W29" i="33"/>
  <c r="U13" i="33"/>
  <c r="BA586" i="3"/>
  <c r="BA585" i="3"/>
  <c r="F17" i="21"/>
  <c r="AA17" i="21"/>
  <c r="H17" i="21"/>
  <c r="AB17" i="21" s="1"/>
  <c r="F15" i="21"/>
  <c r="S15" i="21" s="1"/>
  <c r="AB11" i="2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22" i="3"/>
  <c r="BL516" i="3"/>
  <c r="BL512" i="3"/>
  <c r="AZ512" i="3" s="1"/>
  <c r="BL506" i="3"/>
  <c r="BL502" i="3"/>
  <c r="BL498" i="3"/>
  <c r="BL494" i="3"/>
  <c r="BL582" i="3"/>
  <c r="BL578" i="3"/>
  <c r="BL574" i="3"/>
  <c r="BL570" i="3"/>
  <c r="BL566" i="3"/>
  <c r="BL562" i="3"/>
  <c r="BL556" i="3"/>
  <c r="AZ556" i="3" s="1"/>
  <c r="BL552" i="3"/>
  <c r="BL544" i="3"/>
  <c r="BL540" i="3"/>
  <c r="BL532" i="3"/>
  <c r="G529" i="3"/>
  <c r="G525" i="3"/>
  <c r="BL524" i="3"/>
  <c r="BL518" i="3"/>
  <c r="BL514" i="3"/>
  <c r="BL510" i="3"/>
  <c r="BL504" i="3"/>
  <c r="BL500" i="3"/>
  <c r="BL496" i="3"/>
  <c r="G493" i="3"/>
  <c r="BA584" i="3"/>
  <c r="AZ584" i="3" s="1"/>
  <c r="BA582" i="3"/>
  <c r="AZ582" i="3" s="1"/>
  <c r="BA580" i="3"/>
  <c r="AZ580" i="3"/>
  <c r="BA578" i="3"/>
  <c r="AZ578" i="3"/>
  <c r="BA576" i="3"/>
  <c r="AZ576" i="3"/>
  <c r="BA574" i="3"/>
  <c r="AZ574" i="3" s="1"/>
  <c r="BA572" i="3"/>
  <c r="AZ572" i="3" s="1"/>
  <c r="BA570" i="3"/>
  <c r="AZ570" i="3" s="1"/>
  <c r="BA568" i="3"/>
  <c r="AZ568" i="3" s="1"/>
  <c r="BA566" i="3"/>
  <c r="AZ566" i="3" s="1"/>
  <c r="BA564" i="3"/>
  <c r="AZ564" i="3" s="1"/>
  <c r="BA562" i="3"/>
  <c r="AZ562" i="3" s="1"/>
  <c r="BA560" i="3"/>
  <c r="BA558" i="3"/>
  <c r="AZ558" i="3" s="1"/>
  <c r="BA556" i="3"/>
  <c r="BA554" i="3"/>
  <c r="AZ554" i="3"/>
  <c r="BA552" i="3"/>
  <c r="AZ552" i="3"/>
  <c r="BA548" i="3"/>
  <c r="AZ548" i="3" s="1"/>
  <c r="BA546" i="3"/>
  <c r="BA544" i="3"/>
  <c r="AZ544" i="3" s="1"/>
  <c r="BA542" i="3"/>
  <c r="AZ542" i="3" s="1"/>
  <c r="BA538" i="3"/>
  <c r="BA530" i="3"/>
  <c r="BA524" i="3"/>
  <c r="AZ524" i="3" s="1"/>
  <c r="BA522" i="3"/>
  <c r="BA520" i="3"/>
  <c r="AZ520" i="3" s="1"/>
  <c r="BA518" i="3"/>
  <c r="AZ518" i="3" s="1"/>
  <c r="BA516" i="3"/>
  <c r="BA514" i="3"/>
  <c r="BA512" i="3"/>
  <c r="BA510" i="3"/>
  <c r="AZ510" i="3"/>
  <c r="BA508" i="3"/>
  <c r="BA506" i="3"/>
  <c r="BA504" i="3"/>
  <c r="AZ504" i="3"/>
  <c r="BA502" i="3"/>
  <c r="BA500" i="3"/>
  <c r="AZ500" i="3" s="1"/>
  <c r="BA498" i="3"/>
  <c r="AZ498" i="3" s="1"/>
  <c r="BA496" i="3"/>
  <c r="BA494" i="3"/>
  <c r="BA587" i="3"/>
  <c r="AZ587" i="3"/>
  <c r="BA583" i="3"/>
  <c r="BA581" i="3"/>
  <c r="BA579" i="3"/>
  <c r="BA577" i="3"/>
  <c r="BA575" i="3"/>
  <c r="AZ575" i="3" s="1"/>
  <c r="BA573" i="3"/>
  <c r="BA571" i="3"/>
  <c r="BA569" i="3"/>
  <c r="BA567" i="3"/>
  <c r="BA565" i="3"/>
  <c r="AZ565" i="3" s="1"/>
  <c r="BA563" i="3"/>
  <c r="AZ563" i="3" s="1"/>
  <c r="BA561" i="3"/>
  <c r="BA559" i="3"/>
  <c r="BA555" i="3"/>
  <c r="AZ555" i="3" s="1"/>
  <c r="BA553" i="3"/>
  <c r="AZ553" i="3" s="1"/>
  <c r="BA549" i="3"/>
  <c r="BA547" i="3"/>
  <c r="BA545" i="3"/>
  <c r="AZ545" i="3" s="1"/>
  <c r="BA543" i="3"/>
  <c r="BA541" i="3"/>
  <c r="BA533" i="3"/>
  <c r="BA525" i="3"/>
  <c r="BA523" i="3"/>
  <c r="AZ523" i="3" s="1"/>
  <c r="BA519" i="3"/>
  <c r="BA517" i="3"/>
  <c r="BA515" i="3"/>
  <c r="BA513" i="3"/>
  <c r="BA511" i="3"/>
  <c r="AZ511" i="3" s="1"/>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BQ579" i="3"/>
  <c r="BL579" i="3"/>
  <c r="AZ579" i="3"/>
  <c r="BQ577" i="3"/>
  <c r="BL577" i="3" s="1"/>
  <c r="AZ577" i="3" s="1"/>
  <c r="BQ575" i="3"/>
  <c r="BL575" i="3"/>
  <c r="BQ573" i="3"/>
  <c r="BL573" i="3" s="1"/>
  <c r="BQ571" i="3"/>
  <c r="BL571" i="3"/>
  <c r="AZ571" i="3"/>
  <c r="BQ569" i="3"/>
  <c r="BL569" i="3" s="1"/>
  <c r="AZ569" i="3" s="1"/>
  <c r="BQ567" i="3"/>
  <c r="BL567" i="3"/>
  <c r="AZ567" i="3" s="1"/>
  <c r="BQ565" i="3"/>
  <c r="BL565" i="3" s="1"/>
  <c r="BQ563" i="3"/>
  <c r="BL563" i="3"/>
  <c r="BQ561" i="3"/>
  <c r="BL561" i="3"/>
  <c r="AZ561" i="3" s="1"/>
  <c r="BQ559" i="3"/>
  <c r="BL559" i="3" s="1"/>
  <c r="G559" i="3"/>
  <c r="G555" i="3"/>
  <c r="G553" i="3"/>
  <c r="G549" i="3"/>
  <c r="G547" i="3"/>
  <c r="G545" i="3"/>
  <c r="G543" i="3"/>
  <c r="G539" i="3"/>
  <c r="G537" i="3"/>
  <c r="BQ555" i="3"/>
  <c r="BL555" i="3"/>
  <c r="BQ553" i="3"/>
  <c r="BL553" i="3" s="1"/>
  <c r="BQ551" i="3"/>
  <c r="BL551" i="3"/>
  <c r="BQ549" i="3"/>
  <c r="BL549" i="3" s="1"/>
  <c r="BQ547" i="3"/>
  <c r="BL547" i="3" s="1"/>
  <c r="BQ545" i="3"/>
  <c r="BL545" i="3"/>
  <c r="BQ543" i="3"/>
  <c r="BL543" i="3" s="1"/>
  <c r="AZ543" i="3" s="1"/>
  <c r="BQ541" i="3"/>
  <c r="BQ539" i="3"/>
  <c r="BQ537" i="3"/>
  <c r="BL537" i="3"/>
  <c r="BQ535" i="3"/>
  <c r="BL535" i="3" s="1"/>
  <c r="BQ533" i="3"/>
  <c r="BQ531" i="3"/>
  <c r="BQ529" i="3"/>
  <c r="BL529" i="3"/>
  <c r="BQ527" i="3"/>
  <c r="BL527" i="3" s="1"/>
  <c r="BQ525" i="3"/>
  <c r="BL525" i="3"/>
  <c r="AZ525" i="3"/>
  <c r="BQ523" i="3"/>
  <c r="BL523" i="3" s="1"/>
  <c r="BA521" i="3"/>
  <c r="AC521" i="3"/>
  <c r="G521" i="3"/>
  <c r="BQ521" i="3"/>
  <c r="BL521" i="3" s="1"/>
  <c r="AZ521" i="3" s="1"/>
  <c r="BL520" i="3"/>
  <c r="G519" i="3"/>
  <c r="G517" i="3"/>
  <c r="G515" i="3"/>
  <c r="G513" i="3"/>
  <c r="G511" i="3"/>
  <c r="BQ519" i="3"/>
  <c r="BL519" i="3" s="1"/>
  <c r="AZ519" i="3" s="1"/>
  <c r="BQ517" i="3"/>
  <c r="BL517" i="3" s="1"/>
  <c r="BQ515" i="3"/>
  <c r="BL515" i="3" s="1"/>
  <c r="AZ515" i="3" s="1"/>
  <c r="BQ513" i="3"/>
  <c r="BL513" i="3" s="1"/>
  <c r="AZ513" i="3" s="1"/>
  <c r="BQ511" i="3"/>
  <c r="BL511" i="3"/>
  <c r="BA509" i="3"/>
  <c r="AZ509" i="3" s="1"/>
  <c r="AC509" i="3"/>
  <c r="BQ509" i="3"/>
  <c r="BL509" i="3"/>
  <c r="BL508" i="3"/>
  <c r="AZ508" i="3"/>
  <c r="G507" i="3"/>
  <c r="G505" i="3"/>
  <c r="G503" i="3"/>
  <c r="G501" i="3"/>
  <c r="G499" i="3"/>
  <c r="G497" i="3"/>
  <c r="G495" i="3"/>
  <c r="BQ507" i="3"/>
  <c r="BL507" i="3" s="1"/>
  <c r="BQ505" i="3"/>
  <c r="BL505" i="3" s="1"/>
  <c r="AZ505" i="3" s="1"/>
  <c r="BQ503" i="3"/>
  <c r="BL503" i="3" s="1"/>
  <c r="AZ503" i="3" s="1"/>
  <c r="BQ501" i="3"/>
  <c r="BL501" i="3"/>
  <c r="BQ499" i="3"/>
  <c r="BL499" i="3"/>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s="1"/>
  <c r="G125" i="33" s="1"/>
  <c r="H43" i="33"/>
  <c r="U43" i="33" s="1"/>
  <c r="H17" i="37"/>
  <c r="U17" i="37"/>
  <c r="AB27" i="37"/>
  <c r="U32" i="33"/>
  <c r="F39" i="33"/>
  <c r="AA39" i="33" s="1"/>
  <c r="E123" i="33"/>
  <c r="F42" i="33"/>
  <c r="AA42" i="33" s="1"/>
  <c r="H28" i="34"/>
  <c r="AB28" i="34" s="1"/>
  <c r="F14" i="36"/>
  <c r="AA14" i="36"/>
  <c r="F22" i="36"/>
  <c r="S22" i="36"/>
  <c r="F26" i="36"/>
  <c r="S26" i="36"/>
  <c r="H27" i="34"/>
  <c r="AB27" i="34" s="1"/>
  <c r="H35" i="34"/>
  <c r="F41" i="34"/>
  <c r="S41" i="34"/>
  <c r="H41" i="34"/>
  <c r="U41" i="34"/>
  <c r="J41" i="34"/>
  <c r="AC41" i="34" s="1"/>
  <c r="F10" i="35"/>
  <c r="S10" i="35" s="1"/>
  <c r="F24" i="35"/>
  <c r="AA24" i="35" s="1"/>
  <c r="H24" i="35"/>
  <c r="AB24" i="35"/>
  <c r="H23" i="37"/>
  <c r="AB23" i="37" s="1"/>
  <c r="J32" i="37"/>
  <c r="AC32" i="37" s="1"/>
  <c r="F36" i="37"/>
  <c r="AA36" i="37"/>
  <c r="F37" i="37"/>
  <c r="AA37" i="37"/>
  <c r="F31" i="40"/>
  <c r="AA31" i="40" s="1"/>
  <c r="H31" i="40"/>
  <c r="U31" i="40" s="1"/>
  <c r="F32" i="40"/>
  <c r="S32" i="40" s="1"/>
  <c r="H32" i="40"/>
  <c r="AB32" i="40"/>
  <c r="J36" i="40"/>
  <c r="W36" i="40"/>
  <c r="AA41" i="34"/>
  <c r="H19" i="37"/>
  <c r="AB19" i="37"/>
  <c r="F123" i="33"/>
  <c r="G123" i="33"/>
  <c r="H123" i="33" s="1"/>
  <c r="I123" i="33" s="1"/>
  <c r="J123" i="33" s="1"/>
  <c r="K123" i="33" s="1"/>
  <c r="L123" i="33" s="1"/>
  <c r="M123" i="33" s="1"/>
  <c r="H42" i="33"/>
  <c r="AB42" i="33" s="1"/>
  <c r="J43" i="33"/>
  <c r="AC43" i="33" s="1"/>
  <c r="S28" i="31"/>
  <c r="S27" i="31"/>
  <c r="S26" i="31"/>
  <c r="U14" i="40"/>
  <c r="AC32" i="36"/>
  <c r="AC33" i="36"/>
  <c r="U35" i="35"/>
  <c r="AA12" i="35"/>
  <c r="W14" i="37"/>
  <c r="U33" i="37"/>
  <c r="U39" i="37"/>
  <c r="W26" i="37"/>
  <c r="AC8" i="37"/>
  <c r="W47" i="34"/>
  <c r="AB13" i="34"/>
  <c r="W37" i="34"/>
  <c r="AB37" i="34"/>
  <c r="AC36" i="34"/>
  <c r="AA13" i="33"/>
  <c r="AC45" i="33"/>
  <c r="W44" i="33"/>
  <c r="U11" i="33"/>
  <c r="U19" i="21"/>
  <c r="U26" i="21"/>
  <c r="AC46" i="21"/>
  <c r="U12" i="21"/>
  <c r="AB38" i="21"/>
  <c r="F43" i="33"/>
  <c r="AA43" i="33"/>
  <c r="AC15" i="34"/>
  <c r="W16" i="35"/>
  <c r="W40" i="37"/>
  <c r="J107" i="37"/>
  <c r="K107" i="37" s="1"/>
  <c r="L107" i="37" s="1"/>
  <c r="M107" i="37" s="1"/>
  <c r="H37" i="21"/>
  <c r="U37" i="21" s="1"/>
  <c r="S42" i="21"/>
  <c r="H19" i="34"/>
  <c r="AB19" i="34" s="1"/>
  <c r="F36" i="35"/>
  <c r="S36" i="35" s="1"/>
  <c r="J9" i="37"/>
  <c r="W9" i="37" s="1"/>
  <c r="H9" i="37"/>
  <c r="AB9" i="37" s="1"/>
  <c r="F9" i="37"/>
  <c r="S9" i="37"/>
  <c r="J12" i="37"/>
  <c r="W12" i="37"/>
  <c r="H12" i="37"/>
  <c r="AB12" i="37" s="1"/>
  <c r="F12" i="37"/>
  <c r="S12" i="37" s="1"/>
  <c r="E71" i="37"/>
  <c r="F15" i="37"/>
  <c r="AA15" i="37"/>
  <c r="E94" i="37"/>
  <c r="F94" i="37" s="1"/>
  <c r="F31" i="37"/>
  <c r="S31" i="37"/>
  <c r="F12" i="39"/>
  <c r="S12" i="39"/>
  <c r="J42" i="39"/>
  <c r="AC42" i="39" s="1"/>
  <c r="H21" i="40"/>
  <c r="AB21" i="40" s="1"/>
  <c r="AC12" i="37"/>
  <c r="G94" i="37"/>
  <c r="H94" i="37" s="1"/>
  <c r="I94" i="37" s="1"/>
  <c r="J94" i="37" s="1"/>
  <c r="K94" i="37" s="1"/>
  <c r="L94" i="37" s="1"/>
  <c r="M94" i="37"/>
  <c r="H31" i="37"/>
  <c r="U31" i="37" s="1"/>
  <c r="F71" i="37"/>
  <c r="G71" i="37" s="1"/>
  <c r="J15" i="37"/>
  <c r="W15" i="37" s="1"/>
  <c r="U12" i="37"/>
  <c r="AT6" i="3"/>
  <c r="C12" i="43"/>
  <c r="H19" i="40"/>
  <c r="U19" i="40"/>
  <c r="F88" i="40"/>
  <c r="G88" i="40" s="1"/>
  <c r="F19" i="40"/>
  <c r="S14" i="40"/>
  <c r="AC13" i="40"/>
  <c r="AB33" i="40"/>
  <c r="W23" i="39"/>
  <c r="AC43" i="39"/>
  <c r="W43" i="39"/>
  <c r="AB44" i="39"/>
  <c r="U44" i="39"/>
  <c r="G101" i="39"/>
  <c r="H37" i="39"/>
  <c r="AB37" i="39"/>
  <c r="AC37" i="39"/>
  <c r="W37" i="39"/>
  <c r="H25" i="39"/>
  <c r="AB25" i="39" s="1"/>
  <c r="J25" i="39"/>
  <c r="F25" i="39"/>
  <c r="AA25" i="39" s="1"/>
  <c r="F15" i="39"/>
  <c r="S15" i="39" s="1"/>
  <c r="H15" i="39"/>
  <c r="U15" i="39"/>
  <c r="J15" i="39"/>
  <c r="W15" i="39"/>
  <c r="H41" i="39"/>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A12" i="52"/>
  <c r="B56" i="72" s="1"/>
  <c r="G4" i="4"/>
  <c r="I4" i="4"/>
  <c r="K5" i="4" s="1"/>
  <c r="B47" i="48" s="1"/>
  <c r="A2" i="9"/>
  <c r="F59" i="43"/>
  <c r="H62" i="43" s="1"/>
  <c r="AZ28" i="3"/>
  <c r="AZ32" i="3"/>
  <c r="AZ497" i="3"/>
  <c r="AZ502" i="3"/>
  <c r="AZ514" i="3"/>
  <c r="AZ522" i="3"/>
  <c r="G546" i="3"/>
  <c r="G524" i="3"/>
  <c r="G303" i="3"/>
  <c r="BL304" i="3"/>
  <c r="AZ304" i="3" s="1"/>
  <c r="G305" i="3"/>
  <c r="BL306" i="3"/>
  <c r="BA308" i="3"/>
  <c r="AZ308" i="3"/>
  <c r="BA309" i="3"/>
  <c r="AZ309" i="3" s="1"/>
  <c r="BL309" i="3"/>
  <c r="G310" i="3"/>
  <c r="BA311" i="3"/>
  <c r="G319" i="3"/>
  <c r="BL320" i="3"/>
  <c r="AZ320" i="3" s="1"/>
  <c r="G321" i="3"/>
  <c r="BL322" i="3"/>
  <c r="AZ322" i="3" s="1"/>
  <c r="BA324" i="3"/>
  <c r="AZ324" i="3"/>
  <c r="BA325" i="3"/>
  <c r="BL325" i="3"/>
  <c r="AZ325" i="3" s="1"/>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AZ115" i="3" s="1"/>
  <c r="BL116" i="3"/>
  <c r="AZ116" i="3"/>
  <c r="G117" i="3"/>
  <c r="BA119" i="3"/>
  <c r="AZ119" i="3"/>
  <c r="BL120" i="3"/>
  <c r="G121" i="3"/>
  <c r="BA123" i="3"/>
  <c r="AZ123" i="3" s="1"/>
  <c r="BL124" i="3"/>
  <c r="AZ124" i="3" s="1"/>
  <c r="G125" i="3"/>
  <c r="BA127" i="3"/>
  <c r="BL128" i="3"/>
  <c r="G129" i="3"/>
  <c r="BA131" i="3"/>
  <c r="AZ131" i="3" s="1"/>
  <c r="BL132" i="3"/>
  <c r="AZ132" i="3"/>
  <c r="G133" i="3"/>
  <c r="BA135" i="3"/>
  <c r="BL136" i="3"/>
  <c r="G137" i="3"/>
  <c r="BA139" i="3"/>
  <c r="AZ139" i="3" s="1"/>
  <c r="BL140" i="3"/>
  <c r="G141" i="3"/>
  <c r="BA143" i="3"/>
  <c r="BL144" i="3"/>
  <c r="G145" i="3"/>
  <c r="BA147" i="3"/>
  <c r="AZ147" i="3" s="1"/>
  <c r="BL148" i="3"/>
  <c r="G149" i="3"/>
  <c r="BA151" i="3"/>
  <c r="BL152" i="3"/>
  <c r="G153" i="3"/>
  <c r="BA155" i="3"/>
  <c r="AZ155" i="3" s="1"/>
  <c r="BL156" i="3"/>
  <c r="G157" i="3"/>
  <c r="BA159" i="3"/>
  <c r="AZ159" i="3" s="1"/>
  <c r="BL160" i="3"/>
  <c r="G161" i="3"/>
  <c r="BA163" i="3"/>
  <c r="BL164" i="3"/>
  <c r="AZ164" i="3"/>
  <c r="G165" i="3"/>
  <c r="BA167" i="3"/>
  <c r="AZ167" i="3"/>
  <c r="BL168" i="3"/>
  <c r="G169" i="3"/>
  <c r="BA171" i="3"/>
  <c r="AZ171" i="3"/>
  <c r="BL172" i="3"/>
  <c r="AZ172" i="3"/>
  <c r="G173" i="3"/>
  <c r="BA175" i="3"/>
  <c r="AZ175" i="3"/>
  <c r="BL176" i="3"/>
  <c r="G177" i="3"/>
  <c r="BA179" i="3"/>
  <c r="BL180" i="3"/>
  <c r="AZ180" i="3"/>
  <c r="G181" i="3"/>
  <c r="BA183" i="3"/>
  <c r="AZ183" i="3" s="1"/>
  <c r="BL184" i="3"/>
  <c r="G185" i="3"/>
  <c r="BA187" i="3"/>
  <c r="AZ187" i="3"/>
  <c r="BL188" i="3"/>
  <c r="G189" i="3"/>
  <c r="BA191" i="3"/>
  <c r="AZ191" i="3"/>
  <c r="BL192" i="3"/>
  <c r="G193" i="3"/>
  <c r="BA195" i="3"/>
  <c r="AZ195" i="3"/>
  <c r="BL196" i="3"/>
  <c r="AZ196" i="3" s="1"/>
  <c r="G197" i="3"/>
  <c r="BA199" i="3"/>
  <c r="AZ199" i="3" s="1"/>
  <c r="BL200" i="3"/>
  <c r="G201" i="3"/>
  <c r="BA203" i="3"/>
  <c r="BL204" i="3"/>
  <c r="AZ51" i="3"/>
  <c r="AZ59" i="3"/>
  <c r="AZ75" i="3"/>
  <c r="AZ83" i="3"/>
  <c r="AZ136" i="3"/>
  <c r="AZ144" i="3"/>
  <c r="AZ168" i="3"/>
  <c r="AZ192" i="3"/>
  <c r="AZ200" i="3"/>
  <c r="AZ85" i="3"/>
  <c r="AZ101" i="3"/>
  <c r="AZ128" i="3"/>
  <c r="G534" i="3"/>
  <c r="G522" i="3"/>
  <c r="G516" i="3"/>
  <c r="G512" i="3"/>
  <c r="G506" i="3"/>
  <c r="G498" i="3"/>
  <c r="G494" i="3"/>
  <c r="G16" i="3"/>
  <c r="G15" i="3"/>
  <c r="BA304" i="3"/>
  <c r="BA305" i="3"/>
  <c r="AZ305" i="3"/>
  <c r="BL305" i="3"/>
  <c r="G306" i="3"/>
  <c r="G309" i="3"/>
  <c r="BL310" i="3"/>
  <c r="BA312" i="3"/>
  <c r="AZ312" i="3"/>
  <c r="BA313" i="3"/>
  <c r="AZ313" i="3" s="1"/>
  <c r="BL313" i="3"/>
  <c r="G314" i="3"/>
  <c r="G317" i="3"/>
  <c r="BL318" i="3"/>
  <c r="BA320" i="3"/>
  <c r="BA321" i="3"/>
  <c r="AZ321" i="3"/>
  <c r="BL321" i="3"/>
  <c r="G322" i="3"/>
  <c r="G325" i="3"/>
  <c r="BL326" i="3"/>
  <c r="BA328" i="3"/>
  <c r="AZ328" i="3" s="1"/>
  <c r="BA329" i="3"/>
  <c r="BL329" i="3"/>
  <c r="G330" i="3"/>
  <c r="G333" i="3"/>
  <c r="BL334" i="3"/>
  <c r="BA336" i="3"/>
  <c r="AZ336" i="3"/>
  <c r="BA337" i="3"/>
  <c r="AZ337" i="3" s="1"/>
  <c r="BL337" i="3"/>
  <c r="G338" i="3"/>
  <c r="G341" i="3"/>
  <c r="BA342" i="3"/>
  <c r="AZ342" i="3" s="1"/>
  <c r="BL342" i="3"/>
  <c r="BA344" i="3"/>
  <c r="BL344" i="3"/>
  <c r="AZ344" i="3" s="1"/>
  <c r="BA346" i="3"/>
  <c r="AZ346" i="3" s="1"/>
  <c r="BA347" i="3"/>
  <c r="AZ347" i="3"/>
  <c r="BL347" i="3"/>
  <c r="G350" i="3"/>
  <c r="BA351" i="3"/>
  <c r="AZ351" i="3" s="1"/>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AZ387" i="3" s="1"/>
  <c r="BA389" i="3"/>
  <c r="AZ389" i="3"/>
  <c r="BA390" i="3"/>
  <c r="BL390" i="3"/>
  <c r="G391" i="3"/>
  <c r="G394" i="3"/>
  <c r="AZ138" i="3"/>
  <c r="AZ146" i="3"/>
  <c r="AZ154" i="3"/>
  <c r="AZ162" i="3"/>
  <c r="AZ166" i="3"/>
  <c r="AZ174" i="3"/>
  <c r="AZ182" i="3"/>
  <c r="AZ186" i="3"/>
  <c r="AZ190" i="3"/>
  <c r="AZ202" i="3"/>
  <c r="AZ206" i="3"/>
  <c r="BA16" i="3"/>
  <c r="AZ16" i="3" s="1"/>
  <c r="BL303" i="3"/>
  <c r="G304" i="3"/>
  <c r="BA306" i="3"/>
  <c r="AZ306" i="3" s="1"/>
  <c r="BL307" i="3"/>
  <c r="G308" i="3"/>
  <c r="BA310" i="3"/>
  <c r="AZ310" i="3" s="1"/>
  <c r="BL311" i="3"/>
  <c r="AZ311" i="3"/>
  <c r="G312" i="3"/>
  <c r="BA314" i="3"/>
  <c r="BL315" i="3"/>
  <c r="G316" i="3"/>
  <c r="BA318" i="3"/>
  <c r="BL319" i="3"/>
  <c r="AZ319" i="3" s="1"/>
  <c r="G320" i="3"/>
  <c r="BA322" i="3"/>
  <c r="BL323" i="3"/>
  <c r="AZ323" i="3"/>
  <c r="G324" i="3"/>
  <c r="BA326" i="3"/>
  <c r="AZ326" i="3" s="1"/>
  <c r="BL327" i="3"/>
  <c r="AZ327" i="3"/>
  <c r="G328" i="3"/>
  <c r="BA330" i="3"/>
  <c r="AZ330" i="3" s="1"/>
  <c r="BL331" i="3"/>
  <c r="AZ331" i="3"/>
  <c r="G332" i="3"/>
  <c r="BA334" i="3"/>
  <c r="BL335" i="3"/>
  <c r="AZ335" i="3" s="1"/>
  <c r="G336" i="3"/>
  <c r="BA338" i="3"/>
  <c r="AZ338" i="3"/>
  <c r="BL339" i="3"/>
  <c r="AZ339" i="3"/>
  <c r="G340" i="3"/>
  <c r="BL343" i="3"/>
  <c r="AZ343" i="3" s="1"/>
  <c r="G344" i="3"/>
  <c r="G348" i="3"/>
  <c r="G355" i="3"/>
  <c r="AZ222" i="3"/>
  <c r="AZ303" i="3"/>
  <c r="G342" i="3"/>
  <c r="BL345" i="3"/>
  <c r="AZ345" i="3"/>
  <c r="G346" i="3"/>
  <c r="BL349" i="3"/>
  <c r="BL352" i="3"/>
  <c r="G353" i="3"/>
  <c r="BA357" i="3"/>
  <c r="BL358" i="3"/>
  <c r="G359" i="3"/>
  <c r="BA361" i="3"/>
  <c r="AZ361" i="3" s="1"/>
  <c r="BL362" i="3"/>
  <c r="AZ362" i="3" s="1"/>
  <c r="G363" i="3"/>
  <c r="BA365" i="3"/>
  <c r="AZ365" i="3" s="1"/>
  <c r="BL366" i="3"/>
  <c r="G367" i="3"/>
  <c r="BA369" i="3"/>
  <c r="AZ369" i="3" s="1"/>
  <c r="BL370" i="3"/>
  <c r="AZ370" i="3" s="1"/>
  <c r="G371" i="3"/>
  <c r="BA373" i="3"/>
  <c r="AZ373" i="3"/>
  <c r="BL374" i="3"/>
  <c r="G375" i="3"/>
  <c r="BA377" i="3"/>
  <c r="AZ377" i="3"/>
  <c r="AZ229" i="3"/>
  <c r="AZ237" i="3"/>
  <c r="AZ253" i="3"/>
  <c r="AZ257" i="3"/>
  <c r="AZ273" i="3"/>
  <c r="BA379" i="3"/>
  <c r="AZ379" i="3" s="1"/>
  <c r="BL380" i="3"/>
  <c r="G381" i="3"/>
  <c r="BA383" i="3"/>
  <c r="AZ383" i="3"/>
  <c r="BL384" i="3"/>
  <c r="G385" i="3"/>
  <c r="BA387" i="3"/>
  <c r="BL388" i="3"/>
  <c r="AZ388" i="3" s="1"/>
  <c r="G389" i="3"/>
  <c r="BA391" i="3"/>
  <c r="AZ391" i="3" s="1"/>
  <c r="BL392" i="3"/>
  <c r="G393" i="3"/>
  <c r="AZ291" i="3"/>
  <c r="AZ295" i="3"/>
  <c r="AZ299" i="3"/>
  <c r="BO5" i="3"/>
  <c r="BH5" i="3"/>
  <c r="AZ317" i="3"/>
  <c r="AZ341" i="3"/>
  <c r="AZ549" i="3"/>
  <c r="AZ506" i="3"/>
  <c r="AZ496" i="3"/>
  <c r="G548" i="3"/>
  <c r="G520" i="3"/>
  <c r="G502" i="3"/>
  <c r="BK5" i="3"/>
  <c r="BE5" i="3"/>
  <c r="G17" i="3"/>
  <c r="BA17" i="3"/>
  <c r="BT5" i="3"/>
  <c r="AZ352" i="3"/>
  <c r="AZ356" i="3"/>
  <c r="AZ364" i="3"/>
  <c r="AZ368" i="3"/>
  <c r="BA15" i="3"/>
  <c r="AZ15" i="3"/>
  <c r="BB5" i="3"/>
  <c r="AZ380" i="3"/>
  <c r="AZ392" i="3"/>
  <c r="AZ394" i="3"/>
  <c r="G509" i="3"/>
  <c r="AZ390" i="3"/>
  <c r="U36" i="40"/>
  <c r="F36" i="43"/>
  <c r="F48" i="43"/>
  <c r="H52" i="43" s="1"/>
  <c r="F70" i="43"/>
  <c r="H73" i="43" s="1"/>
  <c r="M11" i="43"/>
  <c r="F39" i="43"/>
  <c r="F35" i="43"/>
  <c r="F6" i="1"/>
  <c r="G6" i="1" s="1"/>
  <c r="U17" i="39"/>
  <c r="S14" i="35"/>
  <c r="U43" i="21"/>
  <c r="U35" i="21"/>
  <c r="AC35" i="21"/>
  <c r="U10" i="21"/>
  <c r="G8" i="1"/>
  <c r="G9" i="1"/>
  <c r="G10" i="1"/>
  <c r="AC11" i="39"/>
  <c r="AZ501" i="3"/>
  <c r="W37" i="37"/>
  <c r="W44" i="34"/>
  <c r="AC44" i="34"/>
  <c r="S15" i="37"/>
  <c r="U13" i="37"/>
  <c r="U12" i="40"/>
  <c r="AA12" i="40"/>
  <c r="J37" i="33"/>
  <c r="W37" i="33"/>
  <c r="AC17" i="34"/>
  <c r="F106" i="33"/>
  <c r="G106" i="33"/>
  <c r="H106" i="33" s="1"/>
  <c r="I106" i="33"/>
  <c r="J106" i="33" s="1"/>
  <c r="K106" i="33" s="1"/>
  <c r="L106" i="33" s="1"/>
  <c r="M106" i="33" s="1"/>
  <c r="J34" i="33"/>
  <c r="AC34" i="33" s="1"/>
  <c r="F33" i="34"/>
  <c r="S33" i="34" s="1"/>
  <c r="W12" i="36"/>
  <c r="AC12" i="36"/>
  <c r="H20" i="36"/>
  <c r="U20" i="36"/>
  <c r="J20" i="36"/>
  <c r="W20" i="36"/>
  <c r="W24" i="36"/>
  <c r="J27" i="36"/>
  <c r="W27" i="36"/>
  <c r="AB25" i="37"/>
  <c r="AC33" i="40"/>
  <c r="F111" i="40"/>
  <c r="G111" i="40" s="1"/>
  <c r="H111" i="40"/>
  <c r="I111" i="40" s="1"/>
  <c r="J111" i="40"/>
  <c r="K111" i="40" s="1"/>
  <c r="L111" i="40" s="1"/>
  <c r="M111" i="40" s="1"/>
  <c r="H35" i="40"/>
  <c r="AB35" i="40"/>
  <c r="AC29" i="35"/>
  <c r="W29" i="35"/>
  <c r="H35" i="37"/>
  <c r="U35" i="37" s="1"/>
  <c r="AC14" i="35"/>
  <c r="H20" i="35"/>
  <c r="U20" i="35"/>
  <c r="F20" i="35"/>
  <c r="AA20" i="35" s="1"/>
  <c r="AB23" i="35"/>
  <c r="AB29" i="36"/>
  <c r="U29" i="36"/>
  <c r="H32" i="37"/>
  <c r="AB32" i="37" s="1"/>
  <c r="F96" i="37"/>
  <c r="G96" i="37" s="1"/>
  <c r="H27" i="40"/>
  <c r="U27" i="40"/>
  <c r="J27" i="40"/>
  <c r="AC27" i="40"/>
  <c r="F27" i="40"/>
  <c r="S27" i="40" s="1"/>
  <c r="J30" i="40"/>
  <c r="AC30" i="40" s="1"/>
  <c r="F30" i="40"/>
  <c r="AA30" i="40"/>
  <c r="AC21" i="40"/>
  <c r="S31" i="39"/>
  <c r="S11" i="40"/>
  <c r="E98" i="40"/>
  <c r="F98" i="40" s="1"/>
  <c r="G98" i="40" s="1"/>
  <c r="H98" i="40" s="1"/>
  <c r="I98" i="40" s="1"/>
  <c r="J98" i="40" s="1"/>
  <c r="K98" i="40" s="1"/>
  <c r="L98" i="40" s="1"/>
  <c r="M98" i="40" s="1"/>
  <c r="F10" i="33"/>
  <c r="S10" i="33" s="1"/>
  <c r="F34" i="33"/>
  <c r="S34" i="33"/>
  <c r="H34" i="33"/>
  <c r="U34" i="33"/>
  <c r="F35" i="33"/>
  <c r="S35" i="33" s="1"/>
  <c r="F39" i="34"/>
  <c r="J39" i="34"/>
  <c r="W39" i="34" s="1"/>
  <c r="F40" i="34"/>
  <c r="S40" i="34"/>
  <c r="F43" i="34"/>
  <c r="AA43" i="34"/>
  <c r="H44" i="34"/>
  <c r="AB44" i="34"/>
  <c r="AC38" i="39"/>
  <c r="F39" i="39"/>
  <c r="S39" i="39" s="1"/>
  <c r="J39" i="39"/>
  <c r="AC39" i="39"/>
  <c r="E97" i="39"/>
  <c r="F97" i="39" s="1"/>
  <c r="G97" i="39" s="1"/>
  <c r="C40" i="11"/>
  <c r="AZ227" i="3"/>
  <c r="AZ232" i="3"/>
  <c r="AZ256" i="3"/>
  <c r="AZ271" i="3"/>
  <c r="AZ117" i="3"/>
  <c r="AZ130" i="3"/>
  <c r="AZ29" i="3"/>
  <c r="AZ31" i="3"/>
  <c r="AZ37" i="3"/>
  <c r="AZ42" i="3"/>
  <c r="AZ102" i="3"/>
  <c r="H50" i="43"/>
  <c r="I20" i="43"/>
  <c r="F23" i="39"/>
  <c r="AA23" i="39" s="1"/>
  <c r="H27" i="36"/>
  <c r="AB27" i="36" s="1"/>
  <c r="U27" i="36"/>
  <c r="F27" i="36"/>
  <c r="AA27" i="36" s="1"/>
  <c r="H33" i="34"/>
  <c r="U33" i="34"/>
  <c r="F32" i="37"/>
  <c r="AA32" i="37"/>
  <c r="H96" i="37"/>
  <c r="I96" i="37"/>
  <c r="J96" i="37" s="1"/>
  <c r="K96" i="37" s="1"/>
  <c r="L96" i="37" s="1"/>
  <c r="M96" i="37" s="1"/>
  <c r="F20" i="36"/>
  <c r="AA20" i="36" s="1"/>
  <c r="J33" i="34"/>
  <c r="AC33" i="34" s="1"/>
  <c r="H23" i="39"/>
  <c r="U23" i="39" s="1"/>
  <c r="D48" i="9"/>
  <c r="M52" i="9" s="1"/>
  <c r="K9" i="1"/>
  <c r="M9" i="1" s="1"/>
  <c r="AE9" i="1"/>
  <c r="D93" i="9"/>
  <c r="AC26" i="33"/>
  <c r="W26" i="33"/>
  <c r="W27" i="34"/>
  <c r="AC27" i="34"/>
  <c r="AB34" i="36"/>
  <c r="U34" i="36"/>
  <c r="AB33" i="36"/>
  <c r="U33" i="36"/>
  <c r="AC12" i="39"/>
  <c r="W12" i="39"/>
  <c r="AC39" i="40"/>
  <c r="W39" i="40"/>
  <c r="AZ401" i="3"/>
  <c r="AZ428" i="3"/>
  <c r="AZ586" i="3"/>
  <c r="W12" i="33"/>
  <c r="AC12" i="33"/>
  <c r="AA32" i="36"/>
  <c r="S32" i="36"/>
  <c r="BL14" i="3"/>
  <c r="AZ266" i="3"/>
  <c r="U30" i="33"/>
  <c r="AA47" i="34"/>
  <c r="S19" i="39"/>
  <c r="F12" i="33"/>
  <c r="H12" i="39"/>
  <c r="AB12" i="39" s="1"/>
  <c r="F39" i="40"/>
  <c r="BA14" i="3"/>
  <c r="AZ14" i="3" s="1"/>
  <c r="AZ281" i="3"/>
  <c r="AZ286" i="3"/>
  <c r="AZ149" i="3"/>
  <c r="AZ165" i="3"/>
  <c r="AZ173" i="3"/>
  <c r="AZ189" i="3"/>
  <c r="AZ41" i="3"/>
  <c r="S12" i="1"/>
  <c r="AR12" i="1" s="1"/>
  <c r="R12" i="1"/>
  <c r="B12" i="1"/>
  <c r="E12" i="1"/>
  <c r="S10" i="1"/>
  <c r="AQ10" i="1" s="1"/>
  <c r="R10" i="1"/>
  <c r="B10" i="1"/>
  <c r="E10" i="1"/>
  <c r="AZ80" i="3"/>
  <c r="AZ84" i="3"/>
  <c r="AZ107" i="3"/>
  <c r="K12" i="1"/>
  <c r="M12" i="1" s="1"/>
  <c r="S13" i="1"/>
  <c r="AR13" i="1" s="1"/>
  <c r="R13" i="1"/>
  <c r="S11" i="1"/>
  <c r="AQ11" i="1" s="1"/>
  <c r="R11" i="1"/>
  <c r="S9" i="1"/>
  <c r="AR9" i="1" s="1"/>
  <c r="R9" i="1"/>
  <c r="J51" i="67"/>
  <c r="C42" i="1"/>
  <c r="H100" i="43"/>
  <c r="C30" i="66"/>
  <c r="E26" i="66" s="1"/>
  <c r="AA34" i="33"/>
  <c r="B41" i="1"/>
  <c r="J100" i="43"/>
  <c r="AB37" i="40"/>
  <c r="S35" i="40"/>
  <c r="U35" i="40"/>
  <c r="AC36" i="40"/>
  <c r="W38" i="40"/>
  <c r="AA32" i="40"/>
  <c r="S17" i="40"/>
  <c r="S23" i="40"/>
  <c r="AC17" i="40"/>
  <c r="AC15" i="40"/>
  <c r="AB27" i="40"/>
  <c r="S30" i="40"/>
  <c r="S28" i="40"/>
  <c r="AA27" i="40"/>
  <c r="U21" i="40"/>
  <c r="AB19" i="40"/>
  <c r="W42" i="39"/>
  <c r="U37" i="39"/>
  <c r="W39" i="39"/>
  <c r="S43" i="39"/>
  <c r="S37" i="39"/>
  <c r="U35" i="39"/>
  <c r="F32" i="39"/>
  <c r="F107" i="39"/>
  <c r="G107" i="39"/>
  <c r="U25" i="39"/>
  <c r="AB27" i="39"/>
  <c r="U31" i="39"/>
  <c r="S25" i="39"/>
  <c r="J21" i="39"/>
  <c r="AC21" i="39" s="1"/>
  <c r="F21" i="39"/>
  <c r="H21" i="39"/>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U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AA23" i="37" s="1"/>
  <c r="U23" i="37"/>
  <c r="U15" i="37"/>
  <c r="AC13" i="37"/>
  <c r="AA13" i="37"/>
  <c r="AA12" i="37"/>
  <c r="AA9" i="37"/>
  <c r="H10" i="37"/>
  <c r="H60" i="37"/>
  <c r="F63" i="37"/>
  <c r="F11" i="37"/>
  <c r="AA11" i="37" s="1"/>
  <c r="S27" i="34"/>
  <c r="W25" i="34"/>
  <c r="AB8" i="34"/>
  <c r="AA33" i="34"/>
  <c r="U44" i="34"/>
  <c r="U43"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H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F85" i="33"/>
  <c r="H23" i="33"/>
  <c r="F81" i="33"/>
  <c r="F19" i="33"/>
  <c r="S19" i="33" s="1"/>
  <c r="W19" i="33"/>
  <c r="J17" i="33"/>
  <c r="W17" i="33" s="1"/>
  <c r="F79" i="33"/>
  <c r="S15" i="33"/>
  <c r="W15" i="33"/>
  <c r="U9" i="33"/>
  <c r="I66" i="33"/>
  <c r="J10" i="33"/>
  <c r="H10" i="33"/>
  <c r="U10" i="33" s="1"/>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AQ12" i="1"/>
  <c r="AR10" i="1"/>
  <c r="E19" i="69"/>
  <c r="E19" i="68"/>
  <c r="E19" i="11"/>
  <c r="E1" i="73"/>
  <c r="G22" i="69"/>
  <c r="G22" i="68"/>
  <c r="G26" i="12"/>
  <c r="G22" i="11"/>
  <c r="C100" i="43"/>
  <c r="E11" i="43"/>
  <c r="E10" i="43"/>
  <c r="E9" i="43"/>
  <c r="E8" i="43"/>
  <c r="E48" i="43"/>
  <c r="B46" i="43"/>
  <c r="E70" i="43"/>
  <c r="B68" i="43" s="1"/>
  <c r="F100" i="43"/>
  <c r="H17" i="43"/>
  <c r="H78" i="43"/>
  <c r="C17" i="43"/>
  <c r="K17" i="43"/>
  <c r="N6" i="43"/>
  <c r="N3" i="43"/>
  <c r="F37" i="43"/>
  <c r="M9" i="43"/>
  <c r="N5" i="43"/>
  <c r="M12" i="43"/>
  <c r="B19" i="53"/>
  <c r="B37" i="72"/>
  <c r="C7" i="39"/>
  <c r="C68" i="39" s="1"/>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C4" i="12"/>
  <c r="H65" i="43"/>
  <c r="H63" i="43"/>
  <c r="H56" i="43"/>
  <c r="L20" i="6"/>
  <c r="B6" i="1"/>
  <c r="E6" i="1"/>
  <c r="S8" i="1"/>
  <c r="AR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s="1"/>
  <c r="AA26" i="21"/>
  <c r="AB14" i="21"/>
  <c r="AB46" i="21"/>
  <c r="U40" i="21"/>
  <c r="AB31" i="21"/>
  <c r="U31" i="21"/>
  <c r="AC15" i="21"/>
  <c r="U13" i="21"/>
  <c r="AB13" i="21"/>
  <c r="W8" i="21"/>
  <c r="S35" i="21"/>
  <c r="AB37" i="21"/>
  <c r="J37" i="21"/>
  <c r="AC37" i="21" s="1"/>
  <c r="W37" i="21"/>
  <c r="H15" i="21"/>
  <c r="U15" i="21" s="1"/>
  <c r="J17" i="21"/>
  <c r="AC19" i="21"/>
  <c r="W39" i="21"/>
  <c r="AC14" i="21"/>
  <c r="W30" i="21"/>
  <c r="S46" i="21"/>
  <c r="H45" i="21"/>
  <c r="U45" i="21" s="1"/>
  <c r="F29" i="21"/>
  <c r="AA29" i="21" s="1"/>
  <c r="S29" i="21"/>
  <c r="F13" i="21"/>
  <c r="AA13" i="21"/>
  <c r="AC38" i="21"/>
  <c r="H32" i="21"/>
  <c r="U32" i="21" s="1"/>
  <c r="H9" i="21"/>
  <c r="J9" i="21"/>
  <c r="J32" i="21"/>
  <c r="W32" i="21" s="1"/>
  <c r="F32" i="21"/>
  <c r="AA32" i="21" s="1"/>
  <c r="AA31" i="21"/>
  <c r="U17" i="21"/>
  <c r="S19" i="21"/>
  <c r="S9" i="21"/>
  <c r="AA9" i="21"/>
  <c r="K141" i="21"/>
  <c r="K144" i="21"/>
  <c r="K143" i="21"/>
  <c r="U27" i="21"/>
  <c r="AB25" i="21"/>
  <c r="AB44" i="21"/>
  <c r="AA30" i="21"/>
  <c r="W13" i="21"/>
  <c r="W42" i="21"/>
  <c r="AC45" i="21"/>
  <c r="F10" i="21"/>
  <c r="K145" i="21"/>
  <c r="W25"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R11" i="1"/>
  <c r="T13" i="1"/>
  <c r="AA39" i="40"/>
  <c r="S39" i="40"/>
  <c r="S12" i="33"/>
  <c r="AA12" i="33"/>
  <c r="J32" i="39"/>
  <c r="W32" i="39" s="1"/>
  <c r="H107" i="39"/>
  <c r="I107" i="39" s="1"/>
  <c r="J107" i="39"/>
  <c r="K107" i="39"/>
  <c r="L107" i="39" s="1"/>
  <c r="M107" i="39" s="1"/>
  <c r="H32" i="39"/>
  <c r="AA32" i="39"/>
  <c r="S32" i="39"/>
  <c r="AB21" i="39"/>
  <c r="U21" i="39"/>
  <c r="AA21" i="39"/>
  <c r="S21" i="39"/>
  <c r="W21" i="39"/>
  <c r="S26" i="35"/>
  <c r="U9" i="35"/>
  <c r="AB9" i="35"/>
  <c r="AA9" i="35"/>
  <c r="S9" i="35"/>
  <c r="AC26" i="35"/>
  <c r="W26" i="35"/>
  <c r="AB26" i="35"/>
  <c r="U26" i="35"/>
  <c r="AC17" i="37"/>
  <c r="J19" i="37"/>
  <c r="W19" i="37" s="1"/>
  <c r="G75" i="37"/>
  <c r="S19" i="37"/>
  <c r="AA19" i="37"/>
  <c r="J23" i="37"/>
  <c r="AC23" i="37" s="1"/>
  <c r="G79" i="37"/>
  <c r="J10" i="37"/>
  <c r="AC10" i="37" s="1"/>
  <c r="I60" i="37"/>
  <c r="G63" i="37"/>
  <c r="H63" i="37" s="1"/>
  <c r="I63" i="37" s="1"/>
  <c r="J63" i="37" s="1"/>
  <c r="H11" i="37"/>
  <c r="AB11" i="37" s="1"/>
  <c r="AB10" i="37"/>
  <c r="U10" i="37"/>
  <c r="G70" i="34"/>
  <c r="H70" i="34" s="1"/>
  <c r="I70" i="34" s="1"/>
  <c r="J70" i="34" s="1"/>
  <c r="K70" i="34" s="1"/>
  <c r="L70" i="34" s="1"/>
  <c r="M70" i="34" s="1"/>
  <c r="H11" i="34"/>
  <c r="AB10" i="34"/>
  <c r="U10" i="34"/>
  <c r="J10" i="34"/>
  <c r="AC10" i="34" s="1"/>
  <c r="I67" i="34"/>
  <c r="AB41" i="33"/>
  <c r="U41" i="33"/>
  <c r="W35" i="33"/>
  <c r="AC35" i="33"/>
  <c r="I111" i="33"/>
  <c r="J111" i="33" s="1"/>
  <c r="K111" i="33" s="1"/>
  <c r="L111" i="33" s="1"/>
  <c r="M111" i="33" s="1"/>
  <c r="J36" i="33"/>
  <c r="H36" i="33"/>
  <c r="U36" i="33" s="1"/>
  <c r="S36" i="33"/>
  <c r="AA36" i="33"/>
  <c r="AC32" i="33"/>
  <c r="W32" i="33"/>
  <c r="AB27" i="33"/>
  <c r="G91" i="33"/>
  <c r="H91" i="33" s="1"/>
  <c r="I91" i="33" s="1"/>
  <c r="J91" i="33" s="1"/>
  <c r="K91" i="33" s="1"/>
  <c r="L91" i="33" s="1"/>
  <c r="M91" i="33" s="1"/>
  <c r="J27" i="33"/>
  <c r="AC27" i="33" s="1"/>
  <c r="U25" i="33"/>
  <c r="AB25" i="33"/>
  <c r="AA25" i="33"/>
  <c r="G87" i="33"/>
  <c r="H87" i="33"/>
  <c r="I87" i="33" s="1"/>
  <c r="J87" i="33" s="1"/>
  <c r="K87" i="33"/>
  <c r="L87" i="33"/>
  <c r="M87" i="33" s="1"/>
  <c r="J25" i="33"/>
  <c r="AB23" i="33"/>
  <c r="U23" i="33"/>
  <c r="F23" i="33"/>
  <c r="G85" i="33"/>
  <c r="AC23" i="33"/>
  <c r="W23" i="33"/>
  <c r="AA19" i="33"/>
  <c r="H19" i="33"/>
  <c r="G81" i="33"/>
  <c r="G79" i="33"/>
  <c r="H17" i="33"/>
  <c r="AB17" i="33" s="1"/>
  <c r="F17" i="33"/>
  <c r="S17" i="33" s="1"/>
  <c r="AC17" i="33"/>
  <c r="AB10" i="33"/>
  <c r="AC10" i="33"/>
  <c r="W10" i="33"/>
  <c r="U33" i="21"/>
  <c r="S37" i="21"/>
  <c r="AB15" i="21"/>
  <c r="J23" i="21"/>
  <c r="F85" i="21"/>
  <c r="G85" i="21"/>
  <c r="H23" i="21"/>
  <c r="S13" i="21"/>
  <c r="D6" i="52"/>
  <c r="L27" i="6"/>
  <c r="AP7" i="1"/>
  <c r="AB45" i="21"/>
  <c r="AC33" i="21"/>
  <c r="W33" i="21"/>
  <c r="S33" i="21"/>
  <c r="AA33" i="21"/>
  <c r="AC32" i="21"/>
  <c r="AB9" i="21"/>
  <c r="U9" i="21"/>
  <c r="S32" i="21"/>
  <c r="W9" i="21"/>
  <c r="AC9" i="21"/>
  <c r="AB32" i="21"/>
  <c r="AA10" i="21"/>
  <c r="S10" i="21"/>
  <c r="U32" i="39"/>
  <c r="AB32" i="39"/>
  <c r="AC32" i="39"/>
  <c r="AC19" i="37"/>
  <c r="W23" i="37"/>
  <c r="U11" i="37"/>
  <c r="K63" i="37"/>
  <c r="L63" i="37" s="1"/>
  <c r="M63" i="37" s="1"/>
  <c r="J11" i="37"/>
  <c r="W11" i="37" s="1"/>
  <c r="W10" i="37"/>
  <c r="U11" i="34"/>
  <c r="AB11" i="34"/>
  <c r="J11" i="34"/>
  <c r="AC36" i="33"/>
  <c r="W36" i="33"/>
  <c r="AB36" i="33"/>
  <c r="W27" i="33"/>
  <c r="AA23" i="33"/>
  <c r="S23" i="33"/>
  <c r="AB19" i="33"/>
  <c r="U19" i="33"/>
  <c r="U17" i="33"/>
  <c r="U23" i="21"/>
  <c r="AB23" i="21"/>
  <c r="F34" i="11"/>
  <c r="F11" i="12"/>
  <c r="C23" i="12" s="1"/>
  <c r="F34" i="68"/>
  <c r="R8" i="1"/>
  <c r="AE8" i="1"/>
  <c r="AG6" i="1"/>
  <c r="H109" i="9"/>
  <c r="D16" i="53" s="1"/>
  <c r="B34" i="72"/>
  <c r="D17" i="53"/>
  <c r="B36" i="72" s="1"/>
  <c r="H112" i="9"/>
  <c r="D21" i="53" s="1"/>
  <c r="B39" i="72" s="1"/>
  <c r="H111" i="9"/>
  <c r="D19" i="53" s="1"/>
  <c r="B38" i="72" s="1"/>
  <c r="D126" i="9"/>
  <c r="I14" i="74" s="1"/>
  <c r="B8" i="74" s="1"/>
  <c r="D20" i="53"/>
  <c r="B40" i="72" s="1"/>
  <c r="AD3" i="71"/>
  <c r="J1" i="73"/>
  <c r="H76" i="43"/>
  <c r="H67" i="43"/>
  <c r="H60" i="43"/>
  <c r="M4" i="43"/>
  <c r="M5" i="43"/>
  <c r="N12" i="43"/>
  <c r="N11" i="43"/>
  <c r="M10" i="43"/>
  <c r="M2" i="43"/>
  <c r="M7" i="43"/>
  <c r="H54" i="43"/>
  <c r="N9" i="43"/>
  <c r="M8" i="43"/>
  <c r="N10" i="43"/>
  <c r="H48" i="43"/>
  <c r="M6" i="43"/>
  <c r="N7" i="43"/>
  <c r="F81" i="43" s="1"/>
  <c r="N4" i="43"/>
  <c r="N2" i="43"/>
  <c r="H49" i="43"/>
  <c r="N17" i="43"/>
  <c r="L17" i="43"/>
  <c r="O17" i="43"/>
  <c r="M17" i="43"/>
  <c r="E17" i="43"/>
  <c r="C70" i="39"/>
  <c r="D68" i="39"/>
  <c r="D70" i="39" s="1"/>
  <c r="E46" i="36"/>
  <c r="F46" i="36" s="1"/>
  <c r="G46" i="36" s="1"/>
  <c r="H46" i="36" s="1"/>
  <c r="I46" i="36" s="1"/>
  <c r="C24" i="12"/>
  <c r="C17" i="71"/>
  <c r="C16" i="71" s="1"/>
  <c r="D18" i="71"/>
  <c r="D19" i="71"/>
  <c r="U19" i="71" s="1"/>
  <c r="T19" i="71"/>
  <c r="AB17" i="71"/>
  <c r="X15" i="71"/>
  <c r="X14" i="71"/>
  <c r="AA15" i="71"/>
  <c r="AA14" i="71"/>
  <c r="X18" i="71"/>
  <c r="Z13" i="71"/>
  <c r="Y14" i="71"/>
  <c r="Z14" i="71" s="1"/>
  <c r="AB15" i="71"/>
  <c r="AB14" i="71"/>
  <c r="Y15" i="71"/>
  <c r="Z15" i="71" s="1"/>
  <c r="X3" i="71"/>
  <c r="E68" i="39"/>
  <c r="F68" i="39" s="1"/>
  <c r="I59" i="34"/>
  <c r="J59" i="34" s="1"/>
  <c r="F41" i="67"/>
  <c r="F43" i="67"/>
  <c r="J15" i="15"/>
  <c r="M8" i="67"/>
  <c r="F16" i="15"/>
  <c r="L48" i="67"/>
  <c r="C76" i="15"/>
  <c r="M28" i="15"/>
  <c r="F38" i="15"/>
  <c r="E2" i="69"/>
  <c r="M6" i="67"/>
  <c r="M9" i="67"/>
  <c r="F16" i="67"/>
  <c r="M21" i="67"/>
  <c r="M23" i="67"/>
  <c r="M28" i="67"/>
  <c r="M27" i="15"/>
  <c r="D7" i="73"/>
  <c r="E9" i="76"/>
  <c r="J15" i="67"/>
  <c r="D4" i="73"/>
  <c r="F7" i="67"/>
  <c r="E7" i="76"/>
  <c r="D2" i="37"/>
  <c r="D5" i="73"/>
  <c r="B8" i="76"/>
  <c r="F37" i="15"/>
  <c r="M8" i="15"/>
  <c r="AO13" i="1"/>
  <c r="F26" i="67"/>
  <c r="F38" i="67"/>
  <c r="F6" i="67"/>
  <c r="B11" i="76"/>
  <c r="AO12" i="1"/>
  <c r="D2" i="33"/>
  <c r="AO10" i="1"/>
  <c r="M23" i="15"/>
  <c r="AO11" i="1"/>
  <c r="E8" i="76"/>
  <c r="B9" i="76"/>
  <c r="F36" i="67"/>
  <c r="D6" i="73"/>
  <c r="F40" i="67"/>
  <c r="F26" i="15"/>
  <c r="E10" i="76"/>
  <c r="F6" i="73"/>
  <c r="E12" i="76"/>
  <c r="C76" i="67"/>
  <c r="D3" i="73"/>
  <c r="B10" i="76"/>
  <c r="F36" i="15"/>
  <c r="F37" i="67"/>
  <c r="E13" i="76"/>
  <c r="M26" i="67"/>
  <c r="E11" i="76"/>
  <c r="B7" i="76"/>
  <c r="E2" i="68"/>
  <c r="M9" i="15"/>
  <c r="F9" i="15"/>
  <c r="B13" i="76"/>
  <c r="F42" i="15"/>
  <c r="F5" i="73"/>
  <c r="L47" i="67"/>
  <c r="F42" i="67"/>
  <c r="M22" i="67"/>
  <c r="AO9" i="1"/>
  <c r="F3" i="73"/>
  <c r="B12" i="76"/>
  <c r="D2" i="35"/>
  <c r="M24" i="67"/>
  <c r="F7" i="73"/>
  <c r="M6" i="15"/>
  <c r="M27" i="67"/>
  <c r="D2" i="34"/>
  <c r="F4" i="73"/>
  <c r="D2" i="36"/>
  <c r="F9" i="67"/>
  <c r="M26" i="15"/>
  <c r="F13" i="15"/>
  <c r="D2" i="21"/>
  <c r="F8" i="67"/>
  <c r="M29" i="67"/>
  <c r="L48" i="15"/>
  <c r="M24" i="15"/>
  <c r="AO8" i="1"/>
  <c r="F35" i="67"/>
  <c r="F13" i="67"/>
  <c r="F20" i="31"/>
  <c r="AC23" i="21" l="1"/>
  <c r="W23" i="21"/>
  <c r="BL530" i="3"/>
  <c r="AZ530" i="3" s="1"/>
  <c r="BM5" i="3"/>
  <c r="F29" i="6" s="1"/>
  <c r="G533" i="3"/>
  <c r="AC5" i="3"/>
  <c r="BL528" i="3"/>
  <c r="BP5" i="3"/>
  <c r="D17" i="71"/>
  <c r="BA529" i="3"/>
  <c r="AZ529" i="3" s="1"/>
  <c r="BG5" i="3"/>
  <c r="E12" i="6" s="1"/>
  <c r="AA17" i="33"/>
  <c r="BA531" i="3"/>
  <c r="BD5" i="3"/>
  <c r="BC5" i="3"/>
  <c r="BA528" i="3"/>
  <c r="AZ528" i="3" s="1"/>
  <c r="AC17" i="21"/>
  <c r="W17" i="21"/>
  <c r="S28" i="34"/>
  <c r="AA28" i="34"/>
  <c r="AZ536" i="3"/>
  <c r="BI5" i="3"/>
  <c r="BA532" i="3"/>
  <c r="AZ532" i="3" s="1"/>
  <c r="BF5" i="3"/>
  <c r="BA526" i="3"/>
  <c r="AZ526" i="3" s="1"/>
  <c r="H5" i="3"/>
  <c r="E19" i="6" s="1"/>
  <c r="K6" i="1" s="1"/>
  <c r="G530" i="3"/>
  <c r="D16" i="71"/>
  <c r="C15" i="71"/>
  <c r="W25" i="33"/>
  <c r="AC25" i="33"/>
  <c r="W11" i="34"/>
  <c r="AC11" i="34"/>
  <c r="BL533" i="3"/>
  <c r="AZ533" i="3" s="1"/>
  <c r="BN5" i="3"/>
  <c r="BA527" i="3"/>
  <c r="AZ527" i="3" s="1"/>
  <c r="BJ5" i="3"/>
  <c r="BL526" i="3"/>
  <c r="BS5" i="3"/>
  <c r="S24" i="36"/>
  <c r="AA10" i="37"/>
  <c r="S10" i="37"/>
  <c r="S11" i="37"/>
  <c r="S23" i="37"/>
  <c r="AA15" i="39"/>
  <c r="C7" i="43"/>
  <c r="W34" i="33"/>
  <c r="AZ376" i="3"/>
  <c r="AA23" i="21"/>
  <c r="W13" i="34"/>
  <c r="AC13" i="34"/>
  <c r="D124" i="9"/>
  <c r="W10" i="34"/>
  <c r="AZ13" i="3"/>
  <c r="AC11" i="37"/>
  <c r="H110" i="9"/>
  <c r="D18" i="53" s="1"/>
  <c r="B35" i="72" s="1"/>
  <c r="AQ8" i="1"/>
  <c r="U9" i="37"/>
  <c r="U35" i="34"/>
  <c r="AB35" i="34"/>
  <c r="AZ382" i="3"/>
  <c r="AZ547" i="3"/>
  <c r="S17" i="37"/>
  <c r="AZ357" i="3"/>
  <c r="AZ334" i="3"/>
  <c r="BL539" i="3"/>
  <c r="AZ539" i="3" s="1"/>
  <c r="AZ581" i="3"/>
  <c r="AZ538" i="3"/>
  <c r="AA14" i="33"/>
  <c r="S14" i="33"/>
  <c r="AZ559" i="3"/>
  <c r="F48" i="9"/>
  <c r="O52" i="9" s="1"/>
  <c r="F32" i="77"/>
  <c r="F60" i="77" s="1"/>
  <c r="F28" i="77"/>
  <c r="C28" i="77" s="1"/>
  <c r="M18" i="77"/>
  <c r="AC39" i="34"/>
  <c r="AZ546" i="3"/>
  <c r="W28" i="37"/>
  <c r="AC28" i="37"/>
  <c r="J29" i="21"/>
  <c r="H29" i="21"/>
  <c r="AZ179" i="3"/>
  <c r="S44" i="34"/>
  <c r="AA44" i="34"/>
  <c r="AZ318" i="3"/>
  <c r="S19" i="40"/>
  <c r="AA19" i="40"/>
  <c r="AZ516" i="3"/>
  <c r="AZ585" i="3"/>
  <c r="AC34" i="36"/>
  <c r="W34" i="36"/>
  <c r="AA39" i="34"/>
  <c r="S39" i="34"/>
  <c r="BL493" i="3"/>
  <c r="AZ493" i="3" s="1"/>
  <c r="BQ5" i="3"/>
  <c r="BL531" i="3"/>
  <c r="AZ329" i="3"/>
  <c r="AZ573" i="3"/>
  <c r="W14" i="39"/>
  <c r="AC14" i="39"/>
  <c r="AC30" i="34"/>
  <c r="F36" i="39"/>
  <c r="J36" i="39"/>
  <c r="W35" i="40"/>
  <c r="AB43" i="33"/>
  <c r="AZ494" i="3"/>
  <c r="W11" i="36"/>
  <c r="S44" i="33"/>
  <c r="AA45" i="33"/>
  <c r="AC44" i="21"/>
  <c r="S29" i="35"/>
  <c r="H45" i="39"/>
  <c r="F45" i="39"/>
  <c r="J45" i="39"/>
  <c r="AC28" i="21"/>
  <c r="AZ517" i="3"/>
  <c r="S13" i="35"/>
  <c r="S11" i="39"/>
  <c r="BL585" i="3"/>
  <c r="S25" i="21"/>
  <c r="U30" i="21"/>
  <c r="W33" i="37"/>
  <c r="AC33" i="33"/>
  <c r="W33" i="33"/>
  <c r="E8" i="6"/>
  <c r="E51" i="40" s="1"/>
  <c r="U28" i="37"/>
  <c r="S34" i="21"/>
  <c r="AA34" i="21"/>
  <c r="S44" i="39"/>
  <c r="AA44" i="39"/>
  <c r="U12" i="35"/>
  <c r="AB12" i="35"/>
  <c r="AC25" i="37"/>
  <c r="W25" i="37"/>
  <c r="AZ400" i="3"/>
  <c r="AZ453" i="3"/>
  <c r="AZ419" i="3"/>
  <c r="AZ422" i="3"/>
  <c r="AZ432" i="3"/>
  <c r="F23" i="35"/>
  <c r="H26" i="37"/>
  <c r="G552" i="3"/>
  <c r="C21" i="39"/>
  <c r="H12" i="33"/>
  <c r="J23" i="35"/>
  <c r="H34" i="35"/>
  <c r="AZ418" i="3"/>
  <c r="AZ445" i="3"/>
  <c r="J34" i="35"/>
  <c r="H39" i="40"/>
  <c r="BL550" i="3"/>
  <c r="AZ550" i="3" s="1"/>
  <c r="AZ436" i="3"/>
  <c r="AA39" i="37"/>
  <c r="I4" i="6"/>
  <c r="G3" i="43" s="1"/>
  <c r="F20" i="6"/>
  <c r="E20" i="6" s="1"/>
  <c r="K7" i="1" s="1"/>
  <c r="F25" i="37"/>
  <c r="BA551" i="3"/>
  <c r="AZ551" i="3" s="1"/>
  <c r="AZ458" i="3"/>
  <c r="AZ463" i="3"/>
  <c r="H12" i="36"/>
  <c r="AZ405" i="3"/>
  <c r="AZ431" i="3"/>
  <c r="G429" i="3"/>
  <c r="G473" i="3"/>
  <c r="G362" i="3"/>
  <c r="AZ244" i="3"/>
  <c r="BA408" i="3"/>
  <c r="AZ408" i="3" s="1"/>
  <c r="BA425" i="3"/>
  <c r="AZ225" i="3"/>
  <c r="G398" i="3"/>
  <c r="BA407" i="3"/>
  <c r="AZ407" i="3" s="1"/>
  <c r="BA424" i="3"/>
  <c r="AZ424" i="3" s="1"/>
  <c r="BA426" i="3"/>
  <c r="AZ426" i="3" s="1"/>
  <c r="G433" i="3"/>
  <c r="G436" i="3"/>
  <c r="G406" i="3"/>
  <c r="AZ492" i="3"/>
  <c r="BL348" i="3"/>
  <c r="AZ348" i="3" s="1"/>
  <c r="BL350" i="3"/>
  <c r="BL404" i="3"/>
  <c r="BL421" i="3"/>
  <c r="BL469" i="3"/>
  <c r="BL490" i="3"/>
  <c r="AZ490" i="3" s="1"/>
  <c r="BL314" i="3"/>
  <c r="AZ314" i="3" s="1"/>
  <c r="BL375" i="3"/>
  <c r="AZ375" i="3" s="1"/>
  <c r="BA429" i="3"/>
  <c r="AZ429" i="3" s="1"/>
  <c r="BL431" i="3"/>
  <c r="BL465" i="3"/>
  <c r="AZ465" i="3" s="1"/>
  <c r="BA473" i="3"/>
  <c r="AZ473" i="3" s="1"/>
  <c r="AZ474" i="3"/>
  <c r="BA475" i="3"/>
  <c r="AZ475" i="3" s="1"/>
  <c r="AZ478" i="3"/>
  <c r="BA479" i="3"/>
  <c r="AZ479" i="3" s="1"/>
  <c r="AZ482" i="3"/>
  <c r="BA483" i="3"/>
  <c r="AZ483" i="3" s="1"/>
  <c r="BA485" i="3"/>
  <c r="AZ485" i="3" s="1"/>
  <c r="AZ486" i="3"/>
  <c r="BA487" i="3"/>
  <c r="AZ487" i="3" s="1"/>
  <c r="BA489" i="3"/>
  <c r="AZ489" i="3" s="1"/>
  <c r="AZ316" i="3"/>
  <c r="M20" i="15"/>
  <c r="F34" i="77"/>
  <c r="F62" i="77" s="1"/>
  <c r="M20" i="77"/>
  <c r="BA404" i="3"/>
  <c r="AZ404" i="3" s="1"/>
  <c r="G416" i="3"/>
  <c r="BA421" i="3"/>
  <c r="BL432" i="3"/>
  <c r="BL435" i="3"/>
  <c r="BL438" i="3"/>
  <c r="BL463" i="3"/>
  <c r="BA469" i="3"/>
  <c r="BA471" i="3"/>
  <c r="AZ471" i="3" s="1"/>
  <c r="BA472" i="3"/>
  <c r="AZ472" i="3" s="1"/>
  <c r="BA477" i="3"/>
  <c r="AZ477" i="3" s="1"/>
  <c r="BA481" i="3"/>
  <c r="AZ481" i="3" s="1"/>
  <c r="BA491" i="3"/>
  <c r="AZ491" i="3" s="1"/>
  <c r="BA315" i="3"/>
  <c r="AZ315" i="3" s="1"/>
  <c r="AZ220" i="3"/>
  <c r="G402" i="3"/>
  <c r="BA420" i="3"/>
  <c r="AZ420" i="3" s="1"/>
  <c r="BA433" i="3"/>
  <c r="AZ433" i="3" s="1"/>
  <c r="BL433" i="3"/>
  <c r="BA434" i="3"/>
  <c r="AZ434" i="3" s="1"/>
  <c r="BA435" i="3"/>
  <c r="AZ435" i="3" s="1"/>
  <c r="BL459" i="3"/>
  <c r="BL460" i="3"/>
  <c r="BA467" i="3"/>
  <c r="AZ467" i="3" s="1"/>
  <c r="BA468" i="3"/>
  <c r="AZ468" i="3" s="1"/>
  <c r="AZ231" i="3"/>
  <c r="BL413" i="3"/>
  <c r="AZ413" i="3" s="1"/>
  <c r="BA438" i="3"/>
  <c r="AZ278" i="3"/>
  <c r="BL400" i="3"/>
  <c r="BA412" i="3"/>
  <c r="BL412" i="3"/>
  <c r="BL414" i="3"/>
  <c r="AZ414" i="3" s="1"/>
  <c r="BL417" i="3"/>
  <c r="G427" i="3"/>
  <c r="BA439" i="3"/>
  <c r="AZ439" i="3" s="1"/>
  <c r="BL441" i="3"/>
  <c r="AZ441" i="3" s="1"/>
  <c r="BL445" i="3"/>
  <c r="BL448" i="3"/>
  <c r="BL449" i="3"/>
  <c r="AZ449" i="3" s="1"/>
  <c r="BL452" i="3"/>
  <c r="BL453" i="3"/>
  <c r="BL456" i="3"/>
  <c r="BL457" i="3"/>
  <c r="BA459" i="3"/>
  <c r="AZ459" i="3" s="1"/>
  <c r="BA464" i="3"/>
  <c r="AZ464" i="3" s="1"/>
  <c r="AZ276" i="3"/>
  <c r="BA399" i="3"/>
  <c r="BL399" i="3"/>
  <c r="BA437" i="3"/>
  <c r="AZ437" i="3" s="1"/>
  <c r="BA442" i="3"/>
  <c r="AZ442" i="3" s="1"/>
  <c r="BA444" i="3"/>
  <c r="AZ444" i="3" s="1"/>
  <c r="BA446" i="3"/>
  <c r="AZ446" i="3" s="1"/>
  <c r="BA448" i="3"/>
  <c r="BA450" i="3"/>
  <c r="AZ450" i="3" s="1"/>
  <c r="BA452" i="3"/>
  <c r="BA454" i="3"/>
  <c r="AZ454" i="3" s="1"/>
  <c r="BA456" i="3"/>
  <c r="AZ456" i="3" s="1"/>
  <c r="BA457" i="3"/>
  <c r="AZ457" i="3" s="1"/>
  <c r="BL458" i="3"/>
  <c r="BA460" i="3"/>
  <c r="AZ460" i="3" s="1"/>
  <c r="BA358" i="3"/>
  <c r="AZ358" i="3" s="1"/>
  <c r="BL408" i="3"/>
  <c r="BA415" i="3"/>
  <c r="AZ415" i="3" s="1"/>
  <c r="BA416" i="3"/>
  <c r="AZ416" i="3" s="1"/>
  <c r="BL416" i="3"/>
  <c r="BA417" i="3"/>
  <c r="BL425" i="3"/>
  <c r="BA455" i="3"/>
  <c r="AZ455" i="3" s="1"/>
  <c r="BA307" i="3"/>
  <c r="AZ307" i="3" s="1"/>
  <c r="BA384" i="3"/>
  <c r="AZ384" i="3" s="1"/>
  <c r="BA385" i="3"/>
  <c r="AZ385" i="3" s="1"/>
  <c r="BL208" i="3"/>
  <c r="BA216" i="3"/>
  <c r="AZ216" i="3" s="1"/>
  <c r="BL218" i="3"/>
  <c r="BL219" i="3"/>
  <c r="BL223" i="3"/>
  <c r="AZ223" i="3" s="1"/>
  <c r="BL224" i="3"/>
  <c r="BL235" i="3"/>
  <c r="AZ235" i="3" s="1"/>
  <c r="BL239" i="3"/>
  <c r="AZ239" i="3" s="1"/>
  <c r="BL243" i="3"/>
  <c r="AZ243" i="3" s="1"/>
  <c r="BA246" i="3"/>
  <c r="AZ246" i="3" s="1"/>
  <c r="BA247" i="3"/>
  <c r="BA252" i="3"/>
  <c r="AZ252" i="3" s="1"/>
  <c r="BA254" i="3"/>
  <c r="AZ254" i="3" s="1"/>
  <c r="BA255" i="3"/>
  <c r="AZ255" i="3" s="1"/>
  <c r="BA268" i="3"/>
  <c r="AZ268" i="3" s="1"/>
  <c r="BL275" i="3"/>
  <c r="BL279" i="3"/>
  <c r="BL280" i="3"/>
  <c r="BA282" i="3"/>
  <c r="AZ282" i="3" s="1"/>
  <c r="BA284" i="3"/>
  <c r="AZ284" i="3" s="1"/>
  <c r="BA287" i="3"/>
  <c r="AZ287" i="3" s="1"/>
  <c r="BA289" i="3"/>
  <c r="BA298" i="3"/>
  <c r="AZ298" i="3" s="1"/>
  <c r="BA118" i="3"/>
  <c r="AZ118" i="3" s="1"/>
  <c r="BL129" i="3"/>
  <c r="BL143" i="3"/>
  <c r="AZ143" i="3" s="1"/>
  <c r="BA145" i="3"/>
  <c r="AZ145" i="3" s="1"/>
  <c r="BA158" i="3"/>
  <c r="AZ158" i="3" s="1"/>
  <c r="BA194" i="3"/>
  <c r="BL26" i="3"/>
  <c r="AZ26" i="3" s="1"/>
  <c r="AZ34" i="3"/>
  <c r="BA333" i="3"/>
  <c r="AZ333" i="3" s="1"/>
  <c r="G384" i="3"/>
  <c r="BA218" i="3"/>
  <c r="AZ218" i="3" s="1"/>
  <c r="BA219" i="3"/>
  <c r="AZ219" i="3" s="1"/>
  <c r="BA221" i="3"/>
  <c r="AZ221" i="3" s="1"/>
  <c r="BA224" i="3"/>
  <c r="AZ224" i="3" s="1"/>
  <c r="BA226" i="3"/>
  <c r="AZ226" i="3" s="1"/>
  <c r="BL231" i="3"/>
  <c r="BL234" i="3"/>
  <c r="AZ234" i="3" s="1"/>
  <c r="BL238" i="3"/>
  <c r="AZ238" i="3" s="1"/>
  <c r="BA245" i="3"/>
  <c r="BA248" i="3"/>
  <c r="AZ248" i="3" s="1"/>
  <c r="BA250" i="3"/>
  <c r="BL274" i="3"/>
  <c r="AZ274" i="3" s="1"/>
  <c r="BL278" i="3"/>
  <c r="BA279" i="3"/>
  <c r="AZ279" i="3" s="1"/>
  <c r="BA280" i="3"/>
  <c r="AZ280" i="3" s="1"/>
  <c r="BA283" i="3"/>
  <c r="AZ283" i="3" s="1"/>
  <c r="BA288" i="3"/>
  <c r="AZ288" i="3" s="1"/>
  <c r="BL289" i="3"/>
  <c r="BL127" i="3"/>
  <c r="AZ127" i="3" s="1"/>
  <c r="BA129" i="3"/>
  <c r="BL163" i="3"/>
  <c r="AZ163" i="3" s="1"/>
  <c r="BA170" i="3"/>
  <c r="AZ170" i="3" s="1"/>
  <c r="BA184" i="3"/>
  <c r="AZ184" i="3" s="1"/>
  <c r="BL20" i="3"/>
  <c r="AZ20" i="3" s="1"/>
  <c r="BL21" i="3"/>
  <c r="AZ21" i="3" s="1"/>
  <c r="BL27" i="3"/>
  <c r="BA33" i="3"/>
  <c r="AZ33" i="3" s="1"/>
  <c r="BL58" i="3"/>
  <c r="AZ58" i="3" s="1"/>
  <c r="BL363" i="3"/>
  <c r="AZ363" i="3" s="1"/>
  <c r="BA367" i="3"/>
  <c r="AZ367" i="3" s="1"/>
  <c r="BL393" i="3"/>
  <c r="AZ393" i="3" s="1"/>
  <c r="BA228" i="3"/>
  <c r="AZ228" i="3" s="1"/>
  <c r="AZ230" i="3"/>
  <c r="BA233" i="3"/>
  <c r="AZ233" i="3" s="1"/>
  <c r="BA275" i="3"/>
  <c r="BA293" i="3"/>
  <c r="BL126" i="3"/>
  <c r="AZ126" i="3" s="1"/>
  <c r="BA142" i="3"/>
  <c r="AZ142" i="3" s="1"/>
  <c r="BA366" i="3"/>
  <c r="AZ366" i="3" s="1"/>
  <c r="AZ258" i="3"/>
  <c r="AZ125" i="3"/>
  <c r="AZ169" i="3"/>
  <c r="AZ78" i="3"/>
  <c r="BA395" i="3"/>
  <c r="AZ395" i="3" s="1"/>
  <c r="BA396" i="3"/>
  <c r="AZ396" i="3" s="1"/>
  <c r="BL397" i="3"/>
  <c r="AZ397" i="3" s="1"/>
  <c r="BL264" i="3"/>
  <c r="BA269" i="3"/>
  <c r="AZ269" i="3" s="1"/>
  <c r="AZ270" i="3"/>
  <c r="BA140" i="3"/>
  <c r="AZ140" i="3" s="1"/>
  <c r="BL153" i="3"/>
  <c r="BL179" i="3"/>
  <c r="BL181" i="3"/>
  <c r="AZ181" i="3" s="1"/>
  <c r="BA188" i="3"/>
  <c r="AZ188" i="3" s="1"/>
  <c r="BL205" i="3"/>
  <c r="BA207" i="3"/>
  <c r="AZ207" i="3" s="1"/>
  <c r="BA18" i="3"/>
  <c r="AZ18" i="3" s="1"/>
  <c r="BL19" i="3"/>
  <c r="BA23" i="3"/>
  <c r="AZ23" i="3" s="1"/>
  <c r="BL54" i="3"/>
  <c r="AZ54" i="3" s="1"/>
  <c r="AZ56" i="3"/>
  <c r="AZ90" i="3"/>
  <c r="BL260" i="3"/>
  <c r="BL261" i="3"/>
  <c r="AZ261" i="3" s="1"/>
  <c r="BL263" i="3"/>
  <c r="AZ263" i="3" s="1"/>
  <c r="BA267" i="3"/>
  <c r="AZ267" i="3" s="1"/>
  <c r="BA157" i="3"/>
  <c r="AZ157" i="3" s="1"/>
  <c r="AZ205" i="3"/>
  <c r="BL209" i="3"/>
  <c r="AZ209" i="3" s="1"/>
  <c r="BL210" i="3"/>
  <c r="AZ210" i="3" s="1"/>
  <c r="BA265" i="3"/>
  <c r="AZ265" i="3" s="1"/>
  <c r="BA292" i="3"/>
  <c r="AZ292" i="3" s="1"/>
  <c r="BL298" i="3"/>
  <c r="BL302" i="3"/>
  <c r="BA113" i="3"/>
  <c r="AZ113" i="3" s="1"/>
  <c r="BA114" i="3"/>
  <c r="AZ114" i="3" s="1"/>
  <c r="BL135" i="3"/>
  <c r="AZ135" i="3" s="1"/>
  <c r="BA137" i="3"/>
  <c r="AZ137" i="3" s="1"/>
  <c r="BA156" i="3"/>
  <c r="AZ156" i="3" s="1"/>
  <c r="BL177" i="3"/>
  <c r="BA178" i="3"/>
  <c r="BA185" i="3"/>
  <c r="AZ185" i="3" s="1"/>
  <c r="BA193" i="3"/>
  <c r="AZ193" i="3" s="1"/>
  <c r="BL197" i="3"/>
  <c r="AZ197" i="3" s="1"/>
  <c r="BL198" i="3"/>
  <c r="AZ198" i="3" s="1"/>
  <c r="BL203" i="3"/>
  <c r="AZ203" i="3" s="1"/>
  <c r="BA204" i="3"/>
  <c r="AZ204" i="3" s="1"/>
  <c r="BA24" i="3"/>
  <c r="AZ24" i="3" s="1"/>
  <c r="BL353" i="3"/>
  <c r="AZ353" i="3" s="1"/>
  <c r="BA386" i="3"/>
  <c r="AZ386" i="3" s="1"/>
  <c r="BL212" i="3"/>
  <c r="BL258" i="3"/>
  <c r="BL259" i="3"/>
  <c r="AZ259" i="3" s="1"/>
  <c r="BA262" i="3"/>
  <c r="AZ262" i="3" s="1"/>
  <c r="BA264" i="3"/>
  <c r="BL297" i="3"/>
  <c r="AZ297" i="3" s="1"/>
  <c r="BA301" i="3"/>
  <c r="AZ301" i="3" s="1"/>
  <c r="BA302" i="3"/>
  <c r="BL113" i="3"/>
  <c r="BA120" i="3"/>
  <c r="AZ120" i="3" s="1"/>
  <c r="BL151" i="3"/>
  <c r="AZ151" i="3" s="1"/>
  <c r="BA152" i="3"/>
  <c r="AZ152" i="3" s="1"/>
  <c r="BA153" i="3"/>
  <c r="AZ153" i="3" s="1"/>
  <c r="BA160" i="3"/>
  <c r="AZ160" i="3" s="1"/>
  <c r="BA177" i="3"/>
  <c r="AZ177" i="3" s="1"/>
  <c r="BL178" i="3"/>
  <c r="BA201" i="3"/>
  <c r="AZ201" i="3" s="1"/>
  <c r="BA30" i="3"/>
  <c r="AZ30" i="3" s="1"/>
  <c r="BL49" i="3"/>
  <c r="BA53" i="3"/>
  <c r="AZ53" i="3" s="1"/>
  <c r="BA350" i="3"/>
  <c r="BA354" i="3"/>
  <c r="AZ354" i="3" s="1"/>
  <c r="BA208" i="3"/>
  <c r="AZ208" i="3" s="1"/>
  <c r="BA211" i="3"/>
  <c r="AZ211" i="3" s="1"/>
  <c r="AZ212" i="3"/>
  <c r="BL213" i="3"/>
  <c r="AZ260" i="3"/>
  <c r="BL47" i="3"/>
  <c r="AZ47" i="3" s="1"/>
  <c r="AZ68" i="3"/>
  <c r="BA349" i="3"/>
  <c r="AZ349" i="3" s="1"/>
  <c r="BA213" i="3"/>
  <c r="BL215" i="3"/>
  <c r="AZ215" i="3" s="1"/>
  <c r="BL245" i="3"/>
  <c r="BL247" i="3"/>
  <c r="BL250" i="3"/>
  <c r="BL251" i="3"/>
  <c r="AZ251" i="3" s="1"/>
  <c r="BL293" i="3"/>
  <c r="BL294" i="3"/>
  <c r="AZ294" i="3" s="1"/>
  <c r="BA296" i="3"/>
  <c r="AZ296" i="3" s="1"/>
  <c r="BA133" i="3"/>
  <c r="AZ133" i="3" s="1"/>
  <c r="BA134" i="3"/>
  <c r="AZ134" i="3" s="1"/>
  <c r="AZ141" i="3"/>
  <c r="BA148" i="3"/>
  <c r="AZ148" i="3" s="1"/>
  <c r="BA150" i="3"/>
  <c r="AZ150" i="3" s="1"/>
  <c r="BL170" i="3"/>
  <c r="BA176" i="3"/>
  <c r="AZ176" i="3" s="1"/>
  <c r="BL39" i="3"/>
  <c r="AZ39" i="3" s="1"/>
  <c r="BA374" i="3"/>
  <c r="AZ374" i="3" s="1"/>
  <c r="BA214" i="3"/>
  <c r="AZ214" i="3" s="1"/>
  <c r="BL217" i="3"/>
  <c r="AZ217" i="3" s="1"/>
  <c r="BL220" i="3"/>
  <c r="BL225" i="3"/>
  <c r="BL240" i="3"/>
  <c r="AZ240" i="3" s="1"/>
  <c r="BL241" i="3"/>
  <c r="AZ241" i="3" s="1"/>
  <c r="BL244" i="3"/>
  <c r="BL249" i="3"/>
  <c r="AZ249" i="3" s="1"/>
  <c r="BL254" i="3"/>
  <c r="BL284" i="3"/>
  <c r="BL169" i="3"/>
  <c r="BL194" i="3"/>
  <c r="AZ40" i="3"/>
  <c r="AZ49" i="3"/>
  <c r="BL71" i="3"/>
  <c r="AZ71" i="3" s="1"/>
  <c r="BL72" i="3"/>
  <c r="BL73" i="3"/>
  <c r="AZ73" i="3" s="1"/>
  <c r="BA104" i="3"/>
  <c r="AZ104" i="3" s="1"/>
  <c r="BA112" i="3"/>
  <c r="AZ112" i="3" s="1"/>
  <c r="W25" i="40"/>
  <c r="C38" i="71"/>
  <c r="D37" i="71"/>
  <c r="BA70" i="3"/>
  <c r="AZ70" i="3" s="1"/>
  <c r="BA74" i="3"/>
  <c r="AZ74" i="3" s="1"/>
  <c r="BA109" i="3"/>
  <c r="AZ109" i="3" s="1"/>
  <c r="K13" i="1"/>
  <c r="M13" i="1" s="1"/>
  <c r="O13" i="1" s="1"/>
  <c r="P13" i="1" s="1"/>
  <c r="G25" i="3"/>
  <c r="BL30" i="3"/>
  <c r="G40" i="3"/>
  <c r="BA45" i="3"/>
  <c r="AZ45" i="3" s="1"/>
  <c r="G55" i="3"/>
  <c r="G5" i="3" s="1"/>
  <c r="B3" i="3" s="1"/>
  <c r="BL62" i="3"/>
  <c r="BA72" i="3"/>
  <c r="AZ72" i="3" s="1"/>
  <c r="G86" i="3"/>
  <c r="I10" i="66"/>
  <c r="BA52" i="3"/>
  <c r="AZ52" i="3" s="1"/>
  <c r="BL53" i="3"/>
  <c r="BL77" i="3"/>
  <c r="AZ77" i="3" s="1"/>
  <c r="BL78" i="3"/>
  <c r="C51" i="71"/>
  <c r="D50" i="71"/>
  <c r="BL38" i="3"/>
  <c r="AZ38" i="3" s="1"/>
  <c r="BA61" i="3"/>
  <c r="AZ61" i="3" s="1"/>
  <c r="BA62" i="3"/>
  <c r="AZ62" i="3" s="1"/>
  <c r="BA63" i="3"/>
  <c r="AZ63" i="3" s="1"/>
  <c r="AZ76" i="3"/>
  <c r="BA79" i="3"/>
  <c r="AZ79" i="3" s="1"/>
  <c r="G90" i="3"/>
  <c r="G91" i="3"/>
  <c r="C27" i="71"/>
  <c r="D26" i="71"/>
  <c r="V35" i="71"/>
  <c r="M19" i="43"/>
  <c r="C46" i="71"/>
  <c r="D45" i="71"/>
  <c r="G57" i="3"/>
  <c r="G69" i="3"/>
  <c r="BL82" i="3"/>
  <c r="F3" i="35"/>
  <c r="BL25" i="3"/>
  <c r="AZ25" i="3" s="1"/>
  <c r="BL40" i="3"/>
  <c r="BL55" i="3"/>
  <c r="AZ55" i="3" s="1"/>
  <c r="BA64" i="3"/>
  <c r="AZ64" i="3" s="1"/>
  <c r="B22" i="71"/>
  <c r="B21" i="71" s="1"/>
  <c r="S23" i="71"/>
  <c r="C30" i="71"/>
  <c r="D29" i="71"/>
  <c r="BL33" i="3"/>
  <c r="BL48" i="3"/>
  <c r="AZ48" i="3" s="1"/>
  <c r="BA82" i="3"/>
  <c r="AZ82" i="3" s="1"/>
  <c r="BA93" i="3"/>
  <c r="AZ93" i="3" s="1"/>
  <c r="BL94" i="3"/>
  <c r="AZ94" i="3" s="1"/>
  <c r="BL106" i="3"/>
  <c r="T59" i="71"/>
  <c r="D59" i="71"/>
  <c r="BL57" i="3"/>
  <c r="BA86" i="3"/>
  <c r="AZ86" i="3" s="1"/>
  <c r="BL89" i="3"/>
  <c r="BL90" i="3"/>
  <c r="BA92" i="3"/>
  <c r="AZ92" i="3" s="1"/>
  <c r="BL98" i="3"/>
  <c r="BL99" i="3"/>
  <c r="AZ99" i="3" s="1"/>
  <c r="AC21" i="37"/>
  <c r="W21" i="37"/>
  <c r="T55" i="71"/>
  <c r="D55" i="71"/>
  <c r="C35" i="71"/>
  <c r="D34" i="71"/>
  <c r="G45" i="3"/>
  <c r="BL66" i="3"/>
  <c r="AZ66" i="3" s="1"/>
  <c r="BL67" i="3"/>
  <c r="BL68" i="3"/>
  <c r="BA87" i="3"/>
  <c r="AZ87" i="3" s="1"/>
  <c r="BL88" i="3"/>
  <c r="AZ88" i="3" s="1"/>
  <c r="BA91" i="3"/>
  <c r="AZ91" i="3" s="1"/>
  <c r="BL96" i="3"/>
  <c r="AZ96" i="3" s="1"/>
  <c r="BL97" i="3"/>
  <c r="BA100" i="3"/>
  <c r="AZ100" i="3" s="1"/>
  <c r="BL105" i="3"/>
  <c r="BA106" i="3"/>
  <c r="BL43" i="3"/>
  <c r="AZ43" i="3" s="1"/>
  <c r="BL50" i="3"/>
  <c r="AZ50" i="3" s="1"/>
  <c r="BA57" i="3"/>
  <c r="AZ57" i="3" s="1"/>
  <c r="BA69" i="3"/>
  <c r="AZ69" i="3" s="1"/>
  <c r="BA89" i="3"/>
  <c r="BA98" i="3"/>
  <c r="AZ98" i="3" s="1"/>
  <c r="BA105" i="3"/>
  <c r="AZ105" i="3" s="1"/>
  <c r="BA108" i="3"/>
  <c r="AZ108" i="3" s="1"/>
  <c r="BL110" i="3"/>
  <c r="AZ110" i="3" s="1"/>
  <c r="BA111" i="3"/>
  <c r="AZ111" i="3" s="1"/>
  <c r="BA27" i="3"/>
  <c r="BA35" i="3"/>
  <c r="AZ35" i="3" s="1"/>
  <c r="G62" i="3"/>
  <c r="BA67" i="3"/>
  <c r="AZ67" i="3" s="1"/>
  <c r="BA97" i="3"/>
  <c r="AZ97" i="3" s="1"/>
  <c r="S29" i="39"/>
  <c r="AA21" i="34"/>
  <c r="D66" i="71"/>
  <c r="AA21" i="71"/>
  <c r="X21" i="71"/>
  <c r="Y20" i="71"/>
  <c r="Z20" i="71" s="1"/>
  <c r="X31" i="71"/>
  <c r="AA26" i="71"/>
  <c r="E29" i="71"/>
  <c r="E30" i="71" s="1"/>
  <c r="E31" i="71" s="1"/>
  <c r="U31" i="71" s="1"/>
  <c r="X28" i="71"/>
  <c r="Y31" i="71"/>
  <c r="Z31" i="71" s="1"/>
  <c r="N56" i="9"/>
  <c r="C77" i="71"/>
  <c r="D77" i="71" s="1"/>
  <c r="AA20" i="71"/>
  <c r="X20" i="71"/>
  <c r="C23" i="71"/>
  <c r="AA30" i="71"/>
  <c r="AB29" i="71"/>
  <c r="Y5" i="71"/>
  <c r="Z5" i="71" s="1"/>
  <c r="B19" i="71"/>
  <c r="Y12" i="71"/>
  <c r="Z12" i="71" s="1"/>
  <c r="AB7" i="71"/>
  <c r="V23" i="71"/>
  <c r="X10" i="71"/>
  <c r="AB6" i="71"/>
  <c r="U21" i="34"/>
  <c r="X25" i="71"/>
  <c r="AB31" i="71"/>
  <c r="AA5" i="71"/>
  <c r="AA19" i="71"/>
  <c r="Y18" i="71"/>
  <c r="Z18" i="71" s="1"/>
  <c r="AA12" i="71"/>
  <c r="B66" i="43"/>
  <c r="C82" i="71"/>
  <c r="E66" i="71"/>
  <c r="E65" i="71" s="1"/>
  <c r="AB24" i="71"/>
  <c r="B29" i="71"/>
  <c r="B30" i="71" s="1"/>
  <c r="B31" i="71" s="1"/>
  <c r="S31" i="71" s="1"/>
  <c r="Y25" i="71"/>
  <c r="Z25" i="71" s="1"/>
  <c r="Y33" i="71"/>
  <c r="Z33" i="71" s="1"/>
  <c r="AB5" i="71"/>
  <c r="F62" i="71"/>
  <c r="Z12" i="43"/>
  <c r="AF12" i="43"/>
  <c r="AA17" i="71"/>
  <c r="AA10" i="71"/>
  <c r="AA8" i="71"/>
  <c r="AB10" i="71"/>
  <c r="AA7" i="71"/>
  <c r="U21" i="21"/>
  <c r="AB23" i="71"/>
  <c r="D49" i="71"/>
  <c r="X33" i="71"/>
  <c r="E19" i="71"/>
  <c r="AB16" i="71"/>
  <c r="AA6" i="71"/>
  <c r="G1" i="77"/>
  <c r="N61" i="71"/>
  <c r="AB22" i="71"/>
  <c r="AB32" i="71"/>
  <c r="X32" i="71"/>
  <c r="AB19" i="71"/>
  <c r="AA9" i="71"/>
  <c r="W21" i="33"/>
  <c r="D54" i="71"/>
  <c r="Y22" i="71"/>
  <c r="Z22" i="71" s="1"/>
  <c r="AA28" i="71"/>
  <c r="Y7" i="71"/>
  <c r="Z7" i="71" s="1"/>
  <c r="X7" i="71"/>
  <c r="C21" i="68"/>
  <c r="Y32" i="71"/>
  <c r="Z32" i="71" s="1"/>
  <c r="E25" i="71"/>
  <c r="E26" i="71" s="1"/>
  <c r="E27" i="71" s="1"/>
  <c r="U27" i="71" s="1"/>
  <c r="F18" i="71"/>
  <c r="F17" i="71" s="1"/>
  <c r="F16" i="71" s="1"/>
  <c r="F15" i="71" s="1"/>
  <c r="F14" i="71" s="1"/>
  <c r="F13" i="71" s="1"/>
  <c r="F12" i="71" s="1"/>
  <c r="Y6" i="71"/>
  <c r="Z6" i="71" s="1"/>
  <c r="X8" i="71"/>
  <c r="AA23" i="71"/>
  <c r="X23" i="71"/>
  <c r="X24" i="71"/>
  <c r="X5" i="71"/>
  <c r="K56" i="9"/>
  <c r="Y8" i="71"/>
  <c r="Z8" i="71" s="1"/>
  <c r="X6" i="71"/>
  <c r="X9" i="71"/>
  <c r="D81" i="43"/>
  <c r="D87" i="43"/>
  <c r="D85" i="43"/>
  <c r="D83" i="43"/>
  <c r="J82" i="43"/>
  <c r="J88" i="43"/>
  <c r="H83" i="43"/>
  <c r="H87" i="43"/>
  <c r="H86" i="43"/>
  <c r="H85" i="43"/>
  <c r="H84" i="43"/>
  <c r="H81" i="43"/>
  <c r="H88" i="43"/>
  <c r="O7" i="1"/>
  <c r="P61" i="15"/>
  <c r="C94" i="9"/>
  <c r="C92" i="9"/>
  <c r="F28" i="15"/>
  <c r="C28" i="15" s="1"/>
  <c r="F31" i="12"/>
  <c r="F54" i="9"/>
  <c r="M18" i="67"/>
  <c r="F30" i="68"/>
  <c r="F48" i="68" s="1"/>
  <c r="C31" i="12"/>
  <c r="C77" i="9"/>
  <c r="C74" i="9" s="1"/>
  <c r="C13" i="12"/>
  <c r="C36" i="11"/>
  <c r="D68" i="9"/>
  <c r="M18" i="15"/>
  <c r="F32" i="15"/>
  <c r="F60" i="15" s="1"/>
  <c r="F30" i="69"/>
  <c r="F32" i="67"/>
  <c r="F60" i="67" s="1"/>
  <c r="F52" i="9"/>
  <c r="F28" i="67"/>
  <c r="C28" i="67" s="1"/>
  <c r="F30" i="11"/>
  <c r="F53" i="9"/>
  <c r="C21" i="69"/>
  <c r="D22" i="67"/>
  <c r="D9" i="68"/>
  <c r="C9" i="68" s="1"/>
  <c r="D101" i="43"/>
  <c r="D102" i="43" s="1"/>
  <c r="I101" i="43"/>
  <c r="I107" i="43" s="1"/>
  <c r="H22" i="43"/>
  <c r="M101" i="43"/>
  <c r="E101" i="43"/>
  <c r="E103" i="43" s="1"/>
  <c r="J22" i="43"/>
  <c r="M6" i="1"/>
  <c r="O6" i="1" s="1"/>
  <c r="P6" i="1" s="1"/>
  <c r="D19" i="12"/>
  <c r="C19" i="12" s="1"/>
  <c r="D9" i="69"/>
  <c r="C9" i="69" s="1"/>
  <c r="C36" i="69"/>
  <c r="T8" i="1"/>
  <c r="T9" i="1"/>
  <c r="AQ9" i="1"/>
  <c r="AQ13" i="1"/>
  <c r="T10" i="1"/>
  <c r="T12" i="1"/>
  <c r="E56" i="39"/>
  <c r="P7" i="1"/>
  <c r="P14" i="1"/>
  <c r="O9" i="1"/>
  <c r="P9" i="1" s="1"/>
  <c r="O11" i="1"/>
  <c r="P11" i="1" s="1"/>
  <c r="O12" i="1"/>
  <c r="P12" i="1" s="1"/>
  <c r="O8" i="1"/>
  <c r="I109" i="43"/>
  <c r="I102" i="43"/>
  <c r="I103" i="43"/>
  <c r="I105" i="43"/>
  <c r="I104" i="43"/>
  <c r="M109" i="43"/>
  <c r="M104" i="43"/>
  <c r="M107" i="43"/>
  <c r="M105" i="43"/>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H82" i="43"/>
  <c r="H74" i="43"/>
  <c r="H70" i="43"/>
  <c r="H61" i="43"/>
  <c r="H59" i="43"/>
  <c r="H51" i="43"/>
  <c r="H77" i="43"/>
  <c r="H72" i="43"/>
  <c r="H55" i="43"/>
  <c r="H64" i="43"/>
  <c r="H66" i="43"/>
  <c r="F38" i="43"/>
  <c r="C6" i="43"/>
  <c r="F34" i="43"/>
  <c r="F33" i="43"/>
  <c r="H71" i="43"/>
  <c r="H53" i="43"/>
  <c r="N104" i="46"/>
  <c r="H75" i="43"/>
  <c r="J17" i="43"/>
  <c r="I17" i="43"/>
  <c r="D17" i="43"/>
  <c r="H113" i="43"/>
  <c r="T35" i="4"/>
  <c r="A19" i="51" s="1"/>
  <c r="B14" i="72" s="1"/>
  <c r="A15" i="62"/>
  <c r="B61" i="72" s="1"/>
  <c r="D12" i="52"/>
  <c r="D127" i="9"/>
  <c r="D13" i="52" s="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Z10" i="71" s="1"/>
  <c r="AA11" i="71"/>
  <c r="AB3" i="71"/>
  <c r="X11" i="71"/>
  <c r="AB11" i="71"/>
  <c r="Y3" i="71"/>
  <c r="Z3" i="71" s="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67"/>
  <c r="F66" i="67"/>
  <c r="B11" i="70"/>
  <c r="B8" i="70"/>
  <c r="F66" i="15"/>
  <c r="Q71" i="67"/>
  <c r="F64" i="15"/>
  <c r="F70" i="67"/>
  <c r="C27" i="67"/>
  <c r="F71" i="67"/>
  <c r="C27" i="15"/>
  <c r="F65" i="15"/>
  <c r="B9" i="70"/>
  <c r="N59" i="67"/>
  <c r="L59" i="67"/>
  <c r="L58" i="67"/>
  <c r="M59" i="67"/>
  <c r="B13" i="70"/>
  <c r="M7" i="67"/>
  <c r="J6" i="67" s="1"/>
  <c r="F50" i="67"/>
  <c r="F63" i="67"/>
  <c r="C62" i="67" s="1"/>
  <c r="C34" i="67"/>
  <c r="F68" i="67"/>
  <c r="F64" i="67"/>
  <c r="F43" i="15"/>
  <c r="F6" i="15"/>
  <c r="M29" i="15"/>
  <c r="F7" i="15"/>
  <c r="C16" i="67"/>
  <c r="C16" i="15"/>
  <c r="C17" i="67"/>
  <c r="F8" i="15"/>
  <c r="C14" i="67"/>
  <c r="M22" i="15"/>
  <c r="F40" i="15"/>
  <c r="L47" i="15"/>
  <c r="G1" i="73"/>
  <c r="N59" i="15" l="1"/>
  <c r="L58" i="15"/>
  <c r="Q73" i="15" s="1"/>
  <c r="M59" i="15"/>
  <c r="L59" i="15"/>
  <c r="Q74" i="15" s="1"/>
  <c r="F68" i="15"/>
  <c r="F51" i="15"/>
  <c r="M7" i="15"/>
  <c r="J6" i="15" s="1"/>
  <c r="F50" i="15"/>
  <c r="C49" i="15" s="1"/>
  <c r="C6" i="15"/>
  <c r="F71" i="15"/>
  <c r="O6" i="3"/>
  <c r="E311" i="3"/>
  <c r="M6" i="3"/>
  <c r="E290" i="3"/>
  <c r="E120" i="3"/>
  <c r="E224" i="3"/>
  <c r="E133" i="3"/>
  <c r="E519" i="3"/>
  <c r="Q6" i="3"/>
  <c r="E529" i="3"/>
  <c r="E472" i="3"/>
  <c r="E527" i="3"/>
  <c r="E424" i="3"/>
  <c r="E288" i="3"/>
  <c r="E587" i="3"/>
  <c r="E571" i="3"/>
  <c r="E471" i="3"/>
  <c r="E454" i="3"/>
  <c r="E72" i="3"/>
  <c r="E73" i="3"/>
  <c r="E168" i="3"/>
  <c r="E171" i="3"/>
  <c r="E279" i="3"/>
  <c r="E274" i="3"/>
  <c r="E357" i="3"/>
  <c r="E31" i="3"/>
  <c r="E32" i="3"/>
  <c r="E79" i="3"/>
  <c r="E170" i="3"/>
  <c r="E234" i="3"/>
  <c r="E339" i="3"/>
  <c r="AQ6" i="3"/>
  <c r="E112" i="3"/>
  <c r="E289" i="3"/>
  <c r="E50" i="3"/>
  <c r="E176" i="3"/>
  <c r="E365" i="3"/>
  <c r="E260" i="3"/>
  <c r="E97" i="3"/>
  <c r="E570" i="3"/>
  <c r="E387" i="3"/>
  <c r="E189" i="3"/>
  <c r="E135" i="3"/>
  <c r="E117" i="3"/>
  <c r="E277" i="3"/>
  <c r="E193" i="3"/>
  <c r="E330" i="3"/>
  <c r="E532" i="3"/>
  <c r="E560" i="3"/>
  <c r="E458" i="3"/>
  <c r="E481" i="3"/>
  <c r="E438" i="3"/>
  <c r="E465" i="3"/>
  <c r="E562" i="3"/>
  <c r="AE6" i="3"/>
  <c r="E537" i="3"/>
  <c r="E468" i="3"/>
  <c r="E54" i="3"/>
  <c r="E146" i="3"/>
  <c r="E150" i="3"/>
  <c r="E256" i="3"/>
  <c r="E257" i="3"/>
  <c r="E315" i="3"/>
  <c r="E318" i="3"/>
  <c r="E580" i="3"/>
  <c r="E93" i="3"/>
  <c r="E409" i="3"/>
  <c r="E455" i="3"/>
  <c r="E100" i="3"/>
  <c r="E194" i="3"/>
  <c r="E299" i="3"/>
  <c r="E392" i="3"/>
  <c r="E36" i="3"/>
  <c r="E147" i="3"/>
  <c r="E364" i="3"/>
  <c r="E265" i="3"/>
  <c r="E101" i="3"/>
  <c r="T6" i="3"/>
  <c r="E278" i="3"/>
  <c r="E390" i="3"/>
  <c r="E298" i="3"/>
  <c r="E188" i="3"/>
  <c r="E140" i="3"/>
  <c r="E204" i="3"/>
  <c r="E286" i="3"/>
  <c r="E585" i="3"/>
  <c r="E456" i="3"/>
  <c r="P6" i="3"/>
  <c r="E449" i="3"/>
  <c r="E367" i="3"/>
  <c r="E500" i="3"/>
  <c r="E494" i="3"/>
  <c r="E489" i="3"/>
  <c r="E479" i="3"/>
  <c r="E27" i="3"/>
  <c r="E131" i="3"/>
  <c r="E139" i="3"/>
  <c r="E295" i="3"/>
  <c r="E292" i="3"/>
  <c r="E317" i="3"/>
  <c r="E504" i="3"/>
  <c r="E94" i="3"/>
  <c r="E484" i="3"/>
  <c r="E98" i="3"/>
  <c r="E142" i="3"/>
  <c r="E266" i="3"/>
  <c r="E522" i="3"/>
  <c r="E33" i="3"/>
  <c r="E284" i="3"/>
  <c r="E63" i="3"/>
  <c r="E222" i="3"/>
  <c r="E83" i="3"/>
  <c r="E415" i="3"/>
  <c r="E388" i="3"/>
  <c r="E358" i="3"/>
  <c r="AB6" i="3"/>
  <c r="E230" i="3"/>
  <c r="E148" i="3"/>
  <c r="E149" i="3"/>
  <c r="E197" i="3"/>
  <c r="E313" i="3"/>
  <c r="E493" i="3"/>
  <c r="E515" i="3"/>
  <c r="E464" i="3"/>
  <c r="E512" i="3"/>
  <c r="E457" i="3"/>
  <c r="E376" i="3"/>
  <c r="E547" i="3"/>
  <c r="E413" i="3"/>
  <c r="E470" i="3"/>
  <c r="E475" i="3"/>
  <c r="E162" i="3"/>
  <c r="E155" i="3"/>
  <c r="E281" i="3"/>
  <c r="E351" i="3"/>
  <c r="E333" i="3"/>
  <c r="AM6" i="3"/>
  <c r="E110" i="3"/>
  <c r="E482" i="3"/>
  <c r="E38" i="3"/>
  <c r="E174" i="3"/>
  <c r="E300" i="3"/>
  <c r="E584" i="3"/>
  <c r="E49" i="3"/>
  <c r="E340" i="3"/>
  <c r="E80" i="3"/>
  <c r="E283" i="3"/>
  <c r="E554" i="3"/>
  <c r="E202" i="3"/>
  <c r="E334" i="3"/>
  <c r="E200" i="3"/>
  <c r="E370" i="3"/>
  <c r="E563" i="3"/>
  <c r="E555" i="3"/>
  <c r="E418" i="3"/>
  <c r="E216" i="3"/>
  <c r="E207" i="3"/>
  <c r="E167" i="3"/>
  <c r="E327" i="3"/>
  <c r="E499" i="3"/>
  <c r="E543" i="3"/>
  <c r="E478" i="3"/>
  <c r="E443" i="3"/>
  <c r="I3" i="6"/>
  <c r="J6" i="3"/>
  <c r="E403" i="3"/>
  <c r="E520" i="3"/>
  <c r="E28" i="3"/>
  <c r="E37" i="3"/>
  <c r="E178" i="3"/>
  <c r="E186" i="3"/>
  <c r="E297" i="3"/>
  <c r="E316" i="3"/>
  <c r="E349" i="3"/>
  <c r="L6" i="3"/>
  <c r="E29" i="3"/>
  <c r="E521" i="3"/>
  <c r="E46" i="3"/>
  <c r="E163" i="3"/>
  <c r="E324" i="3"/>
  <c r="E23" i="3"/>
  <c r="E87" i="3"/>
  <c r="E355" i="3"/>
  <c r="E19" i="3"/>
  <c r="E308" i="3"/>
  <c r="E574" i="3"/>
  <c r="E514" i="3"/>
  <c r="E407" i="3"/>
  <c r="E169" i="3"/>
  <c r="E228" i="3"/>
  <c r="E85" i="3"/>
  <c r="E177" i="3"/>
  <c r="E369" i="3"/>
  <c r="Z6" i="3"/>
  <c r="E502" i="3"/>
  <c r="E486" i="3"/>
  <c r="E451" i="3"/>
  <c r="E558" i="3"/>
  <c r="E419" i="3"/>
  <c r="E496" i="3"/>
  <c r="E26" i="3"/>
  <c r="E70" i="3"/>
  <c r="E152" i="3"/>
  <c r="E214" i="3"/>
  <c r="E332" i="3"/>
  <c r="E544" i="3"/>
  <c r="E43" i="3"/>
  <c r="E15" i="3"/>
  <c r="E78" i="3"/>
  <c r="E307" i="3"/>
  <c r="E35" i="3"/>
  <c r="E123" i="3"/>
  <c r="E81" i="3"/>
  <c r="E323" i="3"/>
  <c r="E395" i="3"/>
  <c r="E172" i="3"/>
  <c r="E410" i="3"/>
  <c r="S6" i="3"/>
  <c r="E439" i="3"/>
  <c r="E130" i="3"/>
  <c r="E269" i="3"/>
  <c r="E77" i="3"/>
  <c r="E145" i="3"/>
  <c r="E312" i="3"/>
  <c r="E534" i="3"/>
  <c r="AO6" i="3"/>
  <c r="E466" i="3"/>
  <c r="E414" i="3"/>
  <c r="E459" i="3"/>
  <c r="E556" i="3"/>
  <c r="E581" i="3"/>
  <c r="E435" i="3"/>
  <c r="E546" i="3"/>
  <c r="E39" i="3"/>
  <c r="E41" i="3"/>
  <c r="E182" i="3"/>
  <c r="E192" i="3"/>
  <c r="E210" i="3"/>
  <c r="E348" i="3"/>
  <c r="E356" i="3"/>
  <c r="E30" i="3"/>
  <c r="E59" i="3"/>
  <c r="E425" i="3"/>
  <c r="E65" i="3"/>
  <c r="E220" i="3"/>
  <c r="E371" i="3"/>
  <c r="E66" i="3"/>
  <c r="E144" i="3"/>
  <c r="E341" i="3"/>
  <c r="E113" i="3"/>
  <c r="E309" i="3"/>
  <c r="E445" i="3"/>
  <c r="E359" i="3"/>
  <c r="E559" i="3"/>
  <c r="E338" i="3"/>
  <c r="E191" i="3"/>
  <c r="E221" i="3"/>
  <c r="E116" i="3"/>
  <c r="E379" i="3"/>
  <c r="E542" i="3"/>
  <c r="E405" i="3"/>
  <c r="E474" i="3"/>
  <c r="E422" i="3"/>
  <c r="E477" i="3"/>
  <c r="E566" i="3"/>
  <c r="E13" i="3"/>
  <c r="E450" i="3"/>
  <c r="E401" i="3"/>
  <c r="E71" i="3"/>
  <c r="E198" i="3"/>
  <c r="E208" i="3"/>
  <c r="E226" i="3"/>
  <c r="E331" i="3"/>
  <c r="E375" i="3"/>
  <c r="E42" i="3"/>
  <c r="E75" i="3"/>
  <c r="E412" i="3"/>
  <c r="E103" i="3"/>
  <c r="E248" i="3"/>
  <c r="E383" i="3"/>
  <c r="E52" i="3"/>
  <c r="E206" i="3"/>
  <c r="E381" i="3"/>
  <c r="E154" i="3"/>
  <c r="E326" i="3"/>
  <c r="E143" i="3"/>
  <c r="E551" i="3"/>
  <c r="E321" i="3"/>
  <c r="E99" i="3"/>
  <c r="E122" i="3"/>
  <c r="E212" i="3"/>
  <c r="E173" i="3"/>
  <c r="E576" i="3"/>
  <c r="R6" i="3"/>
  <c r="E411" i="3"/>
  <c r="E487" i="3"/>
  <c r="E408" i="3"/>
  <c r="E345" i="3"/>
  <c r="AP6" i="3"/>
  <c r="AS6" i="3"/>
  <c r="E460" i="3"/>
  <c r="E420" i="3"/>
  <c r="E88" i="3"/>
  <c r="E95" i="3"/>
  <c r="E126" i="3"/>
  <c r="E240" i="3"/>
  <c r="E243" i="3"/>
  <c r="E377" i="3"/>
  <c r="E389" i="3"/>
  <c r="E44" i="3"/>
  <c r="E540" i="3"/>
  <c r="E18" i="3"/>
  <c r="E160" i="3"/>
  <c r="E209" i="3"/>
  <c r="E310" i="3"/>
  <c r="E24" i="3"/>
  <c r="E232" i="3"/>
  <c r="E68" i="3"/>
  <c r="E179" i="3"/>
  <c r="E513" i="3"/>
  <c r="E506" i="3"/>
  <c r="E231" i="3"/>
  <c r="E236" i="3"/>
  <c r="E157" i="3"/>
  <c r="E238" i="3"/>
  <c r="E107" i="3"/>
  <c r="AD6" i="3"/>
  <c r="AG6" i="3"/>
  <c r="E442" i="3"/>
  <c r="E507" i="3"/>
  <c r="E432" i="3"/>
  <c r="E374" i="3"/>
  <c r="E557" i="3"/>
  <c r="E517" i="3"/>
  <c r="E483" i="3"/>
  <c r="E447" i="3"/>
  <c r="E121" i="3"/>
  <c r="E132" i="3"/>
  <c r="E242" i="3"/>
  <c r="E291" i="3"/>
  <c r="E378" i="3"/>
  <c r="E572" i="3"/>
  <c r="E76" i="3"/>
  <c r="E428" i="3"/>
  <c r="E64" i="3"/>
  <c r="E195" i="3"/>
  <c r="E249" i="3"/>
  <c r="E354" i="3"/>
  <c r="E34" i="3"/>
  <c r="E233" i="3"/>
  <c r="E51" i="3"/>
  <c r="E264" i="3"/>
  <c r="E82" i="3"/>
  <c r="E114" i="3"/>
  <c r="E270" i="3"/>
  <c r="V6" i="3"/>
  <c r="E215" i="3"/>
  <c r="E254" i="3"/>
  <c r="E89" i="3"/>
  <c r="E253" i="3"/>
  <c r="E105" i="3"/>
  <c r="K6" i="3"/>
  <c r="E448" i="3"/>
  <c r="E440" i="3"/>
  <c r="E344" i="3"/>
  <c r="E497" i="3"/>
  <c r="E531" i="3"/>
  <c r="E491" i="3"/>
  <c r="E463" i="3"/>
  <c r="E106" i="3"/>
  <c r="E115" i="3"/>
  <c r="E258" i="3"/>
  <c r="E380" i="3"/>
  <c r="E164" i="3"/>
  <c r="E469" i="3"/>
  <c r="E577" i="3"/>
  <c r="E108" i="3"/>
  <c r="E276" i="3"/>
  <c r="E109" i="3"/>
  <c r="E137" i="3"/>
  <c r="E48" i="3"/>
  <c r="E287" i="3"/>
  <c r="E134" i="3"/>
  <c r="E400" i="3"/>
  <c r="E452" i="3"/>
  <c r="E391" i="3"/>
  <c r="E219" i="3"/>
  <c r="E22" i="3"/>
  <c r="E294" i="3"/>
  <c r="E141" i="3"/>
  <c r="E548" i="3"/>
  <c r="E498" i="3"/>
  <c r="E111" i="3"/>
  <c r="E346" i="3"/>
  <c r="E480" i="3"/>
  <c r="E267" i="3"/>
  <c r="E127" i="3"/>
  <c r="E373" i="3"/>
  <c r="W6" i="3"/>
  <c r="E138" i="3"/>
  <c r="E199" i="3"/>
  <c r="E92" i="3"/>
  <c r="E67" i="3"/>
  <c r="E156" i="3"/>
  <c r="E393" i="3"/>
  <c r="E430" i="3"/>
  <c r="E444" i="3"/>
  <c r="E187" i="3"/>
  <c r="E363" i="3"/>
  <c r="E488" i="3"/>
  <c r="E275" i="3"/>
  <c r="E184" i="3"/>
  <c r="E524" i="3"/>
  <c r="E561" i="3"/>
  <c r="E74" i="3"/>
  <c r="E259" i="3"/>
  <c r="E575" i="3"/>
  <c r="E203" i="3"/>
  <c r="E441" i="3"/>
  <c r="E250" i="3"/>
  <c r="E61" i="3"/>
  <c r="E525" i="3"/>
  <c r="E476" i="3"/>
  <c r="E119" i="3"/>
  <c r="E394" i="3"/>
  <c r="E462" i="3"/>
  <c r="E235" i="3"/>
  <c r="E251" i="3"/>
  <c r="E21" i="3"/>
  <c r="E337" i="3"/>
  <c r="E181" i="3"/>
  <c r="U6" i="3"/>
  <c r="E490" i="3"/>
  <c r="E417" i="3"/>
  <c r="E166" i="3"/>
  <c r="E446" i="3"/>
  <c r="E386" i="3"/>
  <c r="AF6" i="3"/>
  <c r="E285" i="3"/>
  <c r="E161" i="3"/>
  <c r="E564" i="3"/>
  <c r="E255" i="3"/>
  <c r="E404" i="3"/>
  <c r="E211" i="3"/>
  <c r="E372" i="3"/>
  <c r="E467" i="3"/>
  <c r="E325" i="3"/>
  <c r="Y6" i="3"/>
  <c r="E273" i="3"/>
  <c r="E550" i="3"/>
  <c r="E180" i="3"/>
  <c r="E573" i="3"/>
  <c r="E360" i="3"/>
  <c r="E225" i="3"/>
  <c r="E14" i="3"/>
  <c r="E47" i="3"/>
  <c r="E342" i="3"/>
  <c r="E102" i="3"/>
  <c r="E190" i="3"/>
  <c r="E535" i="3"/>
  <c r="AR6" i="3"/>
  <c r="E252" i="3"/>
  <c r="E421" i="3"/>
  <c r="E505" i="3"/>
  <c r="E272" i="3"/>
  <c r="AL6" i="3"/>
  <c r="E96" i="3"/>
  <c r="E492" i="3"/>
  <c r="E20" i="3"/>
  <c r="E158" i="3"/>
  <c r="E523" i="3"/>
  <c r="E223" i="3"/>
  <c r="E437" i="3"/>
  <c r="AH6" i="3"/>
  <c r="E56" i="3"/>
  <c r="E241" i="3"/>
  <c r="E58" i="3"/>
  <c r="E129" i="3"/>
  <c r="E84" i="3"/>
  <c r="E118" i="3"/>
  <c r="E271" i="3"/>
  <c r="E320" i="3"/>
  <c r="E582" i="3"/>
  <c r="E60" i="3"/>
  <c r="E104" i="3"/>
  <c r="E485" i="3"/>
  <c r="E218" i="3"/>
  <c r="E185" i="3"/>
  <c r="E53" i="3"/>
  <c r="E153" i="3"/>
  <c r="E583" i="3"/>
  <c r="E246" i="3"/>
  <c r="E511" i="3"/>
  <c r="E434" i="3"/>
  <c r="E262" i="3"/>
  <c r="E396" i="3"/>
  <c r="E183" i="3"/>
  <c r="E125" i="3"/>
  <c r="E282" i="3"/>
  <c r="E545" i="3"/>
  <c r="E205" i="3"/>
  <c r="E518" i="3"/>
  <c r="E423" i="3"/>
  <c r="E245" i="3"/>
  <c r="E431" i="3"/>
  <c r="E565" i="3"/>
  <c r="E538" i="3"/>
  <c r="E175" i="3"/>
  <c r="E305" i="3"/>
  <c r="AA6" i="3"/>
  <c r="E124" i="3"/>
  <c r="I6" i="3"/>
  <c r="E453" i="3"/>
  <c r="E196" i="3"/>
  <c r="E569" i="3"/>
  <c r="E528" i="3"/>
  <c r="E322" i="3"/>
  <c r="E350" i="3"/>
  <c r="E579" i="3"/>
  <c r="E217" i="3"/>
  <c r="E567" i="3"/>
  <c r="E165" i="3"/>
  <c r="AN6" i="3"/>
  <c r="E159" i="3"/>
  <c r="E304" i="3"/>
  <c r="E402" i="3"/>
  <c r="E319" i="3"/>
  <c r="E426" i="3"/>
  <c r="X6" i="3"/>
  <c r="E293" i="3"/>
  <c r="E16" i="3"/>
  <c r="E306" i="3"/>
  <c r="E136" i="3"/>
  <c r="E516" i="3"/>
  <c r="E261" i="3"/>
  <c r="E366" i="3"/>
  <c r="N6" i="3"/>
  <c r="E510" i="3"/>
  <c r="E128" i="3"/>
  <c r="AI6" i="3"/>
  <c r="E382" i="3"/>
  <c r="E509" i="3"/>
  <c r="E237" i="3"/>
  <c r="E301" i="3"/>
  <c r="E530" i="3"/>
  <c r="E508" i="3"/>
  <c r="E399" i="3"/>
  <c r="E397" i="3"/>
  <c r="E536" i="3"/>
  <c r="E368" i="3"/>
  <c r="E239" i="3"/>
  <c r="E526" i="3"/>
  <c r="AJ6" i="3"/>
  <c r="E461" i="3"/>
  <c r="E353" i="3"/>
  <c r="E586" i="3"/>
  <c r="E303" i="3"/>
  <c r="E302" i="3"/>
  <c r="E495" i="3"/>
  <c r="E213" i="3"/>
  <c r="E501" i="3"/>
  <c r="E328" i="3"/>
  <c r="E336" i="3"/>
  <c r="E314" i="3"/>
  <c r="AK6" i="3"/>
  <c r="E296" i="3"/>
  <c r="E151" i="3"/>
  <c r="E503" i="3"/>
  <c r="E335" i="3"/>
  <c r="E539" i="3"/>
  <c r="E541" i="3"/>
  <c r="E553" i="3"/>
  <c r="E329" i="3"/>
  <c r="E352" i="3"/>
  <c r="E385" i="3"/>
  <c r="E578" i="3"/>
  <c r="E263" i="3"/>
  <c r="E201" i="3"/>
  <c r="E17" i="3"/>
  <c r="E343" i="3"/>
  <c r="E347" i="3"/>
  <c r="E280" i="3"/>
  <c r="E568" i="3"/>
  <c r="E549" i="3"/>
  <c r="E244" i="3"/>
  <c r="E229" i="3"/>
  <c r="E361" i="3"/>
  <c r="E268" i="3"/>
  <c r="E247" i="3"/>
  <c r="E227" i="3"/>
  <c r="M7" i="1"/>
  <c r="I106" i="43"/>
  <c r="D82" i="71"/>
  <c r="C81" i="71"/>
  <c r="D81" i="71" s="1"/>
  <c r="E62" i="3"/>
  <c r="E45" i="3"/>
  <c r="E40" i="3"/>
  <c r="AZ245" i="3"/>
  <c r="AZ417" i="3"/>
  <c r="AZ452" i="3"/>
  <c r="AZ469" i="3"/>
  <c r="E406" i="3"/>
  <c r="E362" i="3"/>
  <c r="Q16" i="1"/>
  <c r="AZ106" i="3"/>
  <c r="T51" i="71"/>
  <c r="D51" i="71"/>
  <c r="AZ350" i="3"/>
  <c r="AZ129" i="3"/>
  <c r="AZ412" i="3"/>
  <c r="E436" i="3"/>
  <c r="E473" i="3"/>
  <c r="C31" i="71"/>
  <c r="D30" i="71"/>
  <c r="U12" i="33"/>
  <c r="AB12" i="33"/>
  <c r="B18" i="71"/>
  <c r="B17" i="71" s="1"/>
  <c r="B16" i="71" s="1"/>
  <c r="B15" i="71" s="1"/>
  <c r="S19" i="71"/>
  <c r="AZ27" i="3"/>
  <c r="T35" i="71"/>
  <c r="D35" i="71"/>
  <c r="E25" i="3"/>
  <c r="AZ213" i="3"/>
  <c r="AZ302" i="3"/>
  <c r="AZ194" i="3"/>
  <c r="AZ448" i="3"/>
  <c r="E433" i="3"/>
  <c r="E429" i="3"/>
  <c r="E552" i="3"/>
  <c r="F28" i="6"/>
  <c r="E28" i="6" s="1"/>
  <c r="C14" i="71"/>
  <c r="T15" i="71"/>
  <c r="D15" i="71"/>
  <c r="U15" i="71" s="1"/>
  <c r="T27" i="71"/>
  <c r="D27" i="71"/>
  <c r="AB26" i="37"/>
  <c r="U26" i="37"/>
  <c r="E11" i="6"/>
  <c r="H16" i="1"/>
  <c r="C48" i="68"/>
  <c r="E91" i="3"/>
  <c r="AZ438" i="3"/>
  <c r="AA23" i="35"/>
  <c r="S23" i="35"/>
  <c r="J7" i="37"/>
  <c r="F27" i="6"/>
  <c r="D103" i="43"/>
  <c r="V19" i="71"/>
  <c r="E18" i="71"/>
  <c r="E17" i="71" s="1"/>
  <c r="E16" i="71" s="1"/>
  <c r="E15" i="71" s="1"/>
  <c r="Q62" i="71"/>
  <c r="F61" i="71"/>
  <c r="E90" i="3"/>
  <c r="AZ264" i="3"/>
  <c r="AZ421" i="3"/>
  <c r="U12" i="36"/>
  <c r="AB12" i="36"/>
  <c r="U39" i="40"/>
  <c r="AB39" i="40"/>
  <c r="AC36" i="39"/>
  <c r="W36" i="39"/>
  <c r="BA5" i="3"/>
  <c r="G16" i="1"/>
  <c r="F10" i="39" s="1"/>
  <c r="D107" i="43"/>
  <c r="D23" i="71"/>
  <c r="U23" i="71" s="1"/>
  <c r="T23" i="71"/>
  <c r="C22" i="71"/>
  <c r="I21" i="66"/>
  <c r="D1" i="66"/>
  <c r="E10" i="66" s="1"/>
  <c r="E416" i="3"/>
  <c r="E398" i="3"/>
  <c r="W34" i="35"/>
  <c r="AC34" i="35"/>
  <c r="W45" i="39"/>
  <c r="AC45" i="39"/>
  <c r="S36" i="39"/>
  <c r="AA36" i="39"/>
  <c r="E13" i="6"/>
  <c r="E10" i="6"/>
  <c r="E15" i="6"/>
  <c r="E14" i="6"/>
  <c r="E16" i="6" s="1"/>
  <c r="E533" i="3"/>
  <c r="C47" i="71"/>
  <c r="D46" i="71"/>
  <c r="E86" i="3"/>
  <c r="AZ19" i="3"/>
  <c r="AZ5" i="3" s="1"/>
  <c r="BL5" i="3"/>
  <c r="S45" i="39"/>
  <c r="AA45" i="39"/>
  <c r="C19" i="43"/>
  <c r="U29" i="21"/>
  <c r="AB29" i="21"/>
  <c r="H14" i="74"/>
  <c r="B7" i="74" s="1"/>
  <c r="D10" i="52"/>
  <c r="D125" i="9"/>
  <c r="D11" i="52" s="1"/>
  <c r="F30" i="6"/>
  <c r="D105" i="43"/>
  <c r="AZ89" i="3"/>
  <c r="E69" i="3"/>
  <c r="C39" i="71"/>
  <c r="D38" i="71"/>
  <c r="AZ178" i="3"/>
  <c r="AZ293" i="3"/>
  <c r="AZ247" i="3"/>
  <c r="AZ399" i="3"/>
  <c r="U45" i="39"/>
  <c r="AB45" i="39"/>
  <c r="AC29" i="21"/>
  <c r="W29" i="21"/>
  <c r="G29" i="6"/>
  <c r="AZ531" i="3"/>
  <c r="E57" i="3"/>
  <c r="AZ275" i="3"/>
  <c r="E384" i="3"/>
  <c r="AZ289" i="3"/>
  <c r="E427" i="3"/>
  <c r="AZ425" i="3"/>
  <c r="AB34" i="35"/>
  <c r="U34" i="35"/>
  <c r="D106" i="43"/>
  <c r="E55" i="3"/>
  <c r="AZ250" i="3"/>
  <c r="AA25" i="37"/>
  <c r="S25" i="37"/>
  <c r="AC23" i="35"/>
  <c r="W23" i="35"/>
  <c r="E81" i="43"/>
  <c r="B79" i="43" s="1"/>
  <c r="C24" i="43" s="1"/>
  <c r="G17" i="43"/>
  <c r="C16" i="43" s="1"/>
  <c r="F11" i="77"/>
  <c r="M11" i="77"/>
  <c r="C30" i="68"/>
  <c r="C30" i="11"/>
  <c r="C48" i="11"/>
  <c r="F48" i="69"/>
  <c r="C48" i="69"/>
  <c r="C30" i="69"/>
  <c r="E105" i="43"/>
  <c r="F28" i="12"/>
  <c r="C29" i="12" s="1"/>
  <c r="D28" i="12" s="1"/>
  <c r="E104" i="43"/>
  <c r="F27" i="11"/>
  <c r="C47" i="11" s="1"/>
  <c r="D45" i="11" s="1"/>
  <c r="E109" i="43"/>
  <c r="E107" i="43"/>
  <c r="M106" i="43"/>
  <c r="M103" i="43"/>
  <c r="M102" i="43"/>
  <c r="E102" i="43"/>
  <c r="E106" i="43"/>
  <c r="D109" i="43"/>
  <c r="D104" i="43"/>
  <c r="F31" i="6"/>
  <c r="E27" i="6"/>
  <c r="AC6" i="3"/>
  <c r="E62" i="39"/>
  <c r="E57" i="40"/>
  <c r="D22" i="43"/>
  <c r="P8" i="1"/>
  <c r="P16" i="1" s="1"/>
  <c r="C11" i="12" s="1"/>
  <c r="J104" i="43"/>
  <c r="J107" i="43"/>
  <c r="J102" i="43"/>
  <c r="J105" i="43"/>
  <c r="J106" i="43"/>
  <c r="J109" i="43"/>
  <c r="J103" i="43"/>
  <c r="G105" i="43"/>
  <c r="G107" i="43"/>
  <c r="G104" i="43"/>
  <c r="G106" i="43"/>
  <c r="G109" i="43"/>
  <c r="G102" i="43"/>
  <c r="G103" i="43"/>
  <c r="H107" i="43"/>
  <c r="H106" i="43"/>
  <c r="H105" i="43"/>
  <c r="H103" i="43"/>
  <c r="H102" i="43"/>
  <c r="H104" i="43"/>
  <c r="H109" i="43"/>
  <c r="F102" i="43"/>
  <c r="F105" i="43"/>
  <c r="F104" i="43"/>
  <c r="F107" i="43"/>
  <c r="F109" i="43"/>
  <c r="F106" i="43"/>
  <c r="F103" i="43"/>
  <c r="C104" i="43"/>
  <c r="C107" i="43"/>
  <c r="C103" i="43"/>
  <c r="C109" i="43"/>
  <c r="C106" i="43"/>
  <c r="C105" i="43"/>
  <c r="C102"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L109" i="43"/>
  <c r="L106" i="43"/>
  <c r="L107" i="43"/>
  <c r="L103" i="43"/>
  <c r="L102" i="43"/>
  <c r="L105" i="43"/>
  <c r="L104" i="43"/>
  <c r="N105" i="43"/>
  <c r="N104" i="43"/>
  <c r="N102" i="43"/>
  <c r="N106" i="43"/>
  <c r="N109" i="43"/>
  <c r="N103" i="43"/>
  <c r="N107" i="43"/>
  <c r="K102" i="43"/>
  <c r="K105" i="43"/>
  <c r="K103" i="43"/>
  <c r="K104" i="43"/>
  <c r="K109" i="43"/>
  <c r="K107" i="43"/>
  <c r="K106" i="43"/>
  <c r="D5" i="43"/>
  <c r="C5" i="43"/>
  <c r="J10" i="40"/>
  <c r="AC10" i="40" s="1"/>
  <c r="H10" i="39"/>
  <c r="U10" i="39" s="1"/>
  <c r="F10" i="40"/>
  <c r="J10" i="39"/>
  <c r="W10" i="39" s="1"/>
  <c r="H10" i="40"/>
  <c r="U10" i="40" s="1"/>
  <c r="F59" i="67"/>
  <c r="G70" i="39"/>
  <c r="H68" i="39"/>
  <c r="H7" i="37"/>
  <c r="AB7" i="37" s="1"/>
  <c r="T42" i="37" s="1"/>
  <c r="G42" i="37" s="1"/>
  <c r="B40" i="1"/>
  <c r="F24" i="77" s="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M17" i="67"/>
  <c r="M17" i="15"/>
  <c r="F59" i="15"/>
  <c r="P24" i="43"/>
  <c r="B66" i="40" s="1"/>
  <c r="P21" i="43"/>
  <c r="C49" i="67"/>
  <c r="P25" i="43"/>
  <c r="P23" i="43"/>
  <c r="B71" i="39" s="1"/>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61" i="67"/>
  <c r="Q74" i="67"/>
  <c r="J15" i="77"/>
  <c r="M8" i="77"/>
  <c r="M6" i="77"/>
  <c r="M27" i="77"/>
  <c r="F43" i="77"/>
  <c r="M22" i="77"/>
  <c r="C76" i="77"/>
  <c r="M23" i="77"/>
  <c r="F6" i="77"/>
  <c r="F38" i="77"/>
  <c r="F40" i="77"/>
  <c r="F13" i="77"/>
  <c r="L47" i="77"/>
  <c r="M29" i="77"/>
  <c r="M26" i="77"/>
  <c r="M9" i="77"/>
  <c r="M24" i="77"/>
  <c r="F9" i="77"/>
  <c r="F36" i="77"/>
  <c r="F42" i="77"/>
  <c r="F37" i="77"/>
  <c r="AE6" i="1"/>
  <c r="F16" i="77"/>
  <c r="F8" i="77"/>
  <c r="F7" i="77"/>
  <c r="F26" i="77"/>
  <c r="M28" i="77"/>
  <c r="L48" i="77"/>
  <c r="F41" i="15"/>
  <c r="Q61" i="15" l="1"/>
  <c r="L57" i="77"/>
  <c r="L56" i="77"/>
  <c r="L60" i="77"/>
  <c r="J60" i="77"/>
  <c r="Q48" i="77" s="1"/>
  <c r="J57" i="77"/>
  <c r="J55" i="77" s="1"/>
  <c r="J58" i="77" s="1"/>
  <c r="Q50" i="77" s="1"/>
  <c r="J53" i="77"/>
  <c r="I54" i="77"/>
  <c r="J59" i="77"/>
  <c r="C27" i="77"/>
  <c r="F50" i="77"/>
  <c r="M7" i="77"/>
  <c r="J6" i="77" s="1"/>
  <c r="J18" i="77" s="1"/>
  <c r="F51" i="77"/>
  <c r="F65" i="77"/>
  <c r="F64" i="77"/>
  <c r="L59" i="77"/>
  <c r="N59" i="77"/>
  <c r="L58" i="77"/>
  <c r="M59" i="77"/>
  <c r="F68" i="77"/>
  <c r="F66" i="77"/>
  <c r="C6" i="77"/>
  <c r="C10" i="77" s="1"/>
  <c r="C5" i="77" s="1"/>
  <c r="Q71" i="77"/>
  <c r="F71" i="77"/>
  <c r="AY6" i="3"/>
  <c r="E3" i="6"/>
  <c r="T39" i="71"/>
  <c r="D39" i="71"/>
  <c r="Q60" i="71"/>
  <c r="Q61" i="71"/>
  <c r="G30" i="6"/>
  <c r="G31" i="6" s="1"/>
  <c r="E29" i="6"/>
  <c r="K15" i="1" s="1"/>
  <c r="K16" i="1" s="1"/>
  <c r="E61" i="39"/>
  <c r="E66" i="39" s="1"/>
  <c r="E56" i="40"/>
  <c r="E14" i="71"/>
  <c r="E13" i="71" s="1"/>
  <c r="E12" i="71" s="1"/>
  <c r="E11" i="71" s="1"/>
  <c r="V15" i="71"/>
  <c r="H6" i="3"/>
  <c r="E6" i="3" s="1"/>
  <c r="D47" i="71"/>
  <c r="T47" i="71"/>
  <c r="F27" i="68"/>
  <c r="F27" i="69"/>
  <c r="E41" i="43"/>
  <c r="C41" i="43" s="1"/>
  <c r="C38" i="43" s="1"/>
  <c r="C20" i="43"/>
  <c r="T16" i="43" s="1"/>
  <c r="V16" i="43" s="1"/>
  <c r="E64" i="39"/>
  <c r="E59" i="40"/>
  <c r="E60" i="40"/>
  <c r="E65" i="39"/>
  <c r="C21" i="71"/>
  <c r="D21" i="71" s="1"/>
  <c r="D22" i="71"/>
  <c r="C13" i="71"/>
  <c r="D14" i="71"/>
  <c r="T31" i="71"/>
  <c r="D31" i="71"/>
  <c r="U7" i="37"/>
  <c r="E58" i="40"/>
  <c r="E63" i="39"/>
  <c r="K14" i="1"/>
  <c r="E30" i="6"/>
  <c r="E31" i="6" s="1"/>
  <c r="B14" i="71"/>
  <c r="B13" i="71" s="1"/>
  <c r="B12" i="71" s="1"/>
  <c r="B11" i="71" s="1"/>
  <c r="S15" i="71"/>
  <c r="C24" i="77"/>
  <c r="C53" i="77"/>
  <c r="F69" i="15"/>
  <c r="C29" i="11"/>
  <c r="D27" i="11" s="1"/>
  <c r="AB10" i="39"/>
  <c r="AC10" i="39"/>
  <c r="K20" i="6"/>
  <c r="K21" i="6"/>
  <c r="M21" i="6" s="1"/>
  <c r="I21" i="6" s="1"/>
  <c r="S21" i="6" s="1"/>
  <c r="K26" i="6"/>
  <c r="M26" i="6" s="1"/>
  <c r="I26" i="6" s="1"/>
  <c r="S26" i="6" s="1"/>
  <c r="K22" i="6"/>
  <c r="M22" i="6" s="1"/>
  <c r="I22" i="6" s="1"/>
  <c r="S22" i="6" s="1"/>
  <c r="K19" i="6"/>
  <c r="S6" i="1" s="1"/>
  <c r="K25" i="6"/>
  <c r="M25" i="6" s="1"/>
  <c r="I25" i="6" s="1"/>
  <c r="S25" i="6" s="1"/>
  <c r="K23" i="6"/>
  <c r="M23" i="6" s="1"/>
  <c r="I23" i="6" s="1"/>
  <c r="S23" i="6" s="1"/>
  <c r="K24" i="6"/>
  <c r="M24" i="6" s="1"/>
  <c r="I24" i="6" s="1"/>
  <c r="S24" i="6" s="1"/>
  <c r="C15" i="12"/>
  <c r="C12" i="12"/>
  <c r="S6" i="43"/>
  <c r="T6" i="43" s="1"/>
  <c r="V6" i="43" s="1"/>
  <c r="S3" i="43"/>
  <c r="S5" i="43"/>
  <c r="S4" i="43"/>
  <c r="T4" i="43" s="1"/>
  <c r="V4" i="43" s="1"/>
  <c r="S2" i="43"/>
  <c r="C23" i="43"/>
  <c r="C21" i="43" s="1"/>
  <c r="S7" i="43"/>
  <c r="D113" i="43"/>
  <c r="T9" i="43"/>
  <c r="V9" i="43" s="1"/>
  <c r="T14" i="43"/>
  <c r="V14" i="43" s="1"/>
  <c r="T11" i="43"/>
  <c r="V11" i="43" s="1"/>
  <c r="T15" i="43"/>
  <c r="V15" i="43" s="1"/>
  <c r="T10" i="43"/>
  <c r="V10" i="43" s="1"/>
  <c r="C36" i="43"/>
  <c r="C37" i="43"/>
  <c r="C35" i="43"/>
  <c r="C39" i="43"/>
  <c r="C33"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6" i="77"/>
  <c r="C17" i="15"/>
  <c r="C48" i="77" l="1"/>
  <c r="C60" i="77" s="1"/>
  <c r="C49" i="77"/>
  <c r="T3" i="43"/>
  <c r="V3" i="43" s="1"/>
  <c r="C47" i="69"/>
  <c r="D45" i="69" s="1"/>
  <c r="C29" i="69"/>
  <c r="D27" i="69" s="1"/>
  <c r="F45" i="69"/>
  <c r="C33" i="77"/>
  <c r="C32" i="77"/>
  <c r="E6" i="70"/>
  <c r="T5" i="43"/>
  <c r="V5" i="43" s="1"/>
  <c r="T7" i="43"/>
  <c r="V7" i="43" s="1"/>
  <c r="C29" i="68"/>
  <c r="D27" i="68" s="1"/>
  <c r="C47" i="68"/>
  <c r="D45" i="68" s="1"/>
  <c r="F45" i="68"/>
  <c r="T12" i="43"/>
  <c r="V12" i="43" s="1"/>
  <c r="T2" i="43"/>
  <c r="V2" i="43" s="1"/>
  <c r="T13" i="43"/>
  <c r="V13" i="43" s="1"/>
  <c r="C29" i="43"/>
  <c r="C30" i="43" s="1"/>
  <c r="E30" i="43" s="1"/>
  <c r="M20" i="6"/>
  <c r="I20" i="6" s="1"/>
  <c r="S20" i="6" s="1"/>
  <c r="S7" i="1"/>
  <c r="C12" i="71"/>
  <c r="D13" i="71"/>
  <c r="J10" i="77"/>
  <c r="J5" i="77" s="1"/>
  <c r="Q60" i="77"/>
  <c r="Q73" i="77"/>
  <c r="F1" i="77"/>
  <c r="Q52" i="77"/>
  <c r="B10" i="71"/>
  <c r="B9" i="71" s="1"/>
  <c r="B8" i="71" s="1"/>
  <c r="B7" i="71" s="1"/>
  <c r="S11" i="71"/>
  <c r="Q61" i="77"/>
  <c r="Q74" i="77"/>
  <c r="T8" i="43"/>
  <c r="V8" i="43" s="1"/>
  <c r="E10" i="71"/>
  <c r="E9" i="71" s="1"/>
  <c r="E8" i="71" s="1"/>
  <c r="E7" i="71" s="1"/>
  <c r="V11" i="71"/>
  <c r="L18" i="9"/>
  <c r="D3" i="37"/>
  <c r="D3" i="34"/>
  <c r="E6" i="6"/>
  <c r="D14" i="12"/>
  <c r="M18" i="9"/>
  <c r="B118" i="9" s="1"/>
  <c r="B14" i="74" s="1"/>
  <c r="B1" i="74" s="1"/>
  <c r="D3" i="33"/>
  <c r="C17" i="4"/>
  <c r="B4" i="52" s="1"/>
  <c r="B43" i="72" s="1"/>
  <c r="D37" i="11"/>
  <c r="C37" i="11" s="1"/>
  <c r="D3" i="21"/>
  <c r="D19" i="11"/>
  <c r="C19" i="11" s="1"/>
  <c r="C20" i="11" s="1"/>
  <c r="C28" i="11" s="1"/>
  <c r="C27" i="11" s="1"/>
  <c r="L46" i="77"/>
  <c r="C34" i="43"/>
  <c r="M14" i="1"/>
  <c r="C34" i="69"/>
  <c r="AY34" i="3"/>
  <c r="AY152" i="3"/>
  <c r="AY382" i="3"/>
  <c r="AY529" i="3"/>
  <c r="AY123" i="3"/>
  <c r="AY43" i="3"/>
  <c r="AY310" i="3"/>
  <c r="AY533" i="3"/>
  <c r="AY44" i="3"/>
  <c r="AY133" i="3"/>
  <c r="AY230" i="3"/>
  <c r="AY109" i="3"/>
  <c r="AY295" i="3"/>
  <c r="AY348" i="3"/>
  <c r="AY398" i="3"/>
  <c r="AY495" i="3"/>
  <c r="AY65" i="3"/>
  <c r="AY191" i="3"/>
  <c r="AY390" i="3"/>
  <c r="AY85" i="3"/>
  <c r="AY271" i="3"/>
  <c r="AY186" i="3"/>
  <c r="AY464" i="3"/>
  <c r="AY556" i="3"/>
  <c r="AY171" i="3"/>
  <c r="AY379" i="3"/>
  <c r="AY69" i="3"/>
  <c r="AY255" i="3"/>
  <c r="AY181" i="3"/>
  <c r="AY449" i="3"/>
  <c r="AY496" i="3"/>
  <c r="AY223" i="3"/>
  <c r="AY484" i="3"/>
  <c r="AY499" i="3"/>
  <c r="BA6" i="3"/>
  <c r="AY127" i="3"/>
  <c r="AY314" i="3"/>
  <c r="AY587" i="3"/>
  <c r="AY119" i="3"/>
  <c r="AY306" i="3"/>
  <c r="AY305" i="3"/>
  <c r="AY551" i="3"/>
  <c r="AY394" i="3"/>
  <c r="AY200" i="3"/>
  <c r="AY521" i="3"/>
  <c r="AY304" i="3"/>
  <c r="AY548" i="3"/>
  <c r="AY347" i="3"/>
  <c r="AY175" i="3"/>
  <c r="AY566" i="3"/>
  <c r="AY23" i="3"/>
  <c r="AY131" i="3"/>
  <c r="AY371" i="3"/>
  <c r="AY106" i="3"/>
  <c r="AY261" i="3"/>
  <c r="AY180" i="3"/>
  <c r="AY465" i="3"/>
  <c r="AY541" i="3"/>
  <c r="AY28" i="3"/>
  <c r="AY118" i="3"/>
  <c r="AY214" i="3"/>
  <c r="AY104" i="3"/>
  <c r="AY290" i="3"/>
  <c r="AY332" i="3"/>
  <c r="AY427" i="3"/>
  <c r="AY510" i="3"/>
  <c r="AY80" i="3"/>
  <c r="AY132" i="3"/>
  <c r="AY355" i="3"/>
  <c r="AY53" i="3"/>
  <c r="AY239" i="3"/>
  <c r="AY150" i="3"/>
  <c r="AY454" i="3"/>
  <c r="AY577" i="3"/>
  <c r="AY90" i="3"/>
  <c r="AY343" i="3"/>
  <c r="AY84" i="3"/>
  <c r="AY270" i="3"/>
  <c r="AY161" i="3"/>
  <c r="AY438" i="3"/>
  <c r="AY523" i="3"/>
  <c r="AY380" i="3"/>
  <c r="AY468" i="3"/>
  <c r="AY14" i="3"/>
  <c r="AY99" i="3"/>
  <c r="AY285" i="3"/>
  <c r="AY469" i="3"/>
  <c r="AY91" i="3"/>
  <c r="AY277" i="3"/>
  <c r="AY490" i="3"/>
  <c r="AY320" i="3"/>
  <c r="AY545" i="3"/>
  <c r="AY359" i="3"/>
  <c r="AY164" i="3"/>
  <c r="BC6" i="3"/>
  <c r="AY492" i="3"/>
  <c r="AY563" i="3"/>
  <c r="AY330" i="3"/>
  <c r="AY136" i="3"/>
  <c r="AY583" i="3"/>
  <c r="AY207" i="3"/>
  <c r="AY281" i="3"/>
  <c r="AY366" i="3"/>
  <c r="AY26" i="3"/>
  <c r="AY204" i="3"/>
  <c r="AY300" i="3"/>
  <c r="AY463" i="3"/>
  <c r="BE6" i="3"/>
  <c r="AY33" i="3"/>
  <c r="AY125" i="3"/>
  <c r="AY219" i="3"/>
  <c r="AY73" i="3"/>
  <c r="AY259" i="3"/>
  <c r="AY316" i="3"/>
  <c r="AY411" i="3"/>
  <c r="BG6" i="3"/>
  <c r="AY48" i="3"/>
  <c r="AY31" i="3"/>
  <c r="AY311" i="3"/>
  <c r="AY68" i="3"/>
  <c r="AY254" i="3"/>
  <c r="AY130" i="3"/>
  <c r="AY422" i="3"/>
  <c r="AY112" i="3"/>
  <c r="AY163" i="3"/>
  <c r="AY326" i="3"/>
  <c r="AY52" i="3"/>
  <c r="AY238" i="3"/>
  <c r="AY121" i="3"/>
  <c r="AY406" i="3"/>
  <c r="AY81" i="3"/>
  <c r="AY369" i="3"/>
  <c r="AY453" i="3"/>
  <c r="D3" i="6"/>
  <c r="AY94" i="3"/>
  <c r="AY280" i="3"/>
  <c r="AY466" i="3"/>
  <c r="AY86" i="3"/>
  <c r="AY273" i="3"/>
  <c r="AY459" i="3"/>
  <c r="AY479" i="3"/>
  <c r="BP6" i="3"/>
  <c r="AY315" i="3"/>
  <c r="AY143" i="3"/>
  <c r="AY511" i="3"/>
  <c r="AY461" i="3"/>
  <c r="AY110" i="3"/>
  <c r="AY482" i="3"/>
  <c r="AY288" i="3"/>
  <c r="BT6" i="3"/>
  <c r="AY176" i="3"/>
  <c r="AY276" i="3"/>
  <c r="AY335" i="3"/>
  <c r="AY103" i="3"/>
  <c r="AY284" i="3"/>
  <c r="AY245" i="3"/>
  <c r="AY452" i="3"/>
  <c r="AY553" i="3"/>
  <c r="AY206" i="3"/>
  <c r="AY299" i="3"/>
  <c r="AY392" i="3"/>
  <c r="AY41" i="3"/>
  <c r="AY274" i="3"/>
  <c r="AY491" i="3"/>
  <c r="AY581" i="3"/>
  <c r="AY16" i="3"/>
  <c r="AY37" i="3"/>
  <c r="AY292" i="3"/>
  <c r="AY481" i="3"/>
  <c r="AY36" i="3"/>
  <c r="AY222" i="3"/>
  <c r="AY279" i="3"/>
  <c r="AY435" i="3"/>
  <c r="AY49" i="3"/>
  <c r="AY75" i="3"/>
  <c r="AY478" i="3"/>
  <c r="AY20" i="3"/>
  <c r="AY227" i="3"/>
  <c r="AY275" i="3"/>
  <c r="AY419" i="3"/>
  <c r="AY64" i="3"/>
  <c r="AY364" i="3"/>
  <c r="AY458" i="3"/>
  <c r="AY524" i="3"/>
  <c r="AY63" i="3"/>
  <c r="AY249" i="3"/>
  <c r="AY456" i="3"/>
  <c r="AY55" i="3"/>
  <c r="AY241" i="3"/>
  <c r="AY448" i="3"/>
  <c r="AY476" i="3"/>
  <c r="AY493" i="3"/>
  <c r="AY485" i="3"/>
  <c r="AY293" i="3"/>
  <c r="AY504" i="3"/>
  <c r="AY450" i="3"/>
  <c r="AY47" i="3"/>
  <c r="AY440" i="3"/>
  <c r="AY272" i="3"/>
  <c r="AY567" i="3"/>
  <c r="AY397" i="3"/>
  <c r="AY586" i="3"/>
  <c r="AY144" i="3"/>
  <c r="AY111" i="3"/>
  <c r="AY303" i="3"/>
  <c r="AY67" i="3"/>
  <c r="AY252" i="3"/>
  <c r="AY260" i="3"/>
  <c r="AY420" i="3"/>
  <c r="AY97" i="3"/>
  <c r="AY190" i="3"/>
  <c r="AY283" i="3"/>
  <c r="AY56" i="3"/>
  <c r="AY242" i="3"/>
  <c r="AY475" i="3"/>
  <c r="BQ6" i="3"/>
  <c r="AY501" i="3"/>
  <c r="AY194" i="3"/>
  <c r="AY147" i="3"/>
  <c r="AY447" i="3"/>
  <c r="AY25" i="3"/>
  <c r="AY211" i="3"/>
  <c r="AY243" i="3"/>
  <c r="AY403" i="3"/>
  <c r="AY32" i="3"/>
  <c r="AY237" i="3"/>
  <c r="AY436" i="3"/>
  <c r="AY198" i="3"/>
  <c r="AY384" i="3"/>
  <c r="AY258" i="3"/>
  <c r="AY503" i="3"/>
  <c r="AY21" i="3"/>
  <c r="AY345" i="3"/>
  <c r="AY442" i="3"/>
  <c r="AY502" i="3"/>
  <c r="AY78" i="3"/>
  <c r="AY264" i="3"/>
  <c r="AY424" i="3"/>
  <c r="AY70" i="3"/>
  <c r="AY256" i="3"/>
  <c r="AY416" i="3"/>
  <c r="AY445" i="3"/>
  <c r="AY79" i="3"/>
  <c r="AY451" i="3"/>
  <c r="AY257" i="3"/>
  <c r="AY418" i="3"/>
  <c r="AY30" i="3"/>
  <c r="AY421" i="3"/>
  <c r="AY208" i="3"/>
  <c r="AY135" i="3"/>
  <c r="AY155" i="3"/>
  <c r="AY58" i="3"/>
  <c r="AY318" i="3"/>
  <c r="AY50" i="3"/>
  <c r="AY209" i="3"/>
  <c r="AY228" i="3"/>
  <c r="AY433" i="3"/>
  <c r="AY108" i="3"/>
  <c r="AY201" i="3"/>
  <c r="AY294" i="3"/>
  <c r="AY381" i="3"/>
  <c r="AY24" i="3"/>
  <c r="AY210" i="3"/>
  <c r="AY488" i="3"/>
  <c r="BM6" i="3"/>
  <c r="AY584" i="3"/>
  <c r="AY189" i="3"/>
  <c r="AY220" i="3"/>
  <c r="AY404" i="3"/>
  <c r="AY182" i="3"/>
  <c r="AY389" i="3"/>
  <c r="AY226" i="3"/>
  <c r="AY525" i="3"/>
  <c r="AY205" i="3"/>
  <c r="AY387" i="3"/>
  <c r="AY417" i="3"/>
  <c r="AY193" i="3"/>
  <c r="AY373" i="3"/>
  <c r="AY215" i="3"/>
  <c r="AY580" i="3"/>
  <c r="AY174" i="3"/>
  <c r="AY329" i="3"/>
  <c r="AY426" i="3"/>
  <c r="AY565" i="3"/>
  <c r="AY46" i="3"/>
  <c r="AY232" i="3"/>
  <c r="AY437" i="3"/>
  <c r="AY38" i="3"/>
  <c r="AY224" i="3"/>
  <c r="AY429" i="3"/>
  <c r="AY434" i="3"/>
  <c r="AY62" i="3"/>
  <c r="AY408" i="3"/>
  <c r="AY240" i="3"/>
  <c r="AY498" i="3"/>
  <c r="AY431" i="3"/>
  <c r="AY203" i="3"/>
  <c r="AY13" i="3"/>
  <c r="AY375" i="3"/>
  <c r="AY124" i="3"/>
  <c r="AY168" i="3"/>
  <c r="AY473" i="3"/>
  <c r="AY196" i="3"/>
  <c r="AY363" i="3"/>
  <c r="AY217" i="3"/>
  <c r="AY401" i="3"/>
  <c r="AY92" i="3"/>
  <c r="AY185" i="3"/>
  <c r="AY278" i="3"/>
  <c r="AY374" i="3"/>
  <c r="AY202" i="3"/>
  <c r="AY388" i="3"/>
  <c r="AY472" i="3"/>
  <c r="AY585" i="3"/>
  <c r="AY494" i="3"/>
  <c r="AY158" i="3"/>
  <c r="AY350" i="3"/>
  <c r="AY535" i="3"/>
  <c r="AY178" i="3"/>
  <c r="AY365" i="3"/>
  <c r="AY393" i="3"/>
  <c r="AY516" i="3"/>
  <c r="AY142" i="3"/>
  <c r="AY334" i="3"/>
  <c r="AY557" i="3"/>
  <c r="AY162" i="3"/>
  <c r="AY368" i="3"/>
  <c r="AY370" i="3"/>
  <c r="AY572" i="3"/>
  <c r="AY153" i="3"/>
  <c r="AY313" i="3"/>
  <c r="AY410" i="3"/>
  <c r="AY509" i="3"/>
  <c r="AY35" i="3"/>
  <c r="AY221" i="3"/>
  <c r="AY405" i="3"/>
  <c r="AY27" i="3"/>
  <c r="AY213" i="3"/>
  <c r="AY550" i="3"/>
  <c r="AY402" i="3"/>
  <c r="AY19" i="3"/>
  <c r="AY500" i="3"/>
  <c r="AY386" i="3"/>
  <c r="AY235" i="3"/>
  <c r="AY399" i="3"/>
  <c r="AY140" i="3"/>
  <c r="AY528" i="3"/>
  <c r="AY339" i="3"/>
  <c r="AY173" i="3"/>
  <c r="AY218" i="3"/>
  <c r="AY66" i="3"/>
  <c r="AY225" i="3"/>
  <c r="AY183" i="3"/>
  <c r="AY497" i="3"/>
  <c r="AY342" i="3"/>
  <c r="AY60" i="3"/>
  <c r="BJ6" i="3"/>
  <c r="AY317" i="3"/>
  <c r="AY96" i="3"/>
  <c r="AY89" i="3"/>
  <c r="AY40" i="3"/>
  <c r="AY18" i="3"/>
  <c r="AY286" i="3"/>
  <c r="AY480" i="3"/>
  <c r="AY506" i="3"/>
  <c r="BL6" i="3"/>
  <c r="AY338" i="3"/>
  <c r="AY248" i="3"/>
  <c r="AY336" i="3"/>
  <c r="AY383" i="3"/>
  <c r="AY15" i="3"/>
  <c r="AY115" i="3"/>
  <c r="AY297" i="3"/>
  <c r="AY470" i="3"/>
  <c r="AY160" i="3"/>
  <c r="AY319" i="3"/>
  <c r="AY395" i="3"/>
  <c r="AY513" i="3"/>
  <c r="AY77" i="3"/>
  <c r="AY170" i="3"/>
  <c r="AY263" i="3"/>
  <c r="AY357" i="3"/>
  <c r="AY197" i="3"/>
  <c r="AY377" i="3"/>
  <c r="AY457" i="3"/>
  <c r="AY561" i="3"/>
  <c r="AY514" i="3"/>
  <c r="AY169" i="3"/>
  <c r="AY486" i="3"/>
  <c r="AY562" i="3"/>
  <c r="AY146" i="3"/>
  <c r="BS6" i="3"/>
  <c r="AY356" i="3"/>
  <c r="BN6" i="3"/>
  <c r="AY122" i="3"/>
  <c r="AY444" i="3"/>
  <c r="AY573" i="3"/>
  <c r="AY507" i="3"/>
  <c r="AY341" i="3"/>
  <c r="AY536" i="3"/>
  <c r="AY113" i="3"/>
  <c r="AY344" i="3"/>
  <c r="AY439" i="3"/>
  <c r="AY542" i="3"/>
  <c r="AY192" i="3"/>
  <c r="AY378" i="3"/>
  <c r="AY558" i="3"/>
  <c r="AY184" i="3"/>
  <c r="AY391" i="3"/>
  <c r="BD6" i="3"/>
  <c r="AY415" i="3"/>
  <c r="AY172" i="3"/>
  <c r="AY547" i="3"/>
  <c r="AY351" i="3"/>
  <c r="AY17" i="3"/>
  <c r="AY120" i="3"/>
  <c r="AY576" i="3"/>
  <c r="AY322" i="3"/>
  <c r="AY409" i="3"/>
  <c r="AY246" i="3"/>
  <c r="AY82" i="3"/>
  <c r="AY212" i="3"/>
  <c r="AY578" i="3"/>
  <c r="AY54" i="3"/>
  <c r="AY87" i="3"/>
  <c r="AY95" i="3"/>
  <c r="AY253" i="3"/>
  <c r="AY460" i="3"/>
  <c r="AY139" i="3"/>
  <c r="AY489" i="3"/>
  <c r="AY372" i="3"/>
  <c r="AY549" i="3"/>
  <c r="AY61" i="3"/>
  <c r="AY154" i="3"/>
  <c r="AY247" i="3"/>
  <c r="AY360" i="3"/>
  <c r="AY166" i="3"/>
  <c r="AY353" i="3"/>
  <c r="AY462" i="3"/>
  <c r="AY534" i="3"/>
  <c r="AY582" i="3"/>
  <c r="AY137" i="3"/>
  <c r="AY425" i="3"/>
  <c r="AY574" i="3"/>
  <c r="AY157" i="3"/>
  <c r="BI6" i="3"/>
  <c r="AY325" i="3"/>
  <c r="AY527" i="3"/>
  <c r="AY298" i="3"/>
  <c r="AY526" i="3"/>
  <c r="AY540" i="3"/>
  <c r="AY141" i="3"/>
  <c r="BB6" i="3"/>
  <c r="AY309" i="3"/>
  <c r="AY520" i="3"/>
  <c r="AY282" i="3"/>
  <c r="AY328" i="3"/>
  <c r="AY423" i="3"/>
  <c r="BR6" i="3"/>
  <c r="AY187" i="3"/>
  <c r="AY376" i="3"/>
  <c r="AY517" i="3"/>
  <c r="AY179" i="3"/>
  <c r="AY367" i="3"/>
  <c r="AY250" i="3"/>
  <c r="AY505" i="3"/>
  <c r="AY151" i="3"/>
  <c r="AY568" i="3"/>
  <c r="AY307" i="3"/>
  <c r="AY385" i="3"/>
  <c r="AY564" i="3"/>
  <c r="AY296" i="3"/>
  <c r="AY102" i="3"/>
  <c r="AY474" i="3"/>
  <c r="AY554" i="3"/>
  <c r="AY267" i="3"/>
  <c r="AY88" i="3"/>
  <c r="AY552" i="3"/>
  <c r="AY251" i="3"/>
  <c r="AY407" i="3"/>
  <c r="AY570" i="3"/>
  <c r="AY362" i="3"/>
  <c r="AY560" i="3"/>
  <c r="AY354" i="3"/>
  <c r="AY396" i="3"/>
  <c r="AY538" i="3"/>
  <c r="AY107" i="3"/>
  <c r="AY477" i="3"/>
  <c r="AY575" i="3"/>
  <c r="AY233" i="3"/>
  <c r="AY39" i="3"/>
  <c r="AY188" i="3"/>
  <c r="AY569" i="3"/>
  <c r="AY414" i="3"/>
  <c r="AY467" i="3"/>
  <c r="AY532" i="3"/>
  <c r="AY337" i="3"/>
  <c r="AY83" i="3"/>
  <c r="AY59" i="3"/>
  <c r="AY268" i="3"/>
  <c r="AY428" i="3"/>
  <c r="AY289" i="3"/>
  <c r="AY455" i="3"/>
  <c r="AY358" i="3"/>
  <c r="BK6" i="3"/>
  <c r="AY45" i="3"/>
  <c r="AY138" i="3"/>
  <c r="AY231" i="3"/>
  <c r="AY177" i="3"/>
  <c r="AY349" i="3"/>
  <c r="AY446" i="3"/>
  <c r="BF6" i="3"/>
  <c r="AY519" i="3"/>
  <c r="AY129" i="3"/>
  <c r="AY199" i="3"/>
  <c r="BO6" i="3"/>
  <c r="AY126" i="3"/>
  <c r="AY93" i="3"/>
  <c r="AY340" i="3"/>
  <c r="AY518" i="3"/>
  <c r="AY116" i="3"/>
  <c r="AY539" i="3"/>
  <c r="AY134" i="3"/>
  <c r="AY324" i="3"/>
  <c r="AY312" i="3"/>
  <c r="AY156" i="3"/>
  <c r="AY148" i="3"/>
  <c r="AY301" i="3"/>
  <c r="AY352" i="3"/>
  <c r="AY432" i="3"/>
  <c r="AY114" i="3"/>
  <c r="AY234" i="3"/>
  <c r="AY51" i="3"/>
  <c r="AY42" i="3"/>
  <c r="AY236" i="3"/>
  <c r="AY441" i="3"/>
  <c r="AY74" i="3"/>
  <c r="AY412" i="3"/>
  <c r="AY327" i="3"/>
  <c r="AY544" i="3"/>
  <c r="AY76" i="3"/>
  <c r="AY165" i="3"/>
  <c r="AY262" i="3"/>
  <c r="BH6" i="3"/>
  <c r="AY145" i="3"/>
  <c r="AY333" i="3"/>
  <c r="AY430" i="3"/>
  <c r="AY571" i="3"/>
  <c r="AY101" i="3"/>
  <c r="AY287" i="3"/>
  <c r="AY269" i="3"/>
  <c r="AY555" i="3"/>
  <c r="AY117" i="3"/>
  <c r="AY57" i="3"/>
  <c r="AY308" i="3"/>
  <c r="AY559" i="3"/>
  <c r="AY98" i="3"/>
  <c r="AY229" i="3"/>
  <c r="AY105" i="3"/>
  <c r="AY291" i="3"/>
  <c r="AY72" i="3"/>
  <c r="AY483" i="3"/>
  <c r="AY543" i="3"/>
  <c r="AY266" i="3"/>
  <c r="AY487" i="3"/>
  <c r="AY579" i="3"/>
  <c r="AY531" i="3"/>
  <c r="AY167" i="3"/>
  <c r="AY331" i="3"/>
  <c r="AY512" i="3"/>
  <c r="AY159" i="3"/>
  <c r="AY323" i="3"/>
  <c r="AY361" i="3"/>
  <c r="AY522" i="3"/>
  <c r="AY265" i="3"/>
  <c r="AY71" i="3"/>
  <c r="AY443" i="3"/>
  <c r="AY321" i="3"/>
  <c r="AY537" i="3"/>
  <c r="AY216" i="3"/>
  <c r="AY22" i="3"/>
  <c r="AY413" i="3"/>
  <c r="AY149" i="3"/>
  <c r="AY546" i="3"/>
  <c r="AY244" i="3"/>
  <c r="AY302" i="3"/>
  <c r="AY508" i="3"/>
  <c r="AY100" i="3"/>
  <c r="AY29" i="3"/>
  <c r="AY471" i="3"/>
  <c r="AY346" i="3"/>
  <c r="AY128" i="3"/>
  <c r="AY515" i="3"/>
  <c r="AY400" i="3"/>
  <c r="AY530" i="3"/>
  <c r="AY195" i="3"/>
  <c r="Q66" i="77"/>
  <c r="Q57" i="77"/>
  <c r="C38" i="77"/>
  <c r="C66" i="77"/>
  <c r="AR6" i="1"/>
  <c r="S16" i="1"/>
  <c r="AQ6" i="1"/>
  <c r="T6" i="1"/>
  <c r="M19" i="6"/>
  <c r="K27" i="6"/>
  <c r="E39" i="43"/>
  <c r="G39" i="43"/>
  <c r="I39" i="43" s="1"/>
  <c r="E38" i="43"/>
  <c r="G38" i="43"/>
  <c r="I38" i="43" s="1"/>
  <c r="E37" i="43"/>
  <c r="G37" i="43"/>
  <c r="I37" i="43" s="1"/>
  <c r="G33" i="43"/>
  <c r="I33" i="43" s="1"/>
  <c r="E33" i="43"/>
  <c r="E35" i="43"/>
  <c r="G35" i="43"/>
  <c r="I35" i="43" s="1"/>
  <c r="G34" i="43"/>
  <c r="I34" i="43" s="1"/>
  <c r="E34" i="43"/>
  <c r="E36" i="43"/>
  <c r="G36" i="43"/>
  <c r="I36" i="43" s="1"/>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77"/>
  <c r="C14" i="15"/>
  <c r="AE7" i="1"/>
  <c r="F41" i="77" s="1"/>
  <c r="F69" i="77" l="1"/>
  <c r="C18" i="15"/>
  <c r="C19" i="15" s="1"/>
  <c r="C15" i="15"/>
  <c r="B29" i="1"/>
  <c r="C8" i="68" s="1"/>
  <c r="D29" i="43"/>
  <c r="D10" i="69"/>
  <c r="D10" i="11"/>
  <c r="C10" i="11" s="1"/>
  <c r="D20" i="12"/>
  <c r="C20" i="12" s="1"/>
  <c r="C18" i="12" s="1"/>
  <c r="D10" i="68"/>
  <c r="C35" i="69"/>
  <c r="C38" i="69"/>
  <c r="O14" i="1"/>
  <c r="O16" i="1" s="1"/>
  <c r="M16" i="1"/>
  <c r="J26" i="77"/>
  <c r="J29" i="77" s="1"/>
  <c r="J24" i="77"/>
  <c r="E6" i="71"/>
  <c r="E5" i="71" s="1"/>
  <c r="V7" i="71"/>
  <c r="C11" i="71"/>
  <c r="D12" i="71"/>
  <c r="E2" i="70"/>
  <c r="C27" i="43"/>
  <c r="AR7" i="1"/>
  <c r="AQ7" i="1"/>
  <c r="T7" i="1"/>
  <c r="T16" i="1" s="1"/>
  <c r="E7" i="70"/>
  <c r="C8" i="74"/>
  <c r="C7" i="74"/>
  <c r="B6" i="71"/>
  <c r="B5" i="71" s="1"/>
  <c r="S7" i="71"/>
  <c r="D29" i="6"/>
  <c r="D24" i="6"/>
  <c r="R24" i="6" s="1"/>
  <c r="M19" i="9"/>
  <c r="C118" i="9" s="1"/>
  <c r="C14" i="74" s="1"/>
  <c r="B2" i="74" s="1"/>
  <c r="H25" i="6"/>
  <c r="D20" i="6"/>
  <c r="D19" i="6"/>
  <c r="D27" i="6" s="1"/>
  <c r="H23" i="6"/>
  <c r="H26" i="6"/>
  <c r="D5" i="6"/>
  <c r="D26" i="6"/>
  <c r="R26" i="6" s="1"/>
  <c r="D12" i="6"/>
  <c r="C18" i="4"/>
  <c r="D11" i="6"/>
  <c r="D8" i="6"/>
  <c r="D13" i="6"/>
  <c r="D23" i="6"/>
  <c r="D28" i="6"/>
  <c r="D14" i="6"/>
  <c r="E61" i="40"/>
  <c r="D6" i="6"/>
  <c r="H24" i="6"/>
  <c r="D21" i="6"/>
  <c r="H20" i="6"/>
  <c r="D25" i="6"/>
  <c r="R25" i="6" s="1"/>
  <c r="H22" i="6"/>
  <c r="D9" i="6"/>
  <c r="D15" i="6"/>
  <c r="H21" i="6"/>
  <c r="D10" i="6"/>
  <c r="D22" i="6"/>
  <c r="L19" i="9"/>
  <c r="D17" i="12"/>
  <c r="C17" i="12" s="1"/>
  <c r="C14" i="12"/>
  <c r="C16" i="12" s="1"/>
  <c r="I19" i="6"/>
  <c r="M27" i="6"/>
  <c r="C19"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C61" i="67" s="1"/>
  <c r="Q49" i="67"/>
  <c r="J59" i="67"/>
  <c r="J60" i="67" s="1"/>
  <c r="C14" i="77"/>
  <c r="C18" i="77" l="1"/>
  <c r="C19" i="77" s="1"/>
  <c r="C15" i="77"/>
  <c r="C20" i="15"/>
  <c r="C26" i="15" s="1"/>
  <c r="C23" i="15"/>
  <c r="C29" i="15" s="1"/>
  <c r="D30" i="6"/>
  <c r="R20" i="6"/>
  <c r="R7" i="1" s="1"/>
  <c r="D31" i="6"/>
  <c r="R23" i="6"/>
  <c r="C34" i="11"/>
  <c r="N16" i="1"/>
  <c r="L16" i="1"/>
  <c r="C34" i="68"/>
  <c r="D7" i="74"/>
  <c r="D8" i="74"/>
  <c r="C10" i="68"/>
  <c r="D19" i="68"/>
  <c r="D37" i="68" s="1"/>
  <c r="C37" i="68" s="1"/>
  <c r="R22" i="6"/>
  <c r="D16" i="6"/>
  <c r="D1" i="43"/>
  <c r="E29" i="43"/>
  <c r="C26" i="43" s="1"/>
  <c r="B2" i="43" s="1"/>
  <c r="C6" i="68" s="1"/>
  <c r="C7" i="68" s="1"/>
  <c r="C5" i="68" s="1"/>
  <c r="D19" i="69"/>
  <c r="C10" i="69"/>
  <c r="C8" i="69" s="1"/>
  <c r="C5" i="69" s="1"/>
  <c r="C23" i="69" s="1"/>
  <c r="C21" i="12"/>
  <c r="C22" i="12" s="1"/>
  <c r="C27" i="12" s="1"/>
  <c r="C25" i="12" s="1"/>
  <c r="A7" i="51"/>
  <c r="B7" i="72" s="1"/>
  <c r="A10" i="51"/>
  <c r="B9" i="72" s="1"/>
  <c r="C4" i="52"/>
  <c r="B45" i="72" s="1"/>
  <c r="C10" i="71"/>
  <c r="T11" i="71"/>
  <c r="D11" i="71"/>
  <c r="U11" i="71" s="1"/>
  <c r="R21" i="6"/>
  <c r="I27" i="6"/>
  <c r="S19" i="6"/>
  <c r="S27" i="6" s="1"/>
  <c r="H19" i="6"/>
  <c r="C24" i="68"/>
  <c r="K70" i="39"/>
  <c r="L68" i="39"/>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E6" i="76"/>
  <c r="L51" i="67"/>
  <c r="B6" i="76"/>
  <c r="C30" i="12" l="1"/>
  <c r="C28" i="12" s="1"/>
  <c r="C32" i="12" s="1"/>
  <c r="B2" i="12" s="1"/>
  <c r="B3" i="12" s="1"/>
  <c r="E2" i="76"/>
  <c r="C20" i="77"/>
  <c r="C26" i="77" s="1"/>
  <c r="C23" i="68"/>
  <c r="C22" i="68" s="1"/>
  <c r="C20" i="68"/>
  <c r="C25" i="68" s="1"/>
  <c r="D10" i="71"/>
  <c r="C9" i="71"/>
  <c r="C38" i="68"/>
  <c r="C35" i="68"/>
  <c r="C33" i="68" s="1"/>
  <c r="C19" i="69"/>
  <c r="D37" i="69"/>
  <c r="C37" i="69" s="1"/>
  <c r="C33" i="69" s="1"/>
  <c r="F50" i="69"/>
  <c r="F50" i="68"/>
  <c r="F50" i="11"/>
  <c r="J14" i="15"/>
  <c r="C57" i="15"/>
  <c r="C36" i="15"/>
  <c r="C13" i="15"/>
  <c r="Q49" i="15"/>
  <c r="J19" i="15"/>
  <c r="C38" i="11"/>
  <c r="C35" i="11"/>
  <c r="C33" i="11"/>
  <c r="I6" i="6"/>
  <c r="I5" i="6"/>
  <c r="B2" i="76"/>
  <c r="B3" i="76" s="1"/>
  <c r="B3" i="43"/>
  <c r="H27" i="6"/>
  <c r="R19" i="6"/>
  <c r="C28" i="68"/>
  <c r="C27" i="68"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77" l="1"/>
  <c r="C29" i="77" s="1"/>
  <c r="C24" i="69"/>
  <c r="C20" i="69"/>
  <c r="C42" i="68"/>
  <c r="C39" i="68"/>
  <c r="C39" i="11"/>
  <c r="C42" i="11"/>
  <c r="D9" i="71"/>
  <c r="C8" i="71"/>
  <c r="Q70" i="15"/>
  <c r="C56" i="15"/>
  <c r="C65" i="15" s="1"/>
  <c r="C37" i="15"/>
  <c r="C75" i="15"/>
  <c r="C39" i="69"/>
  <c r="C43" i="69" s="1"/>
  <c r="C42" i="69"/>
  <c r="C61" i="15"/>
  <c r="C64" i="15"/>
  <c r="J13" i="15"/>
  <c r="J23" i="15" s="1"/>
  <c r="J22" i="15"/>
  <c r="C31" i="68"/>
  <c r="R27" i="6"/>
  <c r="R6" i="1"/>
  <c r="M70" i="39"/>
  <c r="N68"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M21" i="77"/>
  <c r="F35" i="77"/>
  <c r="M21" i="15"/>
  <c r="F35" i="15"/>
  <c r="J14" i="77" l="1"/>
  <c r="J19" i="77"/>
  <c r="Q49" i="77"/>
  <c r="C36" i="77"/>
  <c r="C57" i="77"/>
  <c r="C13" i="77"/>
  <c r="Q70" i="77" s="1"/>
  <c r="C41" i="69"/>
  <c r="C49" i="69" s="1"/>
  <c r="C51" i="69" s="1"/>
  <c r="C46" i="69"/>
  <c r="C45" i="69" s="1"/>
  <c r="C52" i="69"/>
  <c r="B2" i="69" s="1"/>
  <c r="B3" i="69" s="1"/>
  <c r="J22" i="77"/>
  <c r="J13" i="77"/>
  <c r="J23" i="77" s="1"/>
  <c r="C75" i="77"/>
  <c r="C61" i="77"/>
  <c r="C64" i="77"/>
  <c r="C7" i="71"/>
  <c r="D8" i="71"/>
  <c r="C46" i="11"/>
  <c r="C45" i="11" s="1"/>
  <c r="C43" i="11"/>
  <c r="C41" i="11" s="1"/>
  <c r="C43" i="68"/>
  <c r="C41" i="68" s="1"/>
  <c r="C49" i="68" s="1"/>
  <c r="C51" i="68" s="1"/>
  <c r="C52" i="68" s="1"/>
  <c r="B2" i="68" s="1"/>
  <c r="C46" i="68"/>
  <c r="C45" i="68" s="1"/>
  <c r="C28" i="69"/>
  <c r="C27" i="69" s="1"/>
  <c r="C25" i="69"/>
  <c r="C22" i="69" s="1"/>
  <c r="C31" i="69" s="1"/>
  <c r="F63" i="77"/>
  <c r="C62" i="77" s="1"/>
  <c r="C34" i="77"/>
  <c r="C31" i="77" s="1"/>
  <c r="J20" i="77"/>
  <c r="J17" i="77" s="1"/>
  <c r="J16" i="77" s="1"/>
  <c r="J25" i="77" s="1"/>
  <c r="F63" i="15"/>
  <c r="C62" i="15" s="1"/>
  <c r="C59" i="15" s="1"/>
  <c r="C58" i="15" s="1"/>
  <c r="C67" i="15" s="1"/>
  <c r="C68" i="15" s="1"/>
  <c r="C34" i="15"/>
  <c r="C31" i="15" s="1"/>
  <c r="C30" i="15" s="1"/>
  <c r="C39" i="15" s="1"/>
  <c r="J20" i="15"/>
  <c r="J17" i="15" s="1"/>
  <c r="J16" i="15" s="1"/>
  <c r="J25"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19" i="9"/>
  <c r="L51" i="15"/>
  <c r="C37" i="77" l="1"/>
  <c r="C30" i="77" s="1"/>
  <c r="C39" i="77" s="1"/>
  <c r="C56" i="77"/>
  <c r="C65" i="77" s="1"/>
  <c r="C49" i="11"/>
  <c r="C51" i="11" s="1"/>
  <c r="C6" i="71"/>
  <c r="T7" i="71"/>
  <c r="D7" i="71"/>
  <c r="U7" i="71" s="1"/>
  <c r="C59" i="77"/>
  <c r="C58" i="77" s="1"/>
  <c r="C67" i="77" s="1"/>
  <c r="C68" i="77" s="1"/>
  <c r="C71" i="77" s="1"/>
  <c r="C57" i="69"/>
  <c r="C56" i="69" s="1"/>
  <c r="C57" i="68"/>
  <c r="C56" i="68" s="1"/>
  <c r="C102" i="9"/>
  <c r="C21" i="9"/>
  <c r="B3" i="68"/>
  <c r="Q67" i="15"/>
  <c r="C80" i="15"/>
  <c r="C79" i="15" s="1"/>
  <c r="Q69" i="15"/>
  <c r="Q68" i="15" s="1"/>
  <c r="C40" i="15"/>
  <c r="C71" i="15"/>
  <c r="H7" i="39"/>
  <c r="J7" i="39"/>
  <c r="AA7" i="39"/>
  <c r="R47" i="39" s="1"/>
  <c r="S7" i="39"/>
  <c r="R39" i="35"/>
  <c r="E38" i="35"/>
  <c r="M63" i="40"/>
  <c r="L65" i="40"/>
  <c r="D35" i="9"/>
  <c r="D34" i="9"/>
  <c r="C20" i="9"/>
  <c r="L51" i="77"/>
  <c r="C80" i="77" l="1"/>
  <c r="C79" i="77" s="1"/>
  <c r="Q69" i="77"/>
  <c r="Q68" i="77" s="1"/>
  <c r="C40" i="77"/>
  <c r="Q56" i="77" s="1"/>
  <c r="Q62" i="77" s="1"/>
  <c r="C52" i="11"/>
  <c r="B2" i="11" s="1"/>
  <c r="B3" i="11" s="1"/>
  <c r="D6" i="71"/>
  <c r="C5" i="71"/>
  <c r="C103" i="9"/>
  <c r="Q67" i="77"/>
  <c r="Q47" i="77"/>
  <c r="Q53" i="77" s="1"/>
  <c r="B2" i="77"/>
  <c r="Q65" i="77"/>
  <c r="Q75" i="77" s="1"/>
  <c r="Q56" i="15"/>
  <c r="Q62" i="15" s="1"/>
  <c r="C43" i="15"/>
  <c r="C83" i="15"/>
  <c r="C82" i="15" s="1"/>
  <c r="B2" i="15"/>
  <c r="Q65" i="15"/>
  <c r="Q75" i="15" s="1"/>
  <c r="Q47" i="15"/>
  <c r="Q53" i="15" s="1"/>
  <c r="C46" i="15"/>
  <c r="E47" i="39"/>
  <c r="R48" i="39"/>
  <c r="W7" i="39"/>
  <c r="AC7" i="39"/>
  <c r="V47" i="39" s="1"/>
  <c r="I47" i="39" s="1"/>
  <c r="U7" i="39"/>
  <c r="AB7" i="39"/>
  <c r="T47" i="39" s="1"/>
  <c r="G47" i="39" s="1"/>
  <c r="C39" i="35"/>
  <c r="B2" i="35" s="1"/>
  <c r="B3" i="35" s="1"/>
  <c r="C38" i="35"/>
  <c r="N63" i="40"/>
  <c r="M65" i="40"/>
  <c r="E43" i="35"/>
  <c r="F43" i="35" s="1"/>
  <c r="E42" i="35"/>
  <c r="F42" i="35" s="1"/>
  <c r="I43" i="35"/>
  <c r="J43" i="35" s="1"/>
  <c r="AO7" i="1"/>
  <c r="AO6" i="1"/>
  <c r="C46" i="77" l="1"/>
  <c r="C83" i="77"/>
  <c r="C82" i="77" s="1"/>
  <c r="C43" i="77"/>
  <c r="D5" i="71"/>
  <c r="M20" i="43"/>
  <c r="C56" i="11"/>
  <c r="C57" i="11" s="1"/>
  <c r="B7" i="70"/>
  <c r="B3" i="77"/>
  <c r="B6" i="70"/>
  <c r="B3" i="15"/>
  <c r="E52" i="39"/>
  <c r="F52" i="39" s="1"/>
  <c r="E51" i="39"/>
  <c r="F51" i="39" s="1"/>
  <c r="G51" i="39"/>
  <c r="H51" i="39" s="1"/>
  <c r="G52" i="39"/>
  <c r="H52" i="39" s="1"/>
  <c r="I51" i="39"/>
  <c r="J51" i="39" s="1"/>
  <c r="I52" i="39"/>
  <c r="J52" i="39" s="1"/>
  <c r="C48" i="39"/>
  <c r="C47" i="39"/>
  <c r="O63" i="40"/>
  <c r="O65" i="40" s="1"/>
  <c r="N65" i="40"/>
  <c r="B2" i="70"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19" i="9"/>
  <c r="D102" i="9" l="1"/>
  <c r="D21" i="9"/>
  <c r="D22" i="9"/>
  <c r="G19" i="9"/>
  <c r="G21" i="9" s="1"/>
  <c r="B3" i="70"/>
  <c r="U7" i="40"/>
  <c r="AB7" i="40"/>
  <c r="T42" i="40" s="1"/>
  <c r="G42" i="40" s="1"/>
  <c r="AA7" i="40"/>
  <c r="R42" i="40" s="1"/>
  <c r="S7" i="40"/>
  <c r="AC7" i="40"/>
  <c r="V42" i="40" s="1"/>
  <c r="I42" i="40" s="1"/>
  <c r="W7" i="40"/>
  <c r="D20" i="9"/>
  <c r="G20" i="9" l="1"/>
  <c r="C32" i="9" s="1"/>
  <c r="C35" i="9" s="1"/>
  <c r="C34" i="9" s="1"/>
  <c r="D103" i="9"/>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C104" i="9" s="1"/>
  <c r="F119" i="9" l="1"/>
  <c r="F5" i="52" s="1"/>
  <c r="B53" i="72" s="1"/>
  <c r="D4" i="52"/>
  <c r="B47" i="72" s="1"/>
  <c r="D14" i="74"/>
  <c r="H4" i="52"/>
  <c r="H101" i="9"/>
  <c r="I118" i="9"/>
  <c r="G118" i="9"/>
  <c r="G4" i="52" s="1"/>
  <c r="B52" i="72" s="1"/>
  <c r="H119" i="9"/>
  <c r="H5" i="52" s="1"/>
  <c r="C105" i="9" l="1"/>
  <c r="I4" i="52"/>
  <c r="H102" i="9"/>
  <c r="D7" i="53" s="1"/>
  <c r="B21" i="72" s="1"/>
  <c r="E118" i="9"/>
  <c r="E4" i="52" s="1"/>
  <c r="B48" i="72" s="1"/>
  <c r="D5" i="53"/>
  <c r="H107" i="9"/>
  <c r="M48" i="9"/>
  <c r="D45" i="9"/>
  <c r="F14" i="74"/>
  <c r="B5" i="74"/>
  <c r="E14" i="74"/>
  <c r="D5" i="74" l="1"/>
  <c r="C5" i="74"/>
  <c r="D13" i="53"/>
  <c r="D122" i="9"/>
  <c r="H108" i="9"/>
  <c r="D15" i="53" s="1"/>
  <c r="B31" i="72" s="1"/>
  <c r="M49" i="9"/>
  <c r="D52" i="9"/>
  <c r="C93" i="9"/>
  <c r="C86" i="9" s="1"/>
  <c r="C78" i="9"/>
  <c r="C73" i="9" s="1"/>
  <c r="C72" i="9"/>
  <c r="C79" i="9" s="1"/>
  <c r="D55" i="9"/>
  <c r="M53" i="9" s="1"/>
  <c r="C64" i="9"/>
  <c r="C63" i="9" s="1"/>
  <c r="C67" i="9" s="1"/>
  <c r="C85" i="9"/>
  <c r="D53" i="9"/>
  <c r="B20" i="72"/>
  <c r="D6" i="53"/>
  <c r="B22" i="72" s="1"/>
  <c r="C95" i="9" l="1"/>
  <c r="D59" i="9"/>
  <c r="M55" i="9" s="1"/>
  <c r="C68" i="9"/>
  <c r="D54" i="9" s="1"/>
  <c r="C80" i="9"/>
  <c r="E80" i="9" s="1"/>
  <c r="E81" i="9" s="1"/>
  <c r="L64" i="9"/>
  <c r="M64" i="9" s="1"/>
  <c r="L65" i="9"/>
  <c r="M65" i="9" s="1"/>
  <c r="L67" i="9"/>
  <c r="M67" i="9" s="1"/>
  <c r="L63" i="9"/>
  <c r="M63" i="9" s="1"/>
  <c r="L66" i="9"/>
  <c r="M66" i="9" s="1"/>
  <c r="L68" i="9"/>
  <c r="M68" i="9" s="1"/>
  <c r="D8" i="52"/>
  <c r="D123" i="9"/>
  <c r="D9" i="52" s="1"/>
  <c r="G14" i="74"/>
  <c r="B6" i="74" s="1"/>
  <c r="C96" i="9"/>
  <c r="E96" i="9" s="1"/>
  <c r="E97" i="9" s="1"/>
  <c r="B30" i="72"/>
  <c r="D14" i="53"/>
  <c r="B32" i="72" s="1"/>
  <c r="C81" i="9" l="1"/>
  <c r="C97" i="9"/>
  <c r="D58" i="9" s="1"/>
  <c r="D56" i="9" s="1"/>
  <c r="M54" i="9" s="1"/>
  <c r="N57" i="9" s="1"/>
  <c r="D6" i="74"/>
  <c r="C6" i="74"/>
  <c r="M69" i="9"/>
  <c r="N69"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<sst xmlns="http://schemas.openxmlformats.org/spreadsheetml/2006/main" count="7749" uniqueCount="3112">
  <si>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</si>
  <si>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</si>
  <si>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</si>
  <si>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</si>
  <si>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</si>
  <si>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</si>
  <si>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</si>
  <si>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</si>
  <si>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</si>
  <si>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</si>
  <si>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</si>
  <si>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</si>
  <si>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</si>
  <si>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</si>
  <si>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</si>
  <si>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</si>
  <si>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</si>
  <si>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</si>
  <si>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</si>
  <si>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</si>
  <si>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</si>
  <si>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</si>
  <si>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</si>
  <si>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</si>
  <si>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</si>
  <si>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</si>
  <si>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</si>
  <si>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</si>
  <si>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</si>
  <si>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</si>
  <si>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</si>
  <si>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</si>
  <si>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</si>
  <si>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</si>
  <si>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</si>
  <si>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</si>
  <si>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</si>
  <si>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</si>
  <si>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</si>
  <si>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</si>
  <si>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</si>
  <si>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</si>
  <si>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</si>
  <si>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</si>
  <si>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</si>
  <si>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</si>
  <si>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</si>
  <si>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</si>
  <si>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</si>
  <si>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</si>
  <si>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</si>
  <si>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</si>
  <si>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</si>
  <si>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</si>
  <si>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</si>
  <si>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</si>
  <si>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</si>
  <si>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</si>
  <si>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</si>
  <si>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</si>
  <si>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</si>
  <si>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</si>
  <si>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</si>
  <si>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</si>
  <si>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</si>
  <si>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</si>
  <si>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</si>
  <si>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</si>
  <si>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</si>
  <si>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</si>
  <si>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</si>
  <si>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</si>
  <si>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</si>
  <si>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</si>
  <si>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</si>
  <si>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</si>
  <si>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</si>
  <si>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</si>
  <si>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</si>
  <si>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</si>
  <si>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</si>
  <si>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</si>
  <si>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</si>
  <si>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</si>
  <si>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</si>
  <si>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</si>
  <si>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</si>
  <si>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</si>
  <si>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</si>
  <si>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</si>
  <si>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</si>
  <si>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</si>
  <si>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</si>
  <si>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</si>
  <si>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</si>
  <si>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</si>
  <si>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</si>
  <si>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</si>
  <si>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</si>
  <si>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</si>
  <si>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</si>
  <si>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</si>
  <si>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</si>
  <si>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</si>
  <si>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</si>
  <si>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</si>
  <si>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</si>
  <si>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</si>
  <si>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</si>
  <si>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</si>
  <si>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</si>
  <si>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</si>
  <si>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</si>
  <si>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</si>
  <si>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</si>
  <si>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</si>
  <si>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</si>
  <si>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</si>
  <si>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</si>
  <si>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</si>
  <si>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</si>
  <si>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</si>
  <si>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</si>
  <si>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</si>
  <si>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</si>
  <si>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</si>
  <si>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</si>
  <si>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</si>
  <si>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</si>
  <si>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</si>
  <si>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</si>
  <si>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</si>
  <si>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</si>
  <si>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</si>
  <si>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</si>
  <si>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</si>
  <si>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</si>
  <si>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</si>
  <si>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</si>
  <si>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</si>
  <si>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</si>
  <si>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</si>
  <si>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</si>
  <si>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</si>
  <si>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</si>
  <si>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</si>
  <si>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</si>
  <si>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</si>
  <si>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</si>
  <si>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</si>
  <si>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</si>
  <si>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</si>
  <si>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</si>
  <si>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</si>
  <si>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</si>
  <si>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</si>
  <si>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</si>
  <si>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</si>
  <si>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</si>
  <si>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</si>
  <si>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</si>
  <si>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</si>
  <si>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</si>
  <si>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</si>
  <si>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</si>
  <si>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</si>
  <si>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</si>
  <si>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</si>
  <si>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</si>
  <si>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</si>
  <si>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</si>
  <si>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</si>
  <si>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</si>
  <si>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</si>
  <si>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</si>
  <si>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</si>
  <si>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</si>
  <si>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</si>
  <si>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</si>
  <si>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</si>
  <si>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</si>
  <si>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</si>
  <si>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</si>
  <si>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</si>
  <si>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</si>
  <si>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</si>
  <si>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</si>
  <si>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</si>
  <si>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</si>
  <si>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</si>
  <si>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</si>
  <si>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</si>
  <si>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</si>
  <si>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</si>
  <si>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</si>
  <si>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</si>
  <si>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</si>
  <si>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</si>
  <si>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</si>
  <si>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</si>
  <si>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</si>
  <si>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</si>
  <si>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</si>
  <si>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</si>
  <si>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</si>
  <si>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</si>
  <si>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</si>
  <si>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</si>
  <si>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</si>
  <si>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</si>
  <si>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</si>
  <si>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</si>
  <si>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</si>
  <si>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</si>
  <si>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</si>
  <si>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</si>
  <si>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</si>
  <si>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</si>
  <si>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</si>
  <si>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</si>
  <si>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</si>
  <si>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</si>
  <si>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</si>
  <si>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</si>
  <si>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</si>
  <si>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</si>
  <si>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</si>
  <si>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</si>
  <si>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</si>
  <si>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</si>
  <si>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</si>
  <si>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</si>
  <si>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</si>
  <si>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</si>
  <si>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</si>
  <si>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</si>
  <si>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</si>
  <si>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</si>
  <si>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</si>
  <si>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</si>
  <si>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</si>
  <si>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</si>
  <si>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</si>
  <si>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</si>
  <si>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</si>
  <si>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</si>
  <si>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</si>
  <si>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</si>
  <si>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</si>
  <si>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</si>
  <si>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</si>
  <si>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</si>
  <si>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</si>
  <si>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</si>
  <si>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</si>
  <si>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</si>
  <si>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</si>
  <si>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</si>
  <si>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</si>
  <si>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</si>
  <si>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</si>
  <si>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</si>
  <si>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</si>
  <si>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</si>
  <si>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</si>
  <si>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</si>
  <si>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</si>
  <si>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</si>
  <si>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</si>
  <si>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</si>
  <si>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</si>
  <si>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</si>
  <si>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</si>
  <si>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</si>
  <si>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</si>
  <si>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</si>
  <si>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</si>
  <si>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</si>
  <si>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</si>
  <si>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</si>
  <si>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</si>
  <si>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</si>
  <si>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</si>
  <si>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</si>
  <si>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</si>
  <si>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</si>
  <si>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</si>
  <si>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</si>
  <si>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</si>
  <si>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</si>
  <si>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</si>
  <si>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</si>
  <si>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</si>
  <si>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</si>
  <si>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</si>
  <si>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</si>
  <si>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</si>
  <si>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</si>
  <si>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</si>
  <si>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</si>
  <si>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</si>
  <si>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</si>
  <si>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</si>
  <si>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</si>
  <si>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</si>
  <si>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</si>
  <si>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</si>
  <si>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</si>
  <si>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</si>
  <si>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</si>
  <si>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</si>
  <si>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</si>
  <si>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</si>
  <si>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</si>
  <si>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</si>
  <si>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</si>
  <si>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</si>
  <si>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</si>
  <si>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</si>
  <si>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</si>
  <si>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</si>
  <si>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</si>
  <si>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</si>
  <si>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</si>
  <si>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</si>
  <si>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</si>
  <si>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</si>
  <si>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</si>
  <si>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</si>
  <si>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</si>
  <si>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</si>
  <si>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</si>
  <si>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</si>
  <si>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</si>
  <si>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</si>
  <si>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</si>
  <si>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</si>
  <si>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</si>
  <si>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</si>
  <si>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</si>
  <si>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</si>
  <si>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</si>
  <si>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</si>
  <si>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</si>
  <si>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</si>
  <si>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</si>
  <si>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</si>
  <si>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</si>
  <si>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</si>
  <si>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</si>
  <si>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</si>
  <si>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</si>
  <si>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</si>
  <si>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</si>
  <si>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</si>
  <si>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</si>
  <si>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</si>
  <si>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</si>
  <si>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</si>
  <si>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</si>
  <si>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</si>
  <si>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</si>
  <si>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</si>
  <si>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</si>
  <si>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</si>
  <si>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</si>
  <si>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</si>
  <si>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</si>
  <si>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</si>
  <si>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</si>
  <si>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</si>
  <si>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</si>
  <si>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</si>
  <si>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</si>
  <si>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</si>
  <si>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</si>
  <si>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</si>
  <si>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</si>
  <si>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</si>
  <si>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</si>
  <si>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</si>
  <si>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</si>
  <si>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</si>
  <si>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</si>
  <si>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</si>
  <si>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</si>
  <si>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</si>
  <si>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</si>
  <si>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</si>
  <si>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</si>
  <si>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</si>
  <si>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</si>
  <si>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</si>
  <si>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</si>
  <si>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</si>
  <si>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</si>
  <si>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</si>
  <si>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</si>
  <si>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</si>
  <si>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</si>
  <si>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</si>
  <si>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</si>
  <si>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</si>
  <si>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</si>
  <si>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</si>
  <si>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</si>
  <si>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</si>
  <si>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</si>
  <si>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</si>
  <si>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</si>
  <si>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</si>
  <si>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</si>
  <si>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</si>
  <si>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</si>
  <si>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</si>
  <si>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</si>
  <si>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</si>
  <si>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</si>
  <si>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</si>
  <si>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</si>
  <si>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</si>
  <si>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</si>
  <si>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</si>
  <si>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</si>
  <si>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</si>
  <si>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</si>
  <si>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</si>
  <si>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</si>
  <si>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</si>
  <si>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</si>
  <si>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</si>
  <si>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</si>
  <si>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</si>
  <si>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</si>
  <si>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</si>
  <si>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</si>
  <si>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</si>
  <si>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</si>
  <si>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</si>
  <si>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</si>
  <si>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</si>
  <si>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</si>
  <si>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</si>
  <si>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</si>
  <si>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</si>
  <si>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</si>
  <si>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</si>
  <si>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</si>
  <si>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</si>
  <si>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</si>
  <si>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</si>
  <si>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</si>
  <si>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</si>
  <si>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</si>
  <si>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</si>
  <si>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</si>
  <si>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</si>
  <si>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</si>
  <si>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</si>
  <si>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</si>
  <si>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</si>
  <si>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</si>
  <si>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</si>
  <si>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</si>
  <si>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</si>
  <si>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</si>
  <si>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</si>
  <si>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</si>
  <si>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</si>
  <si>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</si>
  <si>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</si>
  <si>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</si>
  <si>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</si>
  <si>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</si>
  <si>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</si>
  <si>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</si>
  <si>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</si>
  <si>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</si>
  <si>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</si>
  <si>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</si>
  <si>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</si>
  <si>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</si>
  <si>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</si>
  <si>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</si>
  <si>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</si>
  <si>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</si>
  <si>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</si>
  <si>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</si>
  <si>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</si>
  <si>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</si>
  <si>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</si>
  <si>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</si>
  <si>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</si>
  <si>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</si>
  <si>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</si>
  <si>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</si>
  <si>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</si>
  <si>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</si>
  <si>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</si>
  <si>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</si>
  <si>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</si>
  <si>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</si>
  <si>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</si>
  <si>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</si>
  <si>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</si>
  <si>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</si>
  <si>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</si>
  <si>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</si>
  <si>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</si>
  <si>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</si>
  <si>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</si>
  <si>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</si>
  <si>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</si>
  <si>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</si>
  <si>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</si>
  <si>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</si>
  <si>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</si>
  <si>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</si>
  <si>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</si>
  <si>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</si>
  <si>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</si>
  <si>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</si>
  <si>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</si>
  <si>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</si>
  <si>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</si>
  <si>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</si>
  <si>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</si>
  <si>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</si>
  <si>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</si>
  <si>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</si>
  <si>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</si>
  <si>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</si>
  <si>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</si>
  <si>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</si>
  <si>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</si>
  <si>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</si>
  <si>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</si>
  <si>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</si>
  <si>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</si>
  <si>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</si>
  <si>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</si>
  <si>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</si>
  <si>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</si>
  <si>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</si>
  <si>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</si>
  <si>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</si>
  <si>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</si>
  <si>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</si>
  <si>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</si>
  <si>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</si>
  <si>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</si>
  <si>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</si>
  <si>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</si>
  <si>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</si>
  <si>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</si>
  <si>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</si>
  <si>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</si>
  <si>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</si>
  <si>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</si>
  <si>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</si>
  <si>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</si>
  <si>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</si>
  <si>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</si>
  <si>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</si>
  <si>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</si>
  <si>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</si>
  <si>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</si>
  <si>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</si>
  <si>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</si>
  <si>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</si>
  <si>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</si>
  <si>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</si>
  <si>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</si>
  <si>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</si>
  <si>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</si>
  <si>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</si>
  <si>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</si>
  <si>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</si>
  <si>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</si>
  <si>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</si>
  <si>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</si>
  <si>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</si>
  <si>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</si>
  <si>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</si>
  <si>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</si>
  <si>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</si>
  <si>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</si>
  <si>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</si>
  <si>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</si>
  <si>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</si>
  <si>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</si>
  <si>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</si>
  <si>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</si>
  <si>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</si>
  <si>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</si>
  <si>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</si>
  <si>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</si>
  <si>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</si>
  <si>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</si>
  <si>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</si>
  <si>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</si>
  <si>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</si>
  <si>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</si>
  <si>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</si>
  <si>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</si>
  <si>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</si>
  <si>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</si>
  <si>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</si>
  <si>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</si>
  <si>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</si>
  <si>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</si>
  <si>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</si>
  <si>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</si>
  <si>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</si>
  <si>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</si>
  <si>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</si>
  <si>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</si>
  <si>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</si>
  <si>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</si>
  <si>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</si>
  <si>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</si>
  <si>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</si>
  <si>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</si>
  <si>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</si>
  <si>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</si>
  <si>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</si>
  <si>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</si>
  <si>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</si>
  <si>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</si>
  <si>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</si>
  <si>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</si>
  <si>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</si>
  <si>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</si>
  <si>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</si>
  <si>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</si>
  <si>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</si>
  <si>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</si>
  <si>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</si>
  <si>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</si>
  <si>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</si>
  <si>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</si>
  <si>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</si>
  <si>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</si>
  <si>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</si>
  <si>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</si>
  <si>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</si>
  <si>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</si>
  <si>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</si>
  <si>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</si>
  <si>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</si>
  <si>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</si>
  <si>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</si>
  <si>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</si>
  <si>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</si>
  <si>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</si>
  <si>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</si>
  <si>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</si>
  <si>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</si>
  <si>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</si>
  <si>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</si>
  <si>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</si>
  <si>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</si>
  <si>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</si>
  <si>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</si>
  <si>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</si>
  <si>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</si>
  <si>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</si>
  <si>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</si>
  <si>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</si>
  <si>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</si>
  <si>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</si>
  <si>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</si>
  <si>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</si>
  <si>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</si>
  <si>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</si>
  <si>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</si>
  <si>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</si>
  <si>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</si>
  <si>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</si>
  <si>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</si>
  <si>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</si>
  <si>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</si>
  <si>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</si>
  <si>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</si>
  <si>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</si>
  <si>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</si>
  <si>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</si>
  <si>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</si>
  <si>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</si>
  <si>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</si>
  <si>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</si>
  <si>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</si>
  <si>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</si>
  <si>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</si>
  <si>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</si>
  <si>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</si>
  <si>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</si>
  <si>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</si>
  <si>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</si>
  <si>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</si>
  <si>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</si>
  <si>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</si>
  <si>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</si>
  <si>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</si>
  <si>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</si>
  <si>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</si>
  <si>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</si>
  <si>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</si>
  <si>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</si>
  <si>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</si>
  <si>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</si>
  <si>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</si>
  <si>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</si>
  <si>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</si>
  <si>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</si>
  <si>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</si>
  <si>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</si>
  <si>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</si>
  <si>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</si>
  <si>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</si>
  <si>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</si>
  <si>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</si>
  <si>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</si>
  <si>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</si>
  <si>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</si>
  <si>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</si>
  <si>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</si>
  <si>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</si>
  <si>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</si>
  <si>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</si>
  <si>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</si>
  <si>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</si>
  <si>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</si>
  <si>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</si>
  <si>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</si>
  <si>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</si>
  <si>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</si>
  <si>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</si>
  <si>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</si>
  <si>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</si>
  <si>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</si>
  <si>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</si>
  <si>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</si>
  <si>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</si>
  <si>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</si>
  <si>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</si>
  <si>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</si>
  <si>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</si>
  <si>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</si>
  <si>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</si>
  <si>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</si>
  <si>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</si>
  <si>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</si>
  <si>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</si>
  <si>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</si>
  <si>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</si>
  <si>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</si>
  <si>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</si>
  <si>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</si>
  <si>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</si>
  <si>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</si>
  <si>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</si>
  <si>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</si>
  <si>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</si>
  <si>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</si>
  <si>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</si>
  <si>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</si>
  <si>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</si>
  <si>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</si>
  <si>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</si>
  <si>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</si>
  <si>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</si>
  <si>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</si>
  <si>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</si>
  <si>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</si>
  <si>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</si>
  <si>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</si>
  <si>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</si>
  <si>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</si>
  <si>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</si>
  <si>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</si>
  <si>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</si>
  <si>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</si>
  <si>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</si>
  <si>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</si>
  <si>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</si>
  <si>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</si>
  <si>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</si>
  <si>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</si>
  <si>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</si>
  <si>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</si>
  <si>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</si>
  <si>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</si>
  <si>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</si>
  <si>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</si>
  <si>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</si>
  <si>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</si>
  <si>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</si>
  <si>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</si>
  <si>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</si>
  <si>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</si>
  <si>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</si>
  <si>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</si>
  <si>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</si>
  <si>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</si>
  <si>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</si>
  <si>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</si>
  <si>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</si>
  <si>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</si>
  <si>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</si>
  <si>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</si>
  <si>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</si>
  <si>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</si>
  <si>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</si>
  <si>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</si>
  <si>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</si>
  <si>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</si>
  <si>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</si>
  <si>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</si>
  <si>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</si>
  <si>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</si>
  <si>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</si>
  <si>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</si>
  <si>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</si>
  <si>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</si>
  <si>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</si>
  <si>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</si>
  <si>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</si>
  <si>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</si>
  <si>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</si>
  <si>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</si>
  <si>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</si>
  <si>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</si>
  <si>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</si>
  <si>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</si>
  <si>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</si>
  <si>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</si>
  <si>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</si>
  <si>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</si>
  <si>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</si>
  <si>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</si>
  <si>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</si>
  <si>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</si>
  <si>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</si>
  <si>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</si>
  <si>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</si>
  <si>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</si>
  <si>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</si>
  <si>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</si>
  <si>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</si>
  <si>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</si>
  <si>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</si>
  <si>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</si>
  <si>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</si>
  <si>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</si>
  <si>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</si>
  <si>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</si>
  <si>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</si>
  <si>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</si>
  <si>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</si>
  <si>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</si>
  <si>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</si>
  <si>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</si>
  <si>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</si>
  <si>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</si>
  <si>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</si>
  <si>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</si>
  <si>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</si>
  <si>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</si>
  <si>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</si>
  <si>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</si>
  <si>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</si>
  <si>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</si>
  <si>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</si>
  <si>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</si>
  <si>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</si>
  <si>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</si>
  <si>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</si>
  <si>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</si>
  <si>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</si>
  <si>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</si>
  <si>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</si>
  <si>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</si>
  <si>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</si>
  <si>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</si>
  <si>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</si>
  <si>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</si>
  <si>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</si>
  <si>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</si>
  <si>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</si>
  <si>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</si>
  <si>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</si>
  <si>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</si>
  <si>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</si>
  <si>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</si>
  <si>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</si>
  <si>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</si>
  <si>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</si>
  <si>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</si>
  <si>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</si>
  <si>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</si>
  <si>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</si>
  <si>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</si>
  <si>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</si>
  <si>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</si>
  <si>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</si>
  <si>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</si>
  <si>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</si>
  <si>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</si>
  <si>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</si>
  <si>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</si>
  <si>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</si>
  <si>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</si>
  <si>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</si>
  <si>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</si>
  <si>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</si>
  <si>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</si>
  <si>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</si>
  <si>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</si>
  <si>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</si>
  <si>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</si>
  <si>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</si>
  <si>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</si>
  <si>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</si>
  <si>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</si>
  <si>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</si>
  <si>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</si>
  <si>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</si>
  <si>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</si>
  <si>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</si>
  <si>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</si>
  <si>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</si>
  <si>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</si>
  <si>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</si>
  <si>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</si>
  <si>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</si>
  <si>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</si>
  <si>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</si>
  <si>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</si>
  <si>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</si>
  <si>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</si>
  <si>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</si>
  <si>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</si>
  <si>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</si>
  <si>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</si>
  <si>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</si>
  <si>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</si>
  <si>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</si>
  <si>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</si>
  <si>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</si>
  <si>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</si>
  <si>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</si>
  <si>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</si>
  <si>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</si>
  <si>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</si>
  <si>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</si>
  <si>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</si>
  <si>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</si>
  <si>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</si>
  <si>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</si>
  <si>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</si>
  <si>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</si>
  <si>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</si>
  <si>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</si>
  <si>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</si>
  <si>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</si>
  <si>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</si>
  <si>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</si>
  <si>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</si>
  <si>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</si>
  <si>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</si>
  <si>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</si>
  <si>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</si>
  <si>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</si>
  <si>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</si>
  <si>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</si>
  <si>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</si>
  <si>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</si>
  <si>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</si>
  <si>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</si>
  <si>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</si>
  <si>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</si>
  <si>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</si>
  <si>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</si>
  <si>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</si>
  <si>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</si>
  <si>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</si>
  <si>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</si>
  <si>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</si>
  <si>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</si>
  <si>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</si>
  <si>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</si>
  <si>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</si>
  <si>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</si>
  <si>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</si>
  <si>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</si>
  <si>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</si>
  <si>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</si>
  <si>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</si>
  <si>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</si>
  <si>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</si>
  <si>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</si>
  <si>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</si>
  <si>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</si>
  <si>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</si>
  <si>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</si>
  <si>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</si>
  <si>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</si>
  <si>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</si>
  <si>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</si>
  <si>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</si>
  <si>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</si>
  <si>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</si>
  <si>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</si>
  <si>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</si>
  <si>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</si>
  <si>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</si>
  <si>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</si>
  <si>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</si>
  <si>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</si>
  <si>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</si>
  <si>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</si>
  <si>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</si>
  <si>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</si>
  <si>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</si>
  <si>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</si>
  <si>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</si>
  <si>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</si>
  <si>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</si>
  <si>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</si>
  <si>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</si>
  <si>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</si>
  <si>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</si>
  <si>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</si>
  <si>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</si>
  <si>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</si>
  <si>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</si>
  <si>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</si>
  <si>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</si>
  <si>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</si>
  <si>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</si>
  <si>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</si>
  <si>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</si>
  <si>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</si>
  <si>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</si>
  <si>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</si>
  <si>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</si>
  <si>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</si>
  <si>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</si>
  <si>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</si>
  <si>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</si>
  <si>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</si>
  <si>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</si>
  <si>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</si>
  <si>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</si>
  <si>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</si>
  <si>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</si>
  <si>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</si>
  <si>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</si>
  <si>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</si>
  <si>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</si>
  <si>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</si>
  <si>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</si>
  <si>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</si>
  <si>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</si>
  <si>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</si>
  <si>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</si>
  <si>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</si>
  <si>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</si>
  <si>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</si>
  <si>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</si>
  <si>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</si>
  <si>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</si>
  <si>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</si>
  <si>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</si>
  <si>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</si>
  <si>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</si>
  <si>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</si>
  <si>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</si>
  <si>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</si>
  <si>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</si>
  <si>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</si>
  <si>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</si>
  <si>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</si>
  <si>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</si>
  <si>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</si>
  <si>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</si>
  <si>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</si>
  <si>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</si>
  <si>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</si>
  <si>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</si>
  <si>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</si>
  <si>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</si>
  <si>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</si>
  <si>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</si>
  <si>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</si>
  <si>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</si>
  <si>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</si>
  <si>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</si>
  <si>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</si>
  <si>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</si>
  <si>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</si>
  <si>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</si>
  <si>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</si>
  <si>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</si>
  <si>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</si>
  <si>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</si>
  <si>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</si>
  <si>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</si>
  <si>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</si>
  <si>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</si>
  <si>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</si>
  <si>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</si>
  <si>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</si>
  <si>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</si>
  <si>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</si>
  <si>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</si>
  <si>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</si>
  <si>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</si>
  <si>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</si>
  <si>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</si>
  <si>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</si>
  <si>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</si>
  <si>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</si>
  <si>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</si>
  <si>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</si>
  <si>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</si>
  <si>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</si>
  <si>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</si>
  <si>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</si>
  <si>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</si>
  <si>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</si>
  <si>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</si>
  <si>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</si>
  <si>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</si>
  <si>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</si>
  <si>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</si>
  <si>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</si>
  <si>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</si>
  <si>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</si>
  <si>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</si>
  <si>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</si>
  <si>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</si>
  <si>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</si>
  <si>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</si>
  <si>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</si>
  <si>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</si>
  <si>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</si>
  <si>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</si>
  <si>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</si>
  <si>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</si>
  <si>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</si>
  <si>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</si>
  <si>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</si>
  <si>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</si>
  <si>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</si>
  <si>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</si>
  <si>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</si>
  <si>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</si>
  <si>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</si>
  <si>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</si>
  <si>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</si>
  <si>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</si>
  <si>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</si>
  <si>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</si>
  <si>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</si>
  <si>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</si>
  <si>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</si>
  <si>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</si>
  <si>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</si>
  <si>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</si>
  <si>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</si>
  <si>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</si>
  <si>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</si>
  <si>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</si>
  <si>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</si>
  <si>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</si>
  <si>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</si>
  <si>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</si>
  <si>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</si>
  <si>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</si>
  <si>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</si>
  <si>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</si>
  <si>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</si>
  <si>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</si>
  <si>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</si>
  <si>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</si>
  <si>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</si>
  <si>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</si>
  <si>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</si>
  <si>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</si>
  <si>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</si>
  <si>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</si>
  <si>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</si>
  <si>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</si>
  <si>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</si>
  <si>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</si>
  <si>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</si>
  <si>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</si>
  <si>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</si>
  <si>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</si>
  <si>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</si>
  <si>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</si>
  <si>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</si>
  <si>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</si>
  <si>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</si>
  <si>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</si>
  <si>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</si>
  <si>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</si>
  <si>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</si>
  <si>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</si>
  <si>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</si>
  <si>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</si>
  <si>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</si>
  <si>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</si>
  <si>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</si>
  <si>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</si>
  <si>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</si>
  <si>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</si>
  <si>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</si>
  <si>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</si>
  <si>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</si>
  <si>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</si>
  <si>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</si>
  <si>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</si>
  <si>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</si>
  <si>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</si>
  <si>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</si>
  <si>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</si>
  <si>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</si>
  <si>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</si>
  <si>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</si>
  <si>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</si>
  <si>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</si>
  <si>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</si>
  <si>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</si>
  <si>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</si>
  <si>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</si>
  <si>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</si>
  <si>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</si>
  <si>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</si>
  <si>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</si>
  <si>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</si>
  <si>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</si>
  <si>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</si>
  <si>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</si>
  <si>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</si>
  <si>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</si>
  <si>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</si>
  <si>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</si>
  <si>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</si>
  <si>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</si>
  <si>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</si>
  <si>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</si>
  <si>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</si>
  <si>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</si>
  <si>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</si>
  <si>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</si>
  <si>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</si>
  <si>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</si>
  <si>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</si>
  <si>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</si>
  <si>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</si>
  <si>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</si>
  <si>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</si>
  <si>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</si>
  <si>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</si>
  <si>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</si>
  <si>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</si>
  <si>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</si>
  <si>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</si>
  <si>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</si>
  <si>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</si>
  <si>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</si>
  <si>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</si>
  <si>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</si>
  <si>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</si>
  <si>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</si>
  <si>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</si>
  <si>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</si>
  <si>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</si>
  <si>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</si>
  <si>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</si>
  <si>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</si>
  <si>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</si>
  <si>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</si>
  <si>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</si>
  <si>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</si>
  <si>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</si>
  <si>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</si>
  <si>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</si>
  <si>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</si>
  <si>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</si>
  <si>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</si>
  <si>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</si>
  <si>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</si>
  <si>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</si>
  <si>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</si>
  <si>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</si>
  <si>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</si>
  <si>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</si>
  <si>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</si>
  <si>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</si>
  <si>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</si>
  <si>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</si>
  <si>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</si>
  <si>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</si>
  <si>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</si>
  <si>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</si>
  <si>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</si>
  <si>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</si>
  <si>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</si>
  <si>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</si>
  <si>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</si>
  <si>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</si>
  <si>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</si>
  <si>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</si>
  <si>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</si>
  <si>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</si>
  <si>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</si>
  <si>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</si>
  <si>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</si>
  <si>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</si>
  <si>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</si>
  <si>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</si>
  <si>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</si>
  <si>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</si>
  <si>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</si>
  <si>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</si>
  <si>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</si>
  <si>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</si>
  <si>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</si>
  <si>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</si>
  <si>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</si>
  <si>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</si>
  <si>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</si>
  <si>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</si>
  <si>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</si>
  <si>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</si>
  <si>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</si>
  <si>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</si>
  <si>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</si>
  <si>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</si>
  <si>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</si>
  <si>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</si>
  <si>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</si>
  <si>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</si>
  <si>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</si>
  <si>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</si>
  <si>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</si>
  <si>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</si>
  <si>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</si>
  <si>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</si>
  <si>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</si>
  <si>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</si>
  <si>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</si>
  <si>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</si>
  <si>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</si>
  <si>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</si>
  <si>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</si>
  <si>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</si>
  <si>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</si>
  <si>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</si>
  <si>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</si>
  <si>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</si>
  <si>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</si>
  <si>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</si>
  <si>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</si>
  <si>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</si>
  <si>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</si>
  <si>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</si>
  <si>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</si>
  <si>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</si>
  <si>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</si>
  <si>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</si>
  <si>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</si>
  <si>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</si>
  <si>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</si>
  <si>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</si>
  <si>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</si>
  <si>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</si>
  <si>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</si>
  <si>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</si>
  <si>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</si>
  <si>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</si>
  <si>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</si>
  <si>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</si>
  <si>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</si>
  <si>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</si>
  <si>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</si>
  <si>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</si>
  <si>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</si>
  <si>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</si>
  <si>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</si>
  <si>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</si>
  <si>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</si>
  <si>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</si>
  <si>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</si>
  <si>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</si>
  <si>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</si>
  <si>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</si>
  <si>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</si>
  <si>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</si>
  <si>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</si>
  <si>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</si>
  <si>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</si>
  <si>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</si>
  <si>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</si>
  <si>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</si>
  <si>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</si>
  <si>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</si>
  <si>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</si>
  <si>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</si>
  <si>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</si>
  <si>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</si>
  <si>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</si>
  <si>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</si>
  <si>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</si>
  <si>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</si>
  <si>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</si>
  <si>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</si>
  <si>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</si>
  <si>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</si>
  <si>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</si>
  <si>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</si>
  <si>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</si>
  <si>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</si>
  <si>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</si>
  <si>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</si>
  <si>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</si>
  <si>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</si>
  <si>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</si>
  <si>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</si>
  <si>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</si>
  <si>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</si>
  <si>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</si>
  <si>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</si>
  <si>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</si>
  <si>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</si>
  <si>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</si>
  <si>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</si>
  <si>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</si>
  <si>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</si>
  <si>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</si>
  <si>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</si>
  <si>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</si>
  <si>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</si>
  <si>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</si>
  <si>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</si>
  <si>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</si>
  <si>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</si>
  <si>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</si>
  <si>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</si>
  <si>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</si>
  <si>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</si>
  <si>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</si>
  <si>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</si>
  <si>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</si>
  <si>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</si>
  <si>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</si>
  <si>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</si>
  <si>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</si>
  <si>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</si>
  <si>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</si>
  <si>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</si>
  <si>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</si>
  <si>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</si>
  <si>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</si>
  <si>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</si>
  <si>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</si>
  <si>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</si>
  <si>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</si>
  <si>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</si>
  <si>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</si>
  <si>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</si>
  <si>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</si>
  <si>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</si>
  <si>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</si>
  <si>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</si>
  <si>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</si>
  <si>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</si>
  <si>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</si>
  <si>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</si>
  <si>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</si>
  <si>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</si>
  <si>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</si>
  <si>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</si>
  <si>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</si>
  <si>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</si>
  <si>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</si>
  <si>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</si>
  <si>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</si>
  <si>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</si>
  <si>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</si>
  <si>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</si>
  <si>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</si>
  <si>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</si>
  <si>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</si>
  <si>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</si>
  <si>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</si>
  <si>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</si>
  <si>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</si>
  <si>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</si>
  <si>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</si>
  <si>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</si>
  <si>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</si>
  <si>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</si>
  <si>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</si>
  <si>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</si>
  <si>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</si>
  <si>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</si>
  <si>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</si>
  <si>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</si>
  <si>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</si>
  <si>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</si>
  <si>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</si>
  <si>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</si>
  <si>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</si>
  <si>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</si>
  <si>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</si>
  <si>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</si>
  <si>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</si>
  <si>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</si>
  <si>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</si>
  <si>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</si>
  <si>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</si>
  <si>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</si>
  <si>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</si>
  <si>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</si>
  <si>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</si>
  <si>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</si>
  <si>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</si>
  <si>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</si>
  <si>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</si>
  <si>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</si>
  <si>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</si>
  <si>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</si>
  <si>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</si>
  <si>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</si>
  <si>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</si>
  <si>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</si>
  <si>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</si>
  <si>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</si>
  <si>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</si>
  <si>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</si>
  <si>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</si>
  <si>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</si>
  <si>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</si>
  <si>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</si>
  <si>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</si>
  <si>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</si>
  <si>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</si>
  <si>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</si>
  <si>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</si>
  <si>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</si>
  <si>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</si>
  <si>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</si>
  <si>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</si>
  <si>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</si>
  <si>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</si>
  <si>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</si>
  <si>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</si>
  <si>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</si>
  <si>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</si>
  <si>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</si>
  <si>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</si>
  <si>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</si>
  <si>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</si>
  <si>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</si>
  <si>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</si>
  <si>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</si>
  <si>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</si>
  <si>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</si>
  <si>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</si>
  <si>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</si>
  <si>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</si>
  <si>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</si>
  <si>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</si>
  <si>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</si>
  <si>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</si>
  <si>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</si>
  <si>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</si>
  <si>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</si>
  <si>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</si>
  <si>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</si>
  <si>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</si>
  <si>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</si>
  <si>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</si>
  <si>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</si>
  <si>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</si>
  <si>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</si>
  <si>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</si>
  <si>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</si>
  <si>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</si>
  <si>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</si>
  <si>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</si>
  <si>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</si>
  <si>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</si>
  <si>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</si>
  <si>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</si>
  <si>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</si>
  <si>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</si>
  <si>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</si>
  <si>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</si>
  <si>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</si>
  <si>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</si>
  <si>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</si>
  <si>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</si>
  <si>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</si>
  <si>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</si>
  <si>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</si>
  <si>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</si>
  <si>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</si>
  <si>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</si>
  <si>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</si>
  <si>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</si>
  <si>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</si>
  <si>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</si>
  <si>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</si>
  <si>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</si>
  <si>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</si>
  <si>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</si>
  <si>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</si>
  <si>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</si>
  <si>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</si>
  <si>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</si>
  <si>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</si>
  <si>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</si>
  <si>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</si>
  <si>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</si>
  <si>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</si>
  <si>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</si>
  <si>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</si>
  <si>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</si>
  <si>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</si>
  <si>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</si>
  <si>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</si>
  <si>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</si>
  <si>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</si>
  <si>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</si>
  <si>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</si>
  <si>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</si>
  <si>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</si>
  <si>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</si>
  <si>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</si>
  <si>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</si>
  <si>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</si>
  <si>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</si>
  <si>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</si>
  <si>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</si>
  <si>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</si>
  <si>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</si>
  <si>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</si>
  <si>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</si>
  <si>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</si>
  <si>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</si>
  <si>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</si>
  <si>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</si>
  <si>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</si>
  <si>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</si>
  <si>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</si>
  <si>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</si>
  <si>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</si>
  <si>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</si>
  <si>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</si>
  <si>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</si>
  <si>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</si>
  <si>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</si>
  <si>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</si>
  <si>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</si>
  <si>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</si>
  <si>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</si>
  <si>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</si>
  <si>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</si>
  <si>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</si>
  <si>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</si>
  <si>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</si>
  <si>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</si>
  <si>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</si>
  <si>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</si>
  <si>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</si>
  <si>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</si>
  <si>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</si>
  <si>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</si>
  <si>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</si>
  <si>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</si>
  <si>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</si>
  <si>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</si>
  <si>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</si>
  <si>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</si>
  <si>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</si>
  <si>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</si>
  <si>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</si>
  <si>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</si>
  <si>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</si>
  <si>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</si>
  <si>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</si>
  <si>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</si>
  <si>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</si>
  <si>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</si>
  <si>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</si>
  <si>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</si>
  <si>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</si>
  <si>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</si>
  <si>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</si>
  <si>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</si>
  <si>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</si>
  <si>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</si>
  <si>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</si>
  <si>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</si>
  <si>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</si>
  <si>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</si>
  <si>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</si>
  <si>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</si>
  <si>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</si>
  <si>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</si>
  <si>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</si>
  <si>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</si>
  <si>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</si>
  <si>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</si>
  <si>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</si>
  <si>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</si>
  <si>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</si>
  <si>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</si>
  <si>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</si>
  <si>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</si>
  <si>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</si>
  <si>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</si>
  <si>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</si>
  <si>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</si>
  <si>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</si>
  <si>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</si>
  <si>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</si>
  <si>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</si>
  <si>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</si>
  <si>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</si>
  <si>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</si>
  <si>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</si>
  <si>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</si>
  <si>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</si>
  <si>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</si>
  <si>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</si>
  <si>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</si>
  <si>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</si>
  <si>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</si>
  <si>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</si>
  <si>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</si>
  <si>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</si>
  <si>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</si>
  <si>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</si>
  <si>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</si>
  <si>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</si>
  <si>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</si>
  <si>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</si>
  <si>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</si>
  <si>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</si>
  <si>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</si>
  <si>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</si>
  <si>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</si>
  <si>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</si>
  <si>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</si>
  <si>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</si>
  <si>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</si>
  <si>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</si>
  <si>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</si>
  <si>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</si>
  <si>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</si>
  <si>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</si>
  <si>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</si>
  <si>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</si>
  <si>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</si>
  <si>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</si>
  <si>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</si>
  <si>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</si>
  <si>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</si>
  <si>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</si>
  <si>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</si>
  <si>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</si>
  <si>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</si>
  <si>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</si>
  <si>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</si>
  <si>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</si>
  <si>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</si>
  <si>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</si>
  <si>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</si>
  <si>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</si>
  <si>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</si>
  <si>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</si>
  <si>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</si>
  <si>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</si>
  <si>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</si>
  <si>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</si>
  <si>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</si>
  <si>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</si>
  <si>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</si>
  <si>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</si>
  <si>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</si>
  <si>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</si>
  <si>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</si>
  <si>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</si>
  <si>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</si>
  <si>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</si>
  <si>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</si>
  <si>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</si>
  <si>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</si>
  <si>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</si>
  <si>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</si>
  <si>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</si>
  <si>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</si>
  <si>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</si>
  <si>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</si>
  <si>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</si>
  <si>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</si>
  <si>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</si>
  <si>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</si>
  <si>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</si>
  <si>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</si>
  <si>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</si>
  <si>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</si>
  <si>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</si>
  <si>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</si>
  <si>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</si>
  <si>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</si>
  <si>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</si>
  <si>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</si>
  <si>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</si>
  <si>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</si>
  <si>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</si>
  <si>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</si>
  <si>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</si>
  <si>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</si>
  <si>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</si>
  <si>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</si>
  <si>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</si>
  <si>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</si>
  <si>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</si>
  <si>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</si>
  <si>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</si>
  <si>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</si>
  <si>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</si>
  <si>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</si>
  <si>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</si>
  <si>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</si>
  <si>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</si>
  <si>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</si>
  <si>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</si>
  <si>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</si>
  <si>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</si>
  <si>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</si>
  <si>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</si>
  <si>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</si>
  <si>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</si>
  <si>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</si>
  <si>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</si>
  <si>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</si>
  <si>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</si>
  <si>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</si>
  <si>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</si>
  <si>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</si>
  <si>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</si>
  <si>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</si>
  <si>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</si>
  <si>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</si>
  <si>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</si>
  <si>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</si>
  <si>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</si>
  <si>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</si>
  <si>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</si>
  <si>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</si>
  <si>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</si>
  <si>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</si>
  <si>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</si>
  <si>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</si>
  <si>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</si>
  <si>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</si>
  <si>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</si>
  <si>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</si>
  <si>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</si>
  <si>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</si>
  <si>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</si>
  <si>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</si>
  <si>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</si>
  <si>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</si>
  <si>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</si>
  <si>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</si>
  <si>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</si>
  <si>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</si>
  <si>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</si>
  <si>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</si>
  <si>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</si>
  <si>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</si>
  <si>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</si>
  <si>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</si>
  <si>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</si>
  <si>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</si>
  <si>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</si>
  <si>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</si>
  <si>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</si>
  <si>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</si>
  <si>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</si>
  <si>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</si>
  <si>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</si>
  <si>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</si>
  <si>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</si>
  <si>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</si>
  <si>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</si>
  <si>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</si>
  <si>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</si>
  <si>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</si>
  <si>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</si>
  <si>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</si>
  <si>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</si>
  <si>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</si>
  <si>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</si>
  <si>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</si>
  <si>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</si>
  <si>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</si>
  <si>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</si>
  <si>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</si>
  <si>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</si>
  <si>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</si>
  <si>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</si>
  <si>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</si>
  <si>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</si>
  <si>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</si>
  <si>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</si>
  <si>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</si>
  <si>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</si>
  <si>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</si>
  <si>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</si>
  <si>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</si>
  <si>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</si>
  <si>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</si>
  <si>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</si>
  <si>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</si>
  <si>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</si>
  <si>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</si>
  <si>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</si>
  <si>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</si>
  <si>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</si>
  <si>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</si>
  <si>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</si>
  <si>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</si>
  <si>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</si>
  <si>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</si>
  <si>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</si>
  <si>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</si>
  <si>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</si>
  <si>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</si>
  <si>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</si>
  <si>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</si>
  <si>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</si>
  <si>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</si>
  <si>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</si>
  <si>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</si>
  <si>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</si>
  <si>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</si>
  <si>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</si>
  <si>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</si>
  <si>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</si>
  <si>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</si>
  <si>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</si>
  <si>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</si>
  <si>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</si>
  <si>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</si>
  <si>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</si>
  <si>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</si>
  <si>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</si>
  <si>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</si>
  <si>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</si>
  <si>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</si>
  <si>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</si>
  <si>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</si>
  <si>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</si>
  <si>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</si>
  <si>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</si>
  <si>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</si>
  <si>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</si>
  <si>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</si>
  <si>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</si>
  <si>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</si>
  <si>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</si>
  <si>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</si>
  <si>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</si>
  <si>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</si>
  <si>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</si>
  <si>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</si>
  <si>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</si>
  <si>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</si>
  <si>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</si>
  <si>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</si>
  <si>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</si>
  <si>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</si>
  <si>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</si>
  <si>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</si>
  <si>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</si>
  <si>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</si>
  <si>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</si>
  <si>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</si>
  <si>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</si>
  <si>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</si>
  <si>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</si>
  <si>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</si>
  <si>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</si>
  <si>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</si>
  <si>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</si>
  <si>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</si>
  <si>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</si>
  <si>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</si>
  <si>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</si>
  <si>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</si>
  <si>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</si>
  <si>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</si>
  <si>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</si>
  <si>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</si>
  <si>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</si>
  <si>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</si>
  <si>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</si>
  <si>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</si>
  <si>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</si>
  <si>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</si>
  <si>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</si>
  <si>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</si>
  <si>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</si>
  <si>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</si>
  <si>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</si>
  <si>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</si>
  <si>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</si>
  <si>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</si>
  <si>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</si>
  <si>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</si>
  <si>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</si>
  <si>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</si>
  <si>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</si>
  <si>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</si>
  <si>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</si>
  <si>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</si>
  <si>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</si>
  <si>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</si>
  <si>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</si>
  <si>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</si>
  <si>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</si>
  <si>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</si>
  <si>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</si>
  <si>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</si>
  <si>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</si>
  <si>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</si>
  <si>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</si>
  <si>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</si>
  <si>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</si>
  <si>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</si>
  <si>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</si>
  <si>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</si>
  <si>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</si>
  <si>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</si>
  <si>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</si>
  <si>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</si>
  <si>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</si>
  <si>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</si>
  <si>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</si>
  <si>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</si>
  <si>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</si>
  <si>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</si>
  <si>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</si>
  <si>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</si>
  <si>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</si>
  <si>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</si>
  <si>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</si>
  <si>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</si>
  <si>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</si>
  <si>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</si>
  <si>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</si>
  <si>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</si>
  <si>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</si>
  <si>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</si>
  <si>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</si>
  <si>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</si>
  <si>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</si>
  <si>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</si>
  <si>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</si>
  <si>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</si>
  <si>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</si>
  <si>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</si>
  <si>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</si>
  <si>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</si>
  <si>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</si>
  <si>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</si>
  <si>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</si>
  <si>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</si>
  <si>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</si>
  <si>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</si>
  <si>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</si>
  <si>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</si>
  <si>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</si>
  <si>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</si>
  <si>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</si>
  <si>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</si>
  <si>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</si>
  <si>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</si>
  <si>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</si>
  <si>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</si>
  <si>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</si>
  <si>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</si>
  <si>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</si>
  <si>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</si>
  <si>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</si>
  <si>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</si>
  <si>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</si>
  <si>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</si>
  <si>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</si>
  <si>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</si>
  <si>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</si>
  <si>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</si>
  <si>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</si>
  <si>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</si>
  <si>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</si>
  <si>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</si>
  <si>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</si>
  <si>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</si>
  <si>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</si>
  <si>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</si>
  <si>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</si>
  <si>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</si>
  <si>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</si>
  <si>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</si>
  <si>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</si>
  <si>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</si>
  <si>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</si>
  <si>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</si>
  <si>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</si>
  <si>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</si>
  <si>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</si>
  <si>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</si>
  <si>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</si>
  <si>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</si>
  <si>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</si>
  <si>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</si>
  <si>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</si>
  <si>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</si>
  <si>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</si>
  <si>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</si>
  <si>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</si>
  <si>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</si>
  <si>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</si>
  <si>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</si>
  <si>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</si>
  <si>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</si>
  <si>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</si>
  <si>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</si>
  <si>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</si>
  <si>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</si>
  <si>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</si>
  <si>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</si>
  <si>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</si>
  <si>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</si>
  <si>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</si>
  <si>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</si>
  <si>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</si>
  <si>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</si>
  <si>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</si>
  <si>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</si>
  <si>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</si>
  <si>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</si>
  <si>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</si>
  <si>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</si>
  <si>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</si>
  <si>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</si>
  <si>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</si>
  <si>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</si>
  <si>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</si>
  <si>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</si>
  <si>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</si>
  <si>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</si>
  <si>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</si>
  <si>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</si>
  <si>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</si>
  <si>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</si>
  <si>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</si>
  <si>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</si>
  <si>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</si>
  <si>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</si>
  <si>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</si>
  <si>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</si>
  <si>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</si>
  <si>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</si>
  <si>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</si>
  <si>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</si>
  <si>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</si>
  <si>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</si>
  <si>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</si>
  <si>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</si>
  <si>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</si>
  <si>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</si>
  <si>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</si>
  <si>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</si>
  <si>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</si>
  <si>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</si>
  <si>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</si>
  <si>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</si>
  <si>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</si>
  <si>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</si>
  <si>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</si>
  <si>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</si>
  <si>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</si>
  <si>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</si>
  <si>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</si>
  <si>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</si>
  <si>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</si>
  <si>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</si>
  <si>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</si>
  <si>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</si>
  <si>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</si>
  <si>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</si>
  <si>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</si>
  <si>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</si>
  <si>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</si>
  <si>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</si>
  <si>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</si>
  <si>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</si>
  <si>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</si>
  <si>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</si>
  <si>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</si>
  <si>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</si>
  <si>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</si>
  <si>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</si>
  <si>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</si>
  <si>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</si>
  <si>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</si>
  <si>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</si>
  <si>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</si>
  <si>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</si>
  <si>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</si>
  <si>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</si>
  <si>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</si>
  <si>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</si>
  <si>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</si>
  <si>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</si>
  <si>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</si>
  <si>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</si>
  <si>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</si>
  <si>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</si>
  <si>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</si>
  <si>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</si>
  <si>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</si>
  <si>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</si>
  <si>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</si>
  <si>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</si>
  <si>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</si>
  <si>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</si>
  <si>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</si>
  <si>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</si>
  <si>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</si>
  <si>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</si>
  <si>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</si>
  <si>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</si>
  <si>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</si>
  <si>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</si>
  <si>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</si>
  <si>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</si>
  <si>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</si>
  <si>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</si>
  <si>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</si>
  <si>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</si>
  <si>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</si>
  <si>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</si>
  <si>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</si>
  <si>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</si>
  <si>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</si>
  <si>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</si>
  <si>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</si>
  <si>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</si>
  <si>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</si>
  <si>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</si>
  <si>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</si>
  <si>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</si>
  <si>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</si>
  <si>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</si>
  <si>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</si>
  <si>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</si>
  <si>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</si>
  <si>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</si>
  <si>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</si>
  <si>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</si>
  <si>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</si>
  <si>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</si>
  <si>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</si>
  <si>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</si>
  <si>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</si>
  <si>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</si>
  <si>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</si>
  <si>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</si>
  <si>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</si>
  <si>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</si>
  <si>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</si>
  <si>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</si>
  <si>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</si>
  <si>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</si>
  <si>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</si>
  <si>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</si>
  <si>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</si>
  <si>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</si>
  <si>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</si>
  <si>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</si>
  <si>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</si>
  <si>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</si>
  <si>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</si>
  <si>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</si>
  <si>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</si>
  <si>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</si>
  <si>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</si>
  <si>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</si>
  <si>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</si>
  <si>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</si>
  <si>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</si>
  <si>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</si>
  <si>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</si>
  <si>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</si>
  <si>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</si>
  <si>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</si>
  <si>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</si>
  <si>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</si>
  <si>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</si>
  <si>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</si>
  <si>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</si>
  <si>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</si>
  <si>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</si>
  <si>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</si>
  <si>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</si>
  <si>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</si>
  <si>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</si>
  <si>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</si>
  <si>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</si>
  <si>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</si>
  <si>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</si>
  <si>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</si>
  <si>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</si>
  <si>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</si>
  <si>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</si>
  <si>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</si>
  <si>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</si>
  <si>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</si>
  <si>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</si>
  <si>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</si>
  <si>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</si>
  <si>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</si>
  <si>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</si>
  <si>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</si>
  <si>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</si>
  <si>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</si>
  <si>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</si>
  <si>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</si>
  <si>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</si>
  <si>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</si>
  <si>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</si>
  <si>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</si>
  <si>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</si>
  <si>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</si>
  <si>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</si>
  <si>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</si>
  <si>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</si>
  <si>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</si>
  <si>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</si>
  <si>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</si>
  <si>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</si>
  <si>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</si>
  <si>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</si>
  <si>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</si>
  <si>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</si>
  <si>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</si>
  <si>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</si>
  <si>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</si>
  <si>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</si>
  <si>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</si>
  <si>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</si>
  <si>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</si>
  <si>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</si>
  <si>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</si>
  <si>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</si>
  <si>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</si>
  <si>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</si>
  <si>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</si>
  <si>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</si>
  <si>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</si>
  <si>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</si>
  <si>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</si>
  <si>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</si>
  <si>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</si>
  <si>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</si>
  <si>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</si>
  <si>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</si>
  <si>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</si>
  <si>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</si>
  <si>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</si>
  <si>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</si>
  <si>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</si>
  <si>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</si>
  <si>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</si>
  <si>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</si>
  <si>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</si>
  <si>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</si>
  <si>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</si>
  <si>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</si>
  <si>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</si>
  <si>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</si>
  <si>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</si>
  <si>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</si>
  <si>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</si>
  <si>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</si>
  <si>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</si>
  <si>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</si>
  <si>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</si>
  <si>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</si>
  <si>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</si>
  <si>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</si>
  <si>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</si>
  <si>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</si>
  <si>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</si>
  <si>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</si>
  <si>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</si>
  <si>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</si>
  <si>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</si>
  <si>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</si>
  <si>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</si>
  <si>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</si>
  <si>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</si>
  <si>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</si>
  <si>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</si>
  <si>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</si>
  <si>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</si>
  <si>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</si>
  <si>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</si>
  <si>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</si>
  <si>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</si>
  <si>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</si>
  <si>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</si>
  <si>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</si>
  <si>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</si>
  <si>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</si>
  <si>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</si>
  <si>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</si>
  <si>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</si>
  <si>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</si>
  <si>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</si>
  <si>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</si>
  <si>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</si>
  <si>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</si>
  <si>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</si>
  <si>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</si>
  <si>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</si>
  <si>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</si>
  <si>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</si>
  <si>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</si>
  <si>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</si>
  <si>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</si>
  <si>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</si>
  <si>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</si>
  <si>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</si>
  <si>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</si>
  <si>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</si>
  <si>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</si>
  <si>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</si>
  <si>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</si>
  <si>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</si>
  <si>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</si>
  <si>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</si>
  <si>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</si>
  <si>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</si>
  <si>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</si>
  <si>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</si>
  <si>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</si>
  <si>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</si>
  <si>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</si>
  <si>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</si>
  <si>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</si>
  <si>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</si>
  <si>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</si>
  <si>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</si>
  <si>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</si>
  <si>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</si>
  <si>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</si>
  <si>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</si>
  <si>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</si>
  <si>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</si>
  <si>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</si>
  <si>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</si>
  <si>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</si>
  <si>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</si>
  <si>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</si>
  <si>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</si>
  <si>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</si>
  <si>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</si>
  <si>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</si>
  <si>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</si>
  <si>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</si>
  <si>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</si>
  <si>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</si>
  <si>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</si>
  <si>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</si>
  <si>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</si>
  <si>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</si>
  <si>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</si>
  <si>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</si>
  <si>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</si>
  <si>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</si>
  <si>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</si>
  <si>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</si>
  <si>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</si>
  <si>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</si>
  <si>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</si>
  <si>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</si>
  <si>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</si>
  <si>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</si>
  <si>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</si>
  <si>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</si>
  <si>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</si>
  <si>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</si>
  <si>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</si>
  <si>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</si>
  <si>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</si>
  <si>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</si>
  <si>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</si>
  <si>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</si>
  <si>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</si>
  <si>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</si>
  <si>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</si>
  <si>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</si>
  <si>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</si>
  <si>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</si>
  <si>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</si>
  <si>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</si>
  <si>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</si>
  <si>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</si>
  <si>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</si>
  <si>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</si>
  <si>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</si>
  <si>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</si>
  <si>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</si>
  <si>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</si>
  <si>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</si>
  <si>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</si>
  <si>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</si>
  <si>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</si>
  <si>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</si>
  <si>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</si>
  <si>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</si>
  <si>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</si>
  <si>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</si>
  <si>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</si>
  <si>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</si>
  <si>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</si>
  <si>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</si>
  <si>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</si>
  <si>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</si>
  <si>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</si>
  <si>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</si>
  <si>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</si>
  <si>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</si>
  <si>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</si>
  <si>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</si>
  <si>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</si>
  <si>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</si>
  <si>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</si>
  <si>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</si>
  <si>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</si>
  <si>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</si>
  <si>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</si>
  <si>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</si>
  <si>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</si>
  <si>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</si>
  <si>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</si>
  <si>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</si>
  <si>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</si>
  <si>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</si>
  <si>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</si>
  <si>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</si>
  <si>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</si>
  <si>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</si>
  <si>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</si>
  <si>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</si>
  <si>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</si>
  <si>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</si>
  <si>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</si>
  <si>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</si>
  <si>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</si>
  <si>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</si>
  <si>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</si>
  <si>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</si>
  <si>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</si>
  <si>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</si>
  <si>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</si>
  <si>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</si>
  <si>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</si>
  <si>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</si>
  <si>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</si>
  <si>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</si>
  <si>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</si>
  <si>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</si>
  <si>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</si>
  <si>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</si>
  <si>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</si>
  <si>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</si>
  <si>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</si>
  <si>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</si>
  <si>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</si>
  <si>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</si>
  <si>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</si>
  <si>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</si>
  <si>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</si>
  <si>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</si>
  <si>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</si>
  <si>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</si>
  <si>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</si>
  <si>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</si>
  <si>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</si>
  <si>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</si>
  <si>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</si>
  <si>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</si>
  <si>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</si>
  <si>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</si>
  <si>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</si>
  <si>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</si>
  <si>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</si>
  <si>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</si>
  <si>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</si>
  <si>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</si>
  <si>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</si>
  <si>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</si>
  <si>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</si>
  <si>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</si>
  <si>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</si>
  <si>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</si>
  <si>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</si>
  <si>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</si>
  <si>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</si>
  <si>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</si>
  <si>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</si>
  <si>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</si>
  <si>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</si>
  <si>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</si>
  <si>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</si>
  <si>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</si>
  <si>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</si>
  <si>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</si>
  <si>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</si>
  <si>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</si>
  <si>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</si>
  <si>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</si>
  <si>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</si>
  <si>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</si>
  <si>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</si>
  <si>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</si>
  <si>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</si>
  <si>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</si>
  <si>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</si>
  <si>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</si>
  <si>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</si>
  <si>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</si>
  <si>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</si>
  <si>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</si>
  <si>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</si>
  <si>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</si>
  <si>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</si>
  <si>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</si>
  <si>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</si>
  <si>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</si>
  <si>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</si>
  <si>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</si>
  <si>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</si>
  <si>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</si>
  <si>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</si>
  <si>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</si>
  <si>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</si>
  <si>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</si>
  <si>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</si>
  <si>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</si>
  <si>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</si>
  <si>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</si>
  <si>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</si>
  <si>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</si>
  <si>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</si>
  <si>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</si>
  <si>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</si>
  <si>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</si>
  <si>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</si>
  <si>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</si>
  <si>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</si>
  <si>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</si>
  <si>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</si>
  <si>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</si>
  <si>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</si>
  <si>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</si>
  <si>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</si>
  <si>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</si>
  <si>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</si>
  <si>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</si>
  <si>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</si>
  <si>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</si>
  <si>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</si>
  <si>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</si>
  <si>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</si>
  <si>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</si>
  <si>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</si>
  <si>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</si>
  <si>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</si>
  <si>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</si>
  <si>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</si>
  <si>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</si>
  <si>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</si>
  <si>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</si>
  <si>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</si>
  <si>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</si>
  <si>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</si>
  <si>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</si>
  <si>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</si>
  <si>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</si>
  <si>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</si>
  <si>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</si>
  <si>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</si>
  <si>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</si>
  <si>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</si>
  <si>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</si>
  <si>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</si>
  <si>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</si>
  <si>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</si>
  <si>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</si>
  <si>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</si>
  <si>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</si>
  <si>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</si>
  <si>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</si>
  <si>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</si>
  <si>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</si>
  <si>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</si>
  <si>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</si>
  <si>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</si>
  <si>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</si>
  <si>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</si>
  <si>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</si>
  <si>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</si>
  <si>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</si>
  <si>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</si>
  <si>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</si>
  <si>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</si>
  <si>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</si>
  <si>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</si>
  <si>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</si>
  <si>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</si>
  <si>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</si>
  <si>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</si>
  <si>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</si>
  <si>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</si>
  <si>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</si>
  <si>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</si>
  <si>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</si>
  <si>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</si>
  <si>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</si>
  <si>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</si>
  <si>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</si>
  <si>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</si>
  <si>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</si>
  <si>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</si>
  <si>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</si>
  <si>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</si>
  <si>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</si>
  <si>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</si>
  <si>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</si>
  <si>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</si>
  <si>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</si>
  <si>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</si>
  <si>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</si>
  <si>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</si>
  <si>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</si>
  <si>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</si>
  <si>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</si>
  <si>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</si>
  <si>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</si>
  <si>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</si>
  <si>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</si>
  <si>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</si>
  <si>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</si>
  <si>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</si>
  <si>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</si>
  <si>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</si>
  <si>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</si>
  <si>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</si>
  <si>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</si>
  <si>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</si>
  <si>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</si>
  <si>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</si>
  <si>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</si>
  <si>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</si>
  <si>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</si>
  <si>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</si>
  <si>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</si>
  <si>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</si>
  <si>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</si>
  <si>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</si>
  <si>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</si>
  <si>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</si>
  <si>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</si>
  <si>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</si>
  <si>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</si>
  <si>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</si>
  <si>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</si>
  <si>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</si>
  <si>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</si>
  <si>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</si>
  <si>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</si>
  <si>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</si>
  <si>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</si>
  <si>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</si>
  <si>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</si>
  <si>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</si>
  <si>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</si>
  <si>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</si>
  <si>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</si>
  <si>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</si>
  <si>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</si>
  <si>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</si>
  <si>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</si>
  <si>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</si>
  <si>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</si>
  <si>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</si>
  <si>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</si>
  <si>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</si>
  <si>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</si>
  <si>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</si>
  <si>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</si>
  <si>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</si>
  <si>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</si>
  <si>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</si>
  <si>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</si>
  <si>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</si>
  <si>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</si>
  <si>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</si>
  <si>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</si>
  <si>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</si>
  <si>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</si>
  <si>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</si>
  <si>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</si>
  <si>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</si>
  <si>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</si>
  <si>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</si>
  <si>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</si>
  <si>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</si>
  <si>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</si>
  <si>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</si>
  <si>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</si>
  <si>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</si>
  <si>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</si>
  <si>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</si>
  <si>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</si>
  <si>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</si>
  <si>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</si>
  <si>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</si>
  <si>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</si>
  <si>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</si>
  <si>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</si>
  <si>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</si>
  <si>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</si>
  <si>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</si>
  <si>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</si>
  <si>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</si>
  <si>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</si>
  <si>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</si>
  <si>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</si>
  <si>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</si>
  <si>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</si>
  <si>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</si>
  <si>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</si>
  <si>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</si>
  <si>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</si>
  <si>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</si>
  <si>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</si>
  <si>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</si>
  <si>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</si>
  <si>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</si>
  <si>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</si>
  <si>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</si>
  <si>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</si>
  <si>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</si>
  <si>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</si>
  <si>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</si>
  <si>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</si>
  <si>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</si>
  <si>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</si>
  <si>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</si>
  <si>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</si>
  <si>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</si>
  <si>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</si>
  <si>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</si>
  <si>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</si>
  <si>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</si>
  <si>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</si>
  <si>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</si>
  <si>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</si>
  <si>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</si>
  <si>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</si>
  <si>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</si>
  <si>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</si>
  <si>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</si>
  <si>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</si>
  <si>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</si>
  <si>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</si>
  <si>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</si>
  <si>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</si>
  <si>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</si>
  <si>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</si>
  <si>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</si>
  <si>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</si>
  <si>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</si>
  <si>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</si>
  <si>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</si>
  <si>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</si>
  <si>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</si>
  <si>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</si>
  <si>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</si>
  <si>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</si>
  <si>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</si>
  <si>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</si>
  <si>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</si>
  <si>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</si>
  <si>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</si>
  <si>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</si>
  <si>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</si>
  <si>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</si>
  <si>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</si>
  <si>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</si>
  <si>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</si>
  <si>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</si>
  <si>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</si>
  <si>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</si>
  <si>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</si>
  <si>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</si>
  <si>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</si>
  <si>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</si>
  <si>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</si>
  <si>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</si>
  <si>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</si>
  <si>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</si>
  <si>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</si>
  <si>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</si>
  <si>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</si>
  <si>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</si>
  <si>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</si>
  <si>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</si>
  <si>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</si>
  <si>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</si>
  <si>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</si>
  <si>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</si>
  <si>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</si>
  <si>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</si>
  <si>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</si>
  <si>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</si>
  <si>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</si>
  <si>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</si>
  <si>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</si>
  <si>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</si>
  <si>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</si>
  <si>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</si>
  <si>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</si>
  <si>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</si>
  <si>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</si>
  <si>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</si>
  <si>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</si>
  <si>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</si>
  <si>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</si>
  <si>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</si>
  <si>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</si>
  <si>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</si>
  <si>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</si>
  <si>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</si>
  <si>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</si>
  <si>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</si>
  <si>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</si>
  <si>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</si>
  <si>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</si>
  <si>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</si>
  <si>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</si>
  <si>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</si>
  <si>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</si>
  <si>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</si>
  <si>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</si>
  <si>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</si>
  <si>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</si>
  <si>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</si>
  <si>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</si>
  <si>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</si>
  <si>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</si>
  <si>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</si>
  <si>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</si>
  <si>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</si>
  <si>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</si>
  <si>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</si>
  <si>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</si>
  <si>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</si>
  <si>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</si>
  <si>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</si>
  <si>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</si>
  <si>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</si>
  <si>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</si>
  <si>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</si>
  <si>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</si>
  <si>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</si>
  <si>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</si>
  <si>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</si>
  <si>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</si>
  <si>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</si>
  <si>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</si>
  <si>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</si>
  <si>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</si>
  <si>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</si>
  <si>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</si>
  <si>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</si>
  <si>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</si>
  <si>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</si>
  <si>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</si>
  <si>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</si>
  <si>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</si>
  <si>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</si>
  <si>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</si>
  <si>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</si>
  <si>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</si>
  <si>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</si>
  <si>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</si>
  <si>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</si>
  <si>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</si>
  <si>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</si>
  <si>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</si>
  <si>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</si>
  <si>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</si>
  <si>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</si>
  <si>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</si>
  <si>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</si>
  <si>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</si>
  <si>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</si>
  <si>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</si>
  <si>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</si>
  <si>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</si>
  <si>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</si>
  <si>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</si>
  <si>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</si>
  <si>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</si>
  <si>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</si>
  <si>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</si>
  <si>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</si>
  <si>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</si>
  <si>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</si>
  <si>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</si>
  <si>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</si>
  <si>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</si>
  <si>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</si>
  <si>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</si>
  <si>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</si>
  <si>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</si>
  <si>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</si>
  <si>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</si>
  <si>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</si>
  <si>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</si>
  <si>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</si>
  <si>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</si>
  <si>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否</t>
  </si>
  <si>
    <t>《不动产权证书》</t>
  </si>
  <si>
    <t>原件</t>
  </si>
  <si>
    <t>工业项目</t>
  </si>
  <si>
    <t>无</t>
  </si>
  <si>
    <t>现房</t>
  </si>
  <si>
    <t>通路</t>
  </si>
  <si>
    <t>通电</t>
  </si>
  <si>
    <t>通讯</t>
  </si>
  <si>
    <t>通上水</t>
  </si>
  <si>
    <t>通下水</t>
  </si>
  <si>
    <t>平整</t>
  </si>
  <si>
    <t>Ⅶ-亦1</t>
  </si>
  <si>
    <t>办公楼</t>
  </si>
  <si>
    <t>办公楼</t>
    <phoneticPr fontId="3" type="noConversion"/>
  </si>
  <si>
    <t>是</t>
  </si>
  <si>
    <t>再生水处理厂房</t>
    <phoneticPr fontId="3" type="noConversion"/>
  </si>
  <si>
    <t>地上</t>
  </si>
  <si>
    <t>标准厂房</t>
  </si>
  <si>
    <t>工业</t>
    <phoneticPr fontId="7" type="noConversion"/>
  </si>
  <si>
    <t>办公</t>
    <phoneticPr fontId="7" type="noConversion"/>
  </si>
  <si>
    <t>成新度</t>
  </si>
  <si>
    <t>利息：取LPR加浮动点数</t>
  </si>
  <si>
    <t>钢</t>
  </si>
  <si>
    <t>生产用房</t>
  </si>
  <si>
    <t>按租金收入计税</t>
  </si>
  <si>
    <t>押一</t>
  </si>
  <si>
    <t>收益法-办公</t>
  </si>
  <si>
    <t>收益法-办公</t>
    <phoneticPr fontId="16" type="noConversion"/>
  </si>
  <si>
    <t>收益法-厂房</t>
  </si>
  <si>
    <t>收益法-厂房</t>
    <phoneticPr fontId="16" type="noConversion"/>
  </si>
  <si>
    <t>成本法</t>
  </si>
  <si>
    <t>收益法（汇总）</t>
  </si>
  <si>
    <t>容积率修正</t>
  </si>
  <si>
    <t>宗地容积率</t>
  </si>
  <si>
    <t>与级别开发程度不一致</t>
  </si>
  <si>
    <t>按公示增长率计算</t>
  </si>
  <si>
    <t>工业用地</t>
  </si>
  <si>
    <t>较好</t>
  </si>
  <si>
    <t>一般</t>
  </si>
  <si>
    <t>较差</t>
  </si>
  <si>
    <t>未包含在土地购买价格中</t>
  </si>
  <si>
    <t>全部缴纳</t>
  </si>
  <si>
    <t>已包含在土地取得成本中</t>
  </si>
  <si>
    <t>总价</t>
  </si>
  <si>
    <t>成本比率</t>
  </si>
  <si>
    <t>建筑物价值</t>
  </si>
  <si>
    <t>土地面积</t>
  </si>
  <si>
    <t>建筑面积</t>
  </si>
  <si>
    <t>单价</t>
  </si>
  <si>
    <r>
      <t>2018</t>
    </r>
    <r>
      <rPr>
        <sz val="10"/>
        <color indexed="8"/>
        <rFont val="宋体"/>
        <family val="3"/>
        <charset val="134"/>
      </rPr>
      <t>年</t>
    </r>
    <phoneticPr fontId="8" type="noConversion"/>
  </si>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</sst>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49" fillId="20"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31</xdr:row>
      <xdr:rowOff>97541</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8067675" cy="5412491"/>
        </a:xfrm>
        <a:prstGeom prst="rect">
          <a:avLst/>
        </a:prstGeom>
      </xdr:spPr>
    </xdr:pic>
    <xdr:clientData/>
  </xdr:twoCellAnchor>
  <xdr:twoCellAnchor editAs="oneCell">
    <xdr:from>
      <xdr:col>0</xdr:col>
      <xdr:colOff>0</xdr:colOff>
      <xdr:row>32</xdr:row>
      <xdr:rowOff>0</xdr:rowOff>
    </xdr:from>
    <xdr:to>
      <xdr:col>14</xdr:col>
      <xdr:colOff>360705</xdr:colOff>
      <xdr:row>69</xdr:row>
      <xdr:rowOff>56350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486400"/>
          <a:ext cx="9961905" cy="6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56" customWidth="1"/>
    <col min="2" max="2" width="81" style="1373" customWidth="1"/>
    <col min="3" max="16384" width="9" style="1371"/>
  </cols>
  <sheetData>
    <row r="1" spans="1:2" s="1359" customFormat="1" ht="16.2" thickBot="1">
      <c r="A1" s="1358" t="s">
        <v>1186</v>
      </c>
      <c r="B1" s="1357" t="s">
        <v>1265</v>
      </c>
    </row>
    <row r="2" spans="1:2" s="1362" customFormat="1" ht="16.2"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郑燚（注册号：1120070131)、（注册号：0)</v>
      </c>
    </row>
    <row r="5" spans="1:2" s="1359" customFormat="1" ht="16.2" thickBot="1">
      <c r="A5" s="1366" t="s">
        <v>1190</v>
      </c>
      <c r="B5" s="1367" t="str">
        <f>'预评函-封皮'!B49</f>
        <v>康正预评字号</v>
      </c>
    </row>
    <row r="6" spans="1:2" s="1362" customFormat="1" ht="16.2"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估价对象为北京市房地产，为所有。根据《国有土地使用证》[]，估价对象（分摊）出让国有建设用地使用权面积为9053.6平方米，建筑面积为13846.8平方米。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估价对象为北京市房地产,属开发建设的工业项目，该项目尚在开发建设中。根据《国有土地使用证》[]，估价对象（分摊）出让国有建设用地使用权面积为9053.6平方米，规划建筑面积为13846.8平方米。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6.2" thickBot="1">
      <c r="A18" s="1366" t="s">
        <v>1199</v>
      </c>
      <c r="B18" s="1367" t="str">
        <f>'预评函-1'!A24</f>
        <v>本次评估采用的主估价方法为成本法和收益法。</v>
      </c>
    </row>
    <row r="19" spans="1:2" s="1362" customFormat="1" ht="16.2"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11972</v>
      </c>
    </row>
    <row r="21" spans="1:2" s="1365" customFormat="1">
      <c r="A21" s="1363" t="s">
        <v>1202</v>
      </c>
      <c r="B21" s="1364">
        <f ca="1">'预评函-2'!D7</f>
        <v>8646</v>
      </c>
    </row>
    <row r="22" spans="1:2" s="1365" customFormat="1">
      <c r="A22" s="1363" t="s">
        <v>1203</v>
      </c>
      <c r="B22" s="1364" t="str">
        <f ca="1">'预评函-2'!D6</f>
        <v>壹亿壹仟玖佰柒拾贰万元整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11972</v>
      </c>
    </row>
    <row r="31" spans="1:2" s="1365" customFormat="1">
      <c r="A31" s="1363" t="s">
        <v>1241</v>
      </c>
      <c r="B31" s="1364">
        <f ca="1">'预评函-2'!D15</f>
        <v>8646</v>
      </c>
    </row>
    <row r="32" spans="1:2" s="1365" customFormat="1">
      <c r="A32" s="1363" t="s">
        <v>1208</v>
      </c>
      <c r="B32" s="1364" t="str">
        <f ca="1">'预评函-2'!D14</f>
        <v>壹亿壹仟玖佰柒拾贰万元整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ht="31.2">
      <c r="A42" s="1363" t="s">
        <v>1255</v>
      </c>
      <c r="B42" s="1364" t="str">
        <f>'预评函-3'!B2</f>
        <v>建筑面积</v>
      </c>
    </row>
    <row r="43" spans="1:2" s="1365" customFormat="1">
      <c r="A43" s="1363" t="s">
        <v>1256</v>
      </c>
      <c r="B43" s="1364">
        <f>'预评函-3'!B4</f>
        <v>13846.800000000001</v>
      </c>
    </row>
    <row r="44" spans="1:2" s="1365" customFormat="1" ht="31.2">
      <c r="A44" s="1363" t="s">
        <v>1240</v>
      </c>
      <c r="B44" s="1364" t="str">
        <f>'预评函-3'!C2</f>
        <v>(分摊)土地面积</v>
      </c>
    </row>
    <row r="45" spans="1:2" s="1365" customFormat="1">
      <c r="A45" s="1363" t="s">
        <v>1212</v>
      </c>
      <c r="B45" s="1364">
        <f>'预评函-3'!C4</f>
        <v>9053.6</v>
      </c>
    </row>
    <row r="46" spans="1:2" s="1365" customFormat="1">
      <c r="A46" s="1363" t="s">
        <v>1238</v>
      </c>
      <c r="B46" s="1364" t="str">
        <f>'预评函-3'!D2</f>
        <v>出让国有建设用地使用权价值</v>
      </c>
    </row>
    <row r="47" spans="1:2" s="1365" customFormat="1">
      <c r="A47" s="1363" t="s">
        <v>1213</v>
      </c>
      <c r="B47" s="1364">
        <f ca="1">'预评函-3'!D4</f>
        <v>5591</v>
      </c>
    </row>
    <row r="48" spans="1:2" s="1365" customFormat="1">
      <c r="A48" s="1363" t="s">
        <v>1214</v>
      </c>
      <c r="B48" s="1364">
        <f ca="1">'预评函-3'!E4</f>
        <v>4038</v>
      </c>
    </row>
    <row r="49" spans="1:2" s="1365" customFormat="1">
      <c r="A49" s="1363" t="s">
        <v>1215</v>
      </c>
      <c r="B49" s="1364" t="str">
        <f ca="1">'预评函-3'!D5</f>
        <v>伍仟伍佰玖拾壹万元整</v>
      </c>
    </row>
    <row r="50" spans="1:2" s="1365" customFormat="1">
      <c r="A50" s="1363" t="s">
        <v>1239</v>
      </c>
      <c r="B50" s="1364" t="str">
        <f>'预评函-3'!F2</f>
        <v>建筑物价值</v>
      </c>
    </row>
    <row r="51" spans="1:2" s="1365" customFormat="1">
      <c r="A51" s="1363" t="s">
        <v>1216</v>
      </c>
      <c r="B51" s="1364">
        <f ca="1">'预评函-3'!F4</f>
        <v>6381</v>
      </c>
    </row>
    <row r="52" spans="1:2" s="1365" customFormat="1">
      <c r="A52" s="1363" t="s">
        <v>1217</v>
      </c>
      <c r="B52" s="1364">
        <f ca="1">'预评函-3'!G4</f>
        <v>4608</v>
      </c>
    </row>
    <row r="53" spans="1:2" s="1365" customFormat="1">
      <c r="A53" s="1363" t="s">
        <v>1245</v>
      </c>
      <c r="B53" s="1364" t="str">
        <f ca="1">'预评函-3'!F5</f>
        <v>陆仟叁佰捌拾壹万元整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6.2" thickBot="1">
      <c r="A57" s="1366" t="s">
        <v>1264</v>
      </c>
      <c r="B57" s="1367" t="str">
        <f>'预评函-3'!A6</f>
        <v>估价师知悉的法定优先受偿款</v>
      </c>
    </row>
    <row r="58" spans="1:2" s="1362" customFormat="1" ht="16.2"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6.2" thickBot="1">
      <c r="A69" s="1366" t="s">
        <v>1226</v>
      </c>
      <c r="B69" s="1368">
        <f>'预评函-4'!C31</f>
        <v>42551</v>
      </c>
    </row>
    <row r="70" spans="1:2" ht="16.2" thickTop="1">
      <c r="A70" s="1369" t="s">
        <v>1227</v>
      </c>
      <c r="B70" s="1370" t="str">
        <f>'预评函-4'!A4</f>
        <v>郑燚</v>
      </c>
    </row>
    <row r="71" spans="1:2">
      <c r="A71" s="1363" t="s">
        <v>1228</v>
      </c>
      <c r="B71" s="1364">
        <f ca="1">'预评函-4'!B4</f>
        <v>1120070131</v>
      </c>
    </row>
    <row r="72" spans="1:2">
      <c r="A72" s="1363" t="s">
        <v>1229</v>
      </c>
      <c r="B72" s="1372">
        <f>'预评函-4'!A5</f>
        <v>0</v>
      </c>
    </row>
    <row r="73" spans="1:2" s="1359" customFormat="1" ht="16.2" thickBot="1">
      <c r="A73" s="1366" t="s">
        <v>1230</v>
      </c>
      <c r="B73" s="1367">
        <f>'预评函-4'!B5</f>
        <v>0</v>
      </c>
    </row>
    <row r="74" spans="1:2" ht="16.2"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C11" sqref="C11"/>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4" t="s">
        <v>3090</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3030</v>
      </c>
      <c r="C17" s="1732"/>
    </row>
    <row r="18" spans="1:3">
      <c r="A18" s="1731" t="s">
        <v>1731</v>
      </c>
      <c r="B18" s="1731" t="s">
        <v>3088</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8"/>
      <c r="B54" s="1739" t="s">
        <v>832</v>
      </c>
      <c r="C54" s="1736" t="s">
        <v>1248</v>
      </c>
    </row>
    <row r="55" spans="1:4">
      <c r="A55" s="3118"/>
      <c r="B55" s="1739" t="s">
        <v>833</v>
      </c>
      <c r="C55" s="1736" t="s">
        <v>1249</v>
      </c>
    </row>
    <row r="56" spans="1:4">
      <c r="A56" s="3118"/>
      <c r="B56" s="1739" t="s">
        <v>834</v>
      </c>
      <c r="C56" s="1736" t="s">
        <v>1253</v>
      </c>
    </row>
    <row r="57" spans="1:4">
      <c r="A57" s="311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6" zoomScaleNormal="100" zoomScaleSheetLayoutView="100" workbookViewId="0">
      <selection activeCell="C4" sqref="C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2907</v>
      </c>
      <c r="B1" s="3127" t="str">
        <f>IF(B10="北京市","北京市",C10)&amp;F10&amp;IF(结果表!G1="在建","出让国有建设用地使用权及在建建筑物",IF(结果表!G1="土地","出让国有建设用地使用权",))&amp;B9&amp;"预评估"</f>
        <v>北京市房地产抵押价值预评估</v>
      </c>
      <c r="C1" s="3128"/>
      <c r="D1" s="3128"/>
      <c r="E1" s="3128"/>
      <c r="F1" s="3128"/>
      <c r="G1" s="3128"/>
      <c r="H1" s="3128"/>
      <c r="I1" s="3129"/>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2908</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2909</v>
      </c>
      <c r="B3" s="2597">
        <v>44385</v>
      </c>
      <c r="C3" s="2598" t="s">
        <v>2910</v>
      </c>
      <c r="D3" s="2597">
        <f>B3</f>
        <v>44385</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8" thickBot="1">
      <c r="A4" s="1250" t="s">
        <v>2911</v>
      </c>
      <c r="B4" s="2599" t="s">
        <v>3111</v>
      </c>
      <c r="C4" s="2600">
        <f ca="1">SUMIF(注册房地产估价师,B4,估价师及机构信息!B3:B24)</f>
        <v>1120070131</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 ca="1">CONCATENATE(B4,"（注册号：",C4,")、",D4,"（注册号：",E4,")")</f>
        <v>郑燚（注册号：1120070131)、（注册号：0)</v>
      </c>
      <c r="L4" s="2593"/>
      <c r="M4" s="2593"/>
      <c r="N4" s="2594"/>
      <c r="O4" s="1761"/>
      <c r="P4" s="2594"/>
      <c r="Q4" s="2594"/>
      <c r="R4" s="2594"/>
      <c r="S4" s="1868"/>
      <c r="T4" s="1931"/>
      <c r="U4" s="1931"/>
      <c r="V4" s="1931"/>
      <c r="W4" s="1931"/>
      <c r="X4" s="1931"/>
      <c r="Y4" s="1931"/>
      <c r="Z4" s="1931"/>
      <c r="AA4" s="1931"/>
      <c r="AB4" s="1931"/>
    </row>
    <row r="5" spans="1:28" ht="13.8" thickTop="1">
      <c r="A5" s="2603" t="s">
        <v>2912</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2913</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2914</v>
      </c>
      <c r="B7" s="2611"/>
      <c r="C7" s="2609"/>
      <c r="D7" s="2610"/>
      <c r="E7" s="2889"/>
      <c r="F7" s="2891"/>
      <c r="G7" s="2891"/>
      <c r="H7" s="2891"/>
      <c r="I7" s="2891"/>
      <c r="J7" s="2665"/>
      <c r="K7" s="2842"/>
      <c r="L7" s="2839"/>
      <c r="M7" s="2839"/>
      <c r="N7" s="2665"/>
      <c r="O7" s="2676"/>
      <c r="P7" s="2665"/>
      <c r="Q7" s="2665"/>
      <c r="R7" s="2665"/>
    </row>
    <row r="8" spans="1:28">
      <c r="A8" s="2612" t="s">
        <v>2915</v>
      </c>
      <c r="B8" s="2613" t="s">
        <v>3055</v>
      </c>
      <c r="C8" s="2614"/>
      <c r="D8" s="3130" t="s">
        <v>2916</v>
      </c>
      <c r="E8" s="2615" t="s">
        <v>3056</v>
      </c>
      <c r="F8" s="2616"/>
      <c r="G8" s="2890"/>
      <c r="H8" s="2890"/>
      <c r="I8" s="2890"/>
      <c r="J8" s="2665"/>
      <c r="K8" s="2840"/>
      <c r="L8" s="2839"/>
      <c r="M8" s="2839"/>
      <c r="N8" s="2665"/>
      <c r="O8" s="2676"/>
      <c r="P8" s="2665"/>
      <c r="Q8" s="2665"/>
      <c r="R8" s="2665"/>
    </row>
    <row r="9" spans="1:28" ht="13.8" thickBot="1">
      <c r="A9" s="2617" t="s">
        <v>2917</v>
      </c>
      <c r="B9" s="2618" t="s">
        <v>3056</v>
      </c>
      <c r="C9" s="2619"/>
      <c r="D9" s="3131"/>
      <c r="E9" s="2618"/>
      <c r="F9" s="2620"/>
      <c r="G9" s="2892"/>
      <c r="H9" s="2892"/>
      <c r="I9" s="2892"/>
      <c r="J9" s="2665"/>
      <c r="K9" s="2842"/>
      <c r="L9" s="2839"/>
      <c r="M9" s="2839"/>
      <c r="N9" s="2665"/>
      <c r="O9" s="2676"/>
      <c r="P9" s="2665"/>
      <c r="Q9" s="2665"/>
      <c r="R9" s="2665"/>
    </row>
    <row r="10" spans="1:28" ht="13.8" thickTop="1">
      <c r="A10" s="2621" t="s">
        <v>2918</v>
      </c>
      <c r="B10" s="2622" t="s">
        <v>3057</v>
      </c>
      <c r="C10" s="2623"/>
      <c r="D10" s="2606"/>
      <c r="E10" s="2624" t="s">
        <v>2919</v>
      </c>
      <c r="F10" s="2893"/>
      <c r="G10" s="2894"/>
      <c r="H10" s="2895"/>
      <c r="I10" s="2896"/>
      <c r="J10" s="2665"/>
      <c r="K10" s="2842"/>
      <c r="L10" s="2839"/>
      <c r="M10" s="2839"/>
      <c r="N10" s="2665"/>
      <c r="O10" s="2676"/>
      <c r="P10" s="2665"/>
      <c r="Q10" s="2665"/>
      <c r="R10" s="2665"/>
    </row>
    <row r="11" spans="1:28">
      <c r="A11" s="2625" t="s">
        <v>2920</v>
      </c>
      <c r="B11" s="2626" t="s">
        <v>3058</v>
      </c>
      <c r="C11" s="2627"/>
      <c r="D11" s="2628"/>
      <c r="E11" s="2594"/>
      <c r="F11" s="2594"/>
      <c r="G11" s="2594"/>
      <c r="H11" s="2594"/>
      <c r="I11" s="2594"/>
      <c r="J11" s="2665"/>
      <c r="K11" s="2842"/>
      <c r="L11" s="2839"/>
      <c r="M11" s="2839"/>
      <c r="N11" s="2665"/>
      <c r="O11" s="2676"/>
      <c r="P11" s="2665"/>
      <c r="Q11" s="2665"/>
      <c r="R11" s="2665"/>
    </row>
    <row r="12" spans="1:28">
      <c r="A12" s="2629" t="s">
        <v>2921</v>
      </c>
      <c r="B12" s="2626" t="s">
        <v>3059</v>
      </c>
      <c r="C12" s="329" t="s">
        <v>2922</v>
      </c>
      <c r="D12" s="2630" t="s">
        <v>2923</v>
      </c>
      <c r="E12" s="2630" t="s">
        <v>2924</v>
      </c>
      <c r="F12" s="2630" t="s">
        <v>2925</v>
      </c>
      <c r="G12" s="2630" t="s">
        <v>2926</v>
      </c>
      <c r="H12" s="2630" t="s">
        <v>2927</v>
      </c>
      <c r="I12" s="2630" t="s">
        <v>2928</v>
      </c>
      <c r="J12" s="2665"/>
      <c r="K12" s="2842"/>
      <c r="L12" s="2839"/>
      <c r="M12" s="2839"/>
      <c r="N12" s="2665"/>
      <c r="O12" s="2676"/>
      <c r="P12" s="2665"/>
      <c r="Q12" s="2665"/>
      <c r="R12" s="2665"/>
    </row>
    <row r="13" spans="1:28">
      <c r="A13" s="1241"/>
      <c r="B13" s="2631"/>
      <c r="C13" s="2632" t="s">
        <v>2929</v>
      </c>
      <c r="D13" s="965"/>
      <c r="E13" s="965"/>
      <c r="F13" s="965"/>
      <c r="G13" s="965"/>
      <c r="H13" s="965"/>
      <c r="I13" s="965">
        <v>59724</v>
      </c>
      <c r="J13" s="2665"/>
      <c r="K13" s="2842"/>
      <c r="L13" s="2839"/>
      <c r="M13" s="2839"/>
      <c r="N13" s="2665"/>
      <c r="O13" s="2676"/>
      <c r="P13" s="2665"/>
      <c r="Q13" s="2665"/>
      <c r="R13" s="2665"/>
    </row>
    <row r="14" spans="1:28">
      <c r="A14" s="1241"/>
      <c r="B14" s="2631"/>
      <c r="C14" s="2632" t="s">
        <v>2930</v>
      </c>
      <c r="D14" s="2633"/>
      <c r="E14" s="2633"/>
      <c r="F14" s="2633"/>
      <c r="G14" s="2633"/>
      <c r="H14" s="2633"/>
      <c r="I14" s="2633">
        <v>50</v>
      </c>
      <c r="J14" s="2665"/>
      <c r="K14" s="2843"/>
      <c r="L14" s="2839"/>
      <c r="M14" s="2839"/>
      <c r="N14" s="2665"/>
      <c r="O14" s="2676"/>
      <c r="P14" s="2665"/>
      <c r="Q14" s="2665"/>
      <c r="R14" s="2665"/>
    </row>
    <row r="15" spans="1:28">
      <c r="A15" s="326"/>
      <c r="B15" s="2634"/>
      <c r="C15" s="2635" t="s">
        <v>2931</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42.02</v>
      </c>
      <c r="J15" s="2665"/>
      <c r="K15" s="2844"/>
      <c r="L15" s="2677"/>
      <c r="M15" s="2677"/>
      <c r="N15" s="2735"/>
      <c r="O15" s="2677"/>
      <c r="P15" s="2735"/>
      <c r="Q15" s="2665"/>
      <c r="R15" s="2665"/>
    </row>
    <row r="16" spans="1:28">
      <c r="A16" s="2624" t="s">
        <v>2932</v>
      </c>
      <c r="B16" s="3137"/>
      <c r="C16" s="3138"/>
      <c r="D16" s="3139"/>
      <c r="E16" s="2639" t="s">
        <v>2933</v>
      </c>
      <c r="F16" s="3140"/>
      <c r="G16" s="3141"/>
      <c r="H16" s="3141"/>
      <c r="I16" s="3142"/>
      <c r="J16" s="2665"/>
      <c r="K16" s="2844"/>
      <c r="L16" s="2677"/>
      <c r="M16" s="2677"/>
      <c r="N16" s="2735"/>
      <c r="O16" s="2677"/>
      <c r="P16" s="2735"/>
      <c r="Q16" s="2665"/>
      <c r="R16" s="2665"/>
    </row>
    <row r="17" spans="1:28">
      <c r="A17" s="319" t="s">
        <v>2934</v>
      </c>
      <c r="B17" s="308" t="s">
        <v>2935</v>
      </c>
      <c r="C17" s="11">
        <f>'数据-汇总表'!E3</f>
        <v>13846.800000000001</v>
      </c>
      <c r="D17" s="2545" t="s">
        <v>2936</v>
      </c>
      <c r="E17" s="3143" t="s">
        <v>2937</v>
      </c>
      <c r="F17" s="3144"/>
      <c r="G17" s="3144"/>
      <c r="H17" s="3144"/>
      <c r="I17" s="3145"/>
      <c r="J17" s="2665"/>
      <c r="K17" s="2845"/>
      <c r="L17" s="2677"/>
      <c r="M17" s="2677"/>
      <c r="N17" s="2735"/>
      <c r="O17" s="2677"/>
      <c r="P17" s="2735"/>
      <c r="Q17" s="2665"/>
      <c r="R17" s="2665"/>
      <c r="S17" s="2665"/>
      <c r="T17" s="2665"/>
      <c r="U17" s="2665"/>
      <c r="V17" s="2665"/>
    </row>
    <row r="18" spans="1:28" ht="24.6" thickBot="1">
      <c r="A18" s="2640" t="s">
        <v>2938</v>
      </c>
      <c r="B18" s="1250" t="s">
        <v>2939</v>
      </c>
      <c r="C18" s="2641">
        <f>'数据-汇总表'!D3</f>
        <v>9053.6</v>
      </c>
      <c r="D18" s="1252" t="s">
        <v>2940</v>
      </c>
      <c r="E18" s="3146" t="s">
        <v>2941</v>
      </c>
      <c r="F18" s="3147"/>
      <c r="G18" s="3147"/>
      <c r="H18" s="3147"/>
      <c r="I18" s="3148"/>
      <c r="J18" s="2665"/>
      <c r="K18" s="2845"/>
      <c r="L18" s="2677"/>
      <c r="M18" s="2677"/>
      <c r="N18" s="2735"/>
      <c r="O18" s="2677"/>
      <c r="P18" s="2735"/>
      <c r="Q18" s="2665"/>
      <c r="R18" s="2665"/>
      <c r="S18" s="2665"/>
      <c r="T18" s="2665"/>
      <c r="U18" s="2665"/>
      <c r="V18" s="2665"/>
    </row>
    <row r="19" spans="1:28" ht="37.200000000000003" thickTop="1" thickBot="1">
      <c r="A19" s="333" t="s">
        <v>1740</v>
      </c>
      <c r="B19" s="313" t="s">
        <v>2942</v>
      </c>
      <c r="C19" s="1748" t="s">
        <v>3060</v>
      </c>
      <c r="D19" s="1749" t="s">
        <v>2943</v>
      </c>
      <c r="E19" s="1750" t="s">
        <v>70</v>
      </c>
      <c r="F19" s="1751" t="str">
        <f>IF(AND(C19="是",E19="否"),"是否提供他项权证或相关说明","")</f>
        <v/>
      </c>
      <c r="G19" s="1752" t="s">
        <v>70</v>
      </c>
      <c r="H19" s="2891"/>
      <c r="I19" s="2891"/>
      <c r="J19" s="2665"/>
      <c r="K19" s="2842"/>
      <c r="L19" s="2839"/>
      <c r="M19" s="2839"/>
      <c r="N19" s="2735"/>
      <c r="O19" s="2677"/>
      <c r="P19" s="2735"/>
      <c r="Q19" s="2665"/>
      <c r="R19" s="2665"/>
      <c r="S19" s="2665"/>
      <c r="T19" s="2665"/>
      <c r="U19" s="2665"/>
      <c r="V19" s="2665"/>
    </row>
    <row r="20" spans="1:28">
      <c r="A20" s="2859" t="s">
        <v>2944</v>
      </c>
      <c r="B20" s="3133" t="s">
        <v>2945</v>
      </c>
      <c r="C20" s="3134"/>
      <c r="D20" s="3135" t="s">
        <v>2946</v>
      </c>
      <c r="E20" s="3136"/>
      <c r="F20" s="2874" t="s">
        <v>1741</v>
      </c>
      <c r="G20" s="2891"/>
      <c r="H20" s="2891"/>
      <c r="I20" s="2891"/>
      <c r="J20" s="2665"/>
      <c r="K20" s="3132" t="s">
        <v>2947</v>
      </c>
      <c r="L20" s="693"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36.6" thickBot="1">
      <c r="A21" s="2859"/>
      <c r="B21" s="2860" t="s">
        <v>3061</v>
      </c>
      <c r="C21" s="2861" t="s">
        <v>3062</v>
      </c>
      <c r="D21" s="1753" t="s">
        <v>2948</v>
      </c>
      <c r="E21" s="2862" t="s">
        <v>70</v>
      </c>
      <c r="F21" s="2875"/>
      <c r="G21" s="2891"/>
      <c r="H21" s="2891"/>
      <c r="I21" s="2891"/>
      <c r="J21" s="2665"/>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8"/>
      <c r="O21" s="2637"/>
      <c r="P21" s="2638"/>
      <c r="Q21" s="2594"/>
      <c r="R21" s="2594"/>
      <c r="S21" s="2594"/>
      <c r="T21" s="2594"/>
      <c r="U21" s="2594"/>
      <c r="V21" s="2594"/>
      <c r="W21" s="1931"/>
      <c r="X21" s="1931"/>
      <c r="Y21" s="1931"/>
      <c r="Z21" s="1931"/>
      <c r="AA21" s="1931"/>
      <c r="AB21" s="1931"/>
    </row>
    <row r="22" spans="1:28" ht="13.8" thickBot="1">
      <c r="A22" s="2859"/>
      <c r="B22" s="2863" t="s">
        <v>70</v>
      </c>
      <c r="C22" s="2861"/>
      <c r="D22" s="2890"/>
      <c r="E22" s="2890"/>
      <c r="F22" s="2890"/>
      <c r="G22" s="2891"/>
      <c r="H22" s="2891"/>
      <c r="I22" s="2891"/>
      <c r="J22" s="2665"/>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2949</v>
      </c>
      <c r="B23" s="2728" t="s">
        <v>2950</v>
      </c>
      <c r="C23" s="2865"/>
      <c r="D23" s="2866" t="s">
        <v>2950</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1742</v>
      </c>
      <c r="C24" s="2868"/>
      <c r="D24" s="2864" t="s">
        <v>1742</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1743</v>
      </c>
      <c r="C25" s="2868"/>
      <c r="D25" s="2864" t="s">
        <v>1743</v>
      </c>
      <c r="E25" s="2869"/>
      <c r="F25" s="2890"/>
      <c r="G25" s="2891"/>
      <c r="H25" s="2891"/>
      <c r="I25" s="2891"/>
      <c r="J25" s="2665"/>
      <c r="K25" s="2842"/>
      <c r="L25" s="2839"/>
      <c r="M25" s="2839"/>
      <c r="N25" s="2735"/>
      <c r="O25" s="2677"/>
      <c r="P25" s="2735"/>
      <c r="Q25" s="2665"/>
      <c r="R25" s="2665"/>
      <c r="S25" s="2665"/>
      <c r="T25" s="2665"/>
      <c r="U25" s="2665"/>
      <c r="V25" s="2665"/>
    </row>
    <row r="26" spans="1:28" ht="13.8" thickBot="1">
      <c r="A26" s="2870"/>
      <c r="B26" s="2871" t="s">
        <v>1744</v>
      </c>
      <c r="C26" s="2872"/>
      <c r="D26" s="2870" t="s">
        <v>1744</v>
      </c>
      <c r="E26" s="2873"/>
      <c r="F26" s="2892"/>
      <c r="G26" s="2892"/>
      <c r="H26" s="2892"/>
      <c r="I26" s="2892"/>
      <c r="J26" s="2665"/>
      <c r="K26" s="2842"/>
      <c r="L26" s="2839"/>
      <c r="M26" s="2839"/>
      <c r="N26" s="2735"/>
      <c r="O26" s="2677"/>
      <c r="P26" s="2735"/>
      <c r="Q26" s="2665"/>
      <c r="R26" s="2665"/>
      <c r="S26" s="2665"/>
      <c r="T26" s="2665"/>
      <c r="U26" s="2665"/>
      <c r="V26" s="2665"/>
    </row>
    <row r="27" spans="1:28" ht="13.8" thickTop="1">
      <c r="A27" s="3120" t="s">
        <v>2951</v>
      </c>
      <c r="B27" s="326" t="s">
        <v>2952</v>
      </c>
      <c r="C27" s="2642" t="s">
        <v>3063</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0"/>
      <c r="B28" s="308" t="s">
        <v>2953</v>
      </c>
      <c r="C28" s="2644" t="s">
        <v>3064</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0"/>
      <c r="B29" s="308" t="s">
        <v>2954</v>
      </c>
      <c r="C29" s="2646" t="s">
        <v>3060</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1"/>
      <c r="B30" s="308" t="s">
        <v>2955</v>
      </c>
      <c r="C30" s="3122"/>
      <c r="D30" s="3123"/>
      <c r="E30" s="2891"/>
      <c r="F30" s="2891"/>
      <c r="G30" s="2891"/>
      <c r="H30" s="2891"/>
      <c r="I30" s="2891"/>
      <c r="J30" s="2665"/>
      <c r="K30" s="2842"/>
      <c r="L30" s="2839"/>
      <c r="M30" s="2839"/>
      <c r="N30" s="2665"/>
      <c r="O30" s="2676"/>
      <c r="P30" s="2665"/>
      <c r="Q30" s="2665"/>
      <c r="R30" s="2665"/>
      <c r="S30" s="2665"/>
      <c r="T30" s="2665"/>
      <c r="U30" s="2665"/>
      <c r="V30" s="2665"/>
    </row>
    <row r="31" spans="1:28">
      <c r="A31" s="3124" t="s">
        <v>2956</v>
      </c>
      <c r="B31" s="2648" t="s">
        <v>3065</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25"/>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25"/>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2957</v>
      </c>
      <c r="B34" s="2214" t="s">
        <v>3066</v>
      </c>
      <c r="C34" s="2214" t="s">
        <v>3067</v>
      </c>
      <c r="D34" s="2214" t="s">
        <v>3068</v>
      </c>
      <c r="E34" s="2214" t="s">
        <v>3069</v>
      </c>
      <c r="F34" s="2214" t="s">
        <v>3070</v>
      </c>
      <c r="G34" s="2214" t="s">
        <v>3071</v>
      </c>
      <c r="H34" s="2214"/>
      <c r="I34" s="2891"/>
      <c r="J34" s="2665"/>
      <c r="K34" s="2653">
        <f>COUNTIF(B34:H34,"——")</f>
        <v>0</v>
      </c>
      <c r="L34" s="329" t="s">
        <v>2958</v>
      </c>
      <c r="M34" s="329" t="s">
        <v>2959</v>
      </c>
      <c r="N34" s="329" t="s">
        <v>2960</v>
      </c>
      <c r="O34" s="329" t="s">
        <v>2961</v>
      </c>
      <c r="P34" s="329" t="s">
        <v>2962</v>
      </c>
      <c r="Q34" s="329" t="s">
        <v>2963</v>
      </c>
      <c r="R34" s="329" t="s">
        <v>2964</v>
      </c>
      <c r="S34" s="3119" t="s">
        <v>2965</v>
      </c>
      <c r="T34" s="2654" t="str">
        <f>NUMBERSTRING(7-K34,1)&amp;"通"</f>
        <v>七通</v>
      </c>
      <c r="U34" s="2665"/>
      <c r="V34" s="2665"/>
    </row>
    <row r="35" spans="1:30">
      <c r="A35" s="2655"/>
      <c r="B35" s="3126" t="s">
        <v>2966</v>
      </c>
      <c r="C35" s="3126"/>
      <c r="D35" s="3126"/>
      <c r="E35" s="3126"/>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19"/>
      <c r="T35" s="335" t="str">
        <f>IF(T34="一通",L35,IF(T34="二通",M35,IF(T34="三通",N35,IF(T34="四通",O35,IF(T34="五通",P35,IF(T34="六通",Q35,R35))))))</f>
        <v>通路、通电、通讯、通上水、通下水、平整、</v>
      </c>
      <c r="U35" s="2665"/>
      <c r="V35" s="2665"/>
    </row>
    <row r="36" spans="1:30">
      <c r="A36" s="2656"/>
      <c r="B36" s="673" t="s">
        <v>2924</v>
      </c>
      <c r="C36" s="673" t="s">
        <v>2925</v>
      </c>
      <c r="D36" s="673" t="s">
        <v>2923</v>
      </c>
      <c r="E36" s="673" t="s">
        <v>2928</v>
      </c>
      <c r="F36" s="2897"/>
      <c r="G36" s="2891"/>
      <c r="H36" s="2891"/>
      <c r="I36" s="2891"/>
      <c r="J36" s="2665"/>
      <c r="K36" s="2842"/>
      <c r="L36" s="2839"/>
      <c r="M36" s="2839"/>
      <c r="N36" s="2665"/>
      <c r="O36" s="2676"/>
      <c r="P36" s="2665"/>
      <c r="Q36" s="2665"/>
      <c r="R36" s="2665"/>
      <c r="S36" s="2665"/>
      <c r="T36" s="2665"/>
      <c r="U36" s="2665"/>
      <c r="V36" s="2665"/>
    </row>
    <row r="37" spans="1:30">
      <c r="A37" s="2857" t="s">
        <v>2967</v>
      </c>
      <c r="B37" s="2657"/>
      <c r="C37" s="2657"/>
      <c r="D37" s="2657"/>
      <c r="E37" s="2657" t="s">
        <v>526</v>
      </c>
      <c r="F37" s="2897"/>
      <c r="G37" s="2891"/>
      <c r="H37" s="2891"/>
      <c r="I37" s="2891"/>
      <c r="J37" s="2665"/>
      <c r="K37" s="2842"/>
      <c r="L37" s="2839"/>
      <c r="M37" s="2839"/>
      <c r="N37" s="2665"/>
      <c r="O37" s="2676"/>
      <c r="P37" s="2665"/>
      <c r="Q37" s="2665"/>
      <c r="R37" s="2665"/>
      <c r="S37" s="2665"/>
      <c r="T37" s="2665"/>
      <c r="U37" s="2665"/>
      <c r="V37" s="2665"/>
    </row>
    <row r="38" spans="1:30" ht="13.8" thickBot="1">
      <c r="A38" s="2858" t="s">
        <v>2968</v>
      </c>
      <c r="B38" s="2658"/>
      <c r="C38" s="2658"/>
      <c r="D38" s="2658"/>
      <c r="E38" s="2658" t="s">
        <v>3072</v>
      </c>
      <c r="F38" s="2898"/>
      <c r="G38" s="2892"/>
      <c r="H38" s="2892"/>
      <c r="I38" s="2892"/>
      <c r="J38" s="2665"/>
      <c r="K38" s="2842"/>
      <c r="L38" s="2839"/>
      <c r="M38" s="2839"/>
      <c r="N38" s="2665"/>
      <c r="O38" s="2676"/>
      <c r="P38" s="2665"/>
      <c r="Q38" s="2665"/>
      <c r="R38" s="2665"/>
      <c r="S38" s="2665"/>
      <c r="T38" s="2665"/>
      <c r="U38" s="2665"/>
      <c r="V38" s="2665"/>
    </row>
    <row r="39" spans="1:30" s="2661" customFormat="1" ht="14.4" thickTop="1" thickBot="1">
      <c r="A39" s="2659" t="s">
        <v>2969</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2970</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2">
      <c r="A42" s="329" t="s">
        <v>2971</v>
      </c>
      <c r="B42" s="11" t="s">
        <v>2972</v>
      </c>
      <c r="C42" s="11" t="s">
        <v>2973</v>
      </c>
      <c r="D42" s="11" t="s">
        <v>2974</v>
      </c>
      <c r="E42" s="11" t="s">
        <v>2975</v>
      </c>
      <c r="F42" s="11" t="s">
        <v>2976</v>
      </c>
      <c r="G42" s="11" t="s">
        <v>2977</v>
      </c>
      <c r="H42" s="11" t="s">
        <v>2978</v>
      </c>
      <c r="I42" s="11" t="s">
        <v>2979</v>
      </c>
      <c r="J42" s="2853" t="s">
        <v>2980</v>
      </c>
      <c r="K42" s="2854" t="s">
        <v>2981</v>
      </c>
      <c r="L42" s="2854" t="s">
        <v>2982</v>
      </c>
      <c r="M42" s="2854" t="s">
        <v>2983</v>
      </c>
      <c r="N42" s="2847" t="s">
        <v>2984</v>
      </c>
      <c r="O42" s="2847" t="s">
        <v>2985</v>
      </c>
      <c r="P42" s="2847" t="s">
        <v>2986</v>
      </c>
      <c r="Q42" s="2848" t="s">
        <v>2987</v>
      </c>
      <c r="R42" s="2848" t="s">
        <v>2988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1" sqref="K11"/>
    </sheetView>
  </sheetViews>
  <sheetFormatPr defaultColWidth="8.88671875" defaultRowHeight="13.8"/>
  <cols>
    <col min="1" max="1" width="10.6640625" style="1758" customWidth="1"/>
    <col min="2" max="2" width="11" style="1758" customWidth="1"/>
    <col min="3" max="3" width="12.66406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customWidth="1"/>
    <col min="15" max="15" width="9.88671875" style="1758" customWidth="1"/>
    <col min="16" max="16" width="9.77734375" style="1758" customWidth="1"/>
    <col min="17" max="17" width="9.33203125" style="1758" customWidth="1"/>
    <col min="18" max="18" width="9.21875" style="1758" customWidth="1"/>
    <col min="19" max="19" width="10.88671875" style="1758" customWidth="1"/>
    <col min="20" max="21" width="10.77734375" style="1758" customWidth="1"/>
    <col min="22" max="22" width="10.88671875" style="1758" customWidth="1"/>
    <col min="23" max="27" width="10.77734375" style="1758" customWidth="1"/>
    <col min="28" max="28" width="10.88671875" style="1758"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1745</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1746</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1747</v>
      </c>
      <c r="B2" s="11" t="s">
        <v>1748</v>
      </c>
      <c r="C2" s="11" t="s">
        <v>1749</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1750</v>
      </c>
      <c r="AZ2" s="1180" t="s">
        <v>1751</v>
      </c>
      <c r="BA2" s="11" t="s">
        <v>1752</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9053.6</v>
      </c>
      <c r="B3" s="14">
        <f>IF(C3="否",G5-AT5,G5)</f>
        <v>13846.800000000001</v>
      </c>
      <c r="C3" s="1765" t="s">
        <v>1753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1754</v>
      </c>
      <c r="B5" s="1531"/>
      <c r="C5" s="1531"/>
      <c r="D5" s="1533"/>
      <c r="E5" s="16" t="s">
        <v>1</v>
      </c>
      <c r="F5" s="16">
        <f>SUM(F13:F587)</f>
        <v>0</v>
      </c>
      <c r="G5" s="16">
        <f>SUM(G13:G587)</f>
        <v>13846.800000000001</v>
      </c>
      <c r="H5" s="16">
        <f t="shared" ref="H5:AT5" si="0">SUM(H13:H656)</f>
        <v>13846.800000000001</v>
      </c>
      <c r="I5" s="16">
        <f t="shared" si="0"/>
        <v>10013.540000000001</v>
      </c>
      <c r="J5" s="16">
        <f t="shared" si="0"/>
        <v>0</v>
      </c>
      <c r="K5" s="16">
        <f t="shared" si="0"/>
        <v>3833.26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1754</v>
      </c>
      <c r="AW5" s="1531"/>
      <c r="AX5" s="1531"/>
      <c r="AY5" s="17" t="s">
        <v>3</v>
      </c>
      <c r="AZ5" s="18">
        <f t="shared" ref="AZ5:BT5" si="1">SUM(AZ13:AZ656)</f>
        <v>13846.800000000001</v>
      </c>
      <c r="BA5" s="18">
        <f t="shared" si="1"/>
        <v>13846.800000000001</v>
      </c>
      <c r="BB5" s="18">
        <f t="shared" si="1"/>
        <v>10013.540000000001</v>
      </c>
      <c r="BC5" s="18">
        <f t="shared" si="1"/>
        <v>3833.26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1755</v>
      </c>
      <c r="B6" s="1771"/>
      <c r="C6" s="1771"/>
      <c r="D6" s="1772"/>
      <c r="E6" s="16">
        <f>H6+AC6+AT6</f>
        <v>9053.6</v>
      </c>
      <c r="F6" s="16" t="s">
        <v>1</v>
      </c>
      <c r="G6" s="16" t="s">
        <v>2</v>
      </c>
      <c r="H6" s="20">
        <f>SUMIF(I$12:AB$12,"总值",I6:AB6)</f>
        <v>9053.6</v>
      </c>
      <c r="I6" s="16">
        <f t="shared" ref="I6:AB6" si="2">ROUND($A$3*I5/$B$3,2)</f>
        <v>6547.26</v>
      </c>
      <c r="J6" s="16">
        <f t="shared" si="2"/>
        <v>0</v>
      </c>
      <c r="K6" s="16">
        <f t="shared" si="2"/>
        <v>2506.34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1755</v>
      </c>
      <c r="AW6" s="1771"/>
      <c r="AX6" s="1771"/>
      <c r="AY6" s="21">
        <f>IF(AY3&gt;0,AY3,ROUND($A$3*AZ5/$B$3,2))</f>
        <v>9053.6</v>
      </c>
      <c r="AZ6" s="16" t="s">
        <v>3</v>
      </c>
      <c r="BA6" s="16">
        <f>ROUND($AY$6*BA5/$AZ$5,2)</f>
        <v>9053.6</v>
      </c>
      <c r="BB6" s="16">
        <f>ROUND($AY$6*BB5/$AZ$5,2)</f>
        <v>6547.26</v>
      </c>
      <c r="BC6" s="16">
        <f t="shared" ref="BC6:BH6" si="4">ROUND($AY$6*BC5/$AZ$5,2)</f>
        <v>2506.34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1756</v>
      </c>
      <c r="B7" s="1754" t="s">
        <v>1757</v>
      </c>
      <c r="C7" s="1754" t="s">
        <v>1758</v>
      </c>
      <c r="D7" s="1754" t="s">
        <v>1759</v>
      </c>
      <c r="E7" s="1754" t="s">
        <v>1760</v>
      </c>
      <c r="F7" s="1754" t="s">
        <v>1761</v>
      </c>
      <c r="G7" s="1775" t="s">
        <v>1762</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1763</v>
      </c>
      <c r="AV7" s="23" t="s">
        <v>1764</v>
      </c>
      <c r="AW7" s="1763" t="s">
        <v>1765</v>
      </c>
      <c r="AX7" s="23" t="s">
        <v>1758</v>
      </c>
      <c r="AY7" s="1531" t="s">
        <v>1766</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1767</v>
      </c>
      <c r="H8" s="1781" t="s">
        <v>1768</v>
      </c>
      <c r="I8" s="1782"/>
      <c r="J8" s="1544"/>
      <c r="K8" s="1544"/>
      <c r="L8" s="1544"/>
      <c r="M8" s="1544"/>
      <c r="N8" s="1544"/>
      <c r="O8" s="1544"/>
      <c r="P8" s="1544"/>
      <c r="Q8" s="1544"/>
      <c r="R8" s="1544"/>
      <c r="S8" s="1544"/>
      <c r="T8" s="1544"/>
      <c r="U8" s="1544"/>
      <c r="V8" s="1783"/>
      <c r="W8" s="1544"/>
      <c r="X8" s="1544"/>
      <c r="Y8" s="1544"/>
      <c r="Z8" s="1544"/>
      <c r="AA8" s="1783"/>
      <c r="AB8" s="1784"/>
      <c r="AC8" s="918" t="s">
        <v>1769</v>
      </c>
      <c r="AD8" s="1785"/>
      <c r="AE8" s="1777"/>
      <c r="AF8" s="1544"/>
      <c r="AG8" s="1544"/>
      <c r="AH8" s="1544"/>
      <c r="AI8" s="1544"/>
      <c r="AJ8" s="1544"/>
      <c r="AK8" s="1544"/>
      <c r="AL8" s="1544"/>
      <c r="AM8" s="1544"/>
      <c r="AN8" s="1544"/>
      <c r="AO8" s="1544"/>
      <c r="AP8" s="1544"/>
      <c r="AQ8" s="1544"/>
      <c r="AR8" s="1544"/>
      <c r="AS8" s="1544"/>
      <c r="AT8" s="1202" t="s">
        <v>1770</v>
      </c>
      <c r="AU8" s="1779" t="s">
        <v>1771</v>
      </c>
      <c r="AV8" s="1202"/>
      <c r="AW8" s="1762"/>
      <c r="AX8" s="1202"/>
      <c r="AY8" s="1763" t="s">
        <v>1772</v>
      </c>
      <c r="AZ8" s="1543" t="s">
        <v>1773</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2"/>
      <c r="H9" s="1787" t="s">
        <v>1774</v>
      </c>
      <c r="I9" s="1788" t="s">
        <v>3077</v>
      </c>
      <c r="J9" s="918"/>
      <c r="K9" s="1788" t="s">
        <v>3077</v>
      </c>
      <c r="L9" s="918"/>
      <c r="M9" s="1788"/>
      <c r="N9" s="918"/>
      <c r="O9" s="1788"/>
      <c r="P9" s="918"/>
      <c r="Q9" s="1788"/>
      <c r="R9" s="918"/>
      <c r="S9" s="1788"/>
      <c r="T9" s="918"/>
      <c r="U9" s="1788"/>
      <c r="V9" s="918"/>
      <c r="W9" s="1788"/>
      <c r="X9" s="1789"/>
      <c r="Y9" s="1788"/>
      <c r="Z9" s="918"/>
      <c r="AA9" s="1788"/>
      <c r="AB9" s="918"/>
      <c r="AC9" s="1780" t="s">
        <v>1774</v>
      </c>
      <c r="AD9" s="15" t="s">
        <v>1775</v>
      </c>
      <c r="AE9" s="1208"/>
      <c r="AF9" s="15" t="s">
        <v>1776</v>
      </c>
      <c r="AG9" s="1208"/>
      <c r="AH9" s="15" t="s">
        <v>1775</v>
      </c>
      <c r="AI9" s="1208"/>
      <c r="AJ9" s="15" t="s">
        <v>1776</v>
      </c>
      <c r="AK9" s="1208"/>
      <c r="AL9" s="15" t="s">
        <v>1775</v>
      </c>
      <c r="AM9" s="1208"/>
      <c r="AN9" s="15" t="s">
        <v>1776</v>
      </c>
      <c r="AO9" s="1208"/>
      <c r="AP9" s="15" t="s">
        <v>1775</v>
      </c>
      <c r="AQ9" s="1208"/>
      <c r="AR9" s="15" t="s">
        <v>1776</v>
      </c>
      <c r="AS9" s="1790"/>
      <c r="AT9" s="1779"/>
      <c r="AU9" s="1779" t="s">
        <v>1777</v>
      </c>
      <c r="AV9" s="1202"/>
      <c r="AW9" s="1762"/>
      <c r="AX9" s="1202"/>
      <c r="AY9" s="28"/>
      <c r="AZ9" s="28" t="s">
        <v>1767</v>
      </c>
      <c r="BA9" s="1791" t="s">
        <v>1778</v>
      </c>
      <c r="BB9" s="1792"/>
      <c r="BC9" s="1248"/>
      <c r="BD9" s="1248"/>
      <c r="BE9" s="1248"/>
      <c r="BF9" s="1248"/>
      <c r="BG9" s="1248"/>
      <c r="BH9" s="1248"/>
      <c r="BI9" s="1248"/>
      <c r="BJ9" s="1248"/>
      <c r="BK9" s="1793"/>
      <c r="BL9" s="15" t="s">
        <v>1779</v>
      </c>
      <c r="BM9" s="1544"/>
      <c r="BN9" s="1782"/>
      <c r="BO9" s="1544"/>
      <c r="BP9" s="1544"/>
      <c r="BQ9" s="1544"/>
      <c r="BR9" s="1544"/>
      <c r="BS9" s="1544"/>
      <c r="BT9" s="26"/>
    </row>
    <row r="10" spans="1:72" s="1786" customFormat="1" ht="13.2">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1780</v>
      </c>
      <c r="AE10" s="1795"/>
      <c r="AF10" s="15" t="s">
        <v>1780</v>
      </c>
      <c r="AG10" s="1795"/>
      <c r="AH10" s="15" t="s">
        <v>1781</v>
      </c>
      <c r="AI10" s="1795"/>
      <c r="AJ10" s="15" t="s">
        <v>1781</v>
      </c>
      <c r="AK10" s="1795"/>
      <c r="AL10" s="15" t="s">
        <v>1782</v>
      </c>
      <c r="AM10" s="1208"/>
      <c r="AN10" s="15" t="s">
        <v>1782</v>
      </c>
      <c r="AO10" s="1208"/>
      <c r="AP10" s="15" t="s">
        <v>1783</v>
      </c>
      <c r="AQ10" s="1208"/>
      <c r="AR10" s="15" t="s">
        <v>1783</v>
      </c>
      <c r="AS10" s="1208"/>
      <c r="AT10" s="1779"/>
      <c r="AU10" s="1779"/>
      <c r="AV10" s="1202"/>
      <c r="AW10" s="1762"/>
      <c r="AX10" s="1202"/>
      <c r="AY10" s="28"/>
      <c r="AZ10" s="28"/>
      <c r="BA10" s="1796" t="s">
        <v>1774</v>
      </c>
      <c r="BB10" s="1797" t="str">
        <f>I9</f>
        <v>地上</v>
      </c>
      <c r="BC10" s="29" t="str">
        <f>K9</f>
        <v>地上</v>
      </c>
      <c r="BD10" s="29">
        <f>M9</f>
        <v>0</v>
      </c>
      <c r="BE10" s="29">
        <f>O9</f>
        <v>0</v>
      </c>
      <c r="BF10" s="29">
        <f>Q9</f>
        <v>0</v>
      </c>
      <c r="BG10" s="29">
        <f>S9</f>
        <v>0</v>
      </c>
      <c r="BH10" s="29">
        <f>U9</f>
        <v>0</v>
      </c>
      <c r="BI10" s="29">
        <f>W9</f>
        <v>0</v>
      </c>
      <c r="BJ10" s="29">
        <f>Y9</f>
        <v>0</v>
      </c>
      <c r="BK10" s="29">
        <f>AA9</f>
        <v>0</v>
      </c>
      <c r="BL10" s="25" t="s">
        <v>1774</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2"/>
      <c r="H11" s="1796"/>
      <c r="I11" s="1799" t="s">
        <v>3078</v>
      </c>
      <c r="J11" s="1800"/>
      <c r="K11" s="1799" t="s">
        <v>3073</v>
      </c>
      <c r="L11" s="1800"/>
      <c r="M11" s="1799"/>
      <c r="N11" s="1800"/>
      <c r="O11" s="1799"/>
      <c r="P11" s="1800"/>
      <c r="Q11" s="1799"/>
      <c r="R11" s="1800"/>
      <c r="S11" s="1799"/>
      <c r="T11" s="1800"/>
      <c r="U11" s="1799"/>
      <c r="V11" s="1800"/>
      <c r="W11" s="1799"/>
      <c r="X11" s="1800"/>
      <c r="Y11" s="1799"/>
      <c r="Z11" s="1800"/>
      <c r="AA11" s="1799"/>
      <c r="AB11" s="1800"/>
      <c r="AC11" s="1202"/>
      <c r="AD11" s="1801" t="s">
        <v>1784</v>
      </c>
      <c r="AE11" s="1545"/>
      <c r="AF11" s="1801" t="s">
        <v>1784</v>
      </c>
      <c r="AG11" s="1545"/>
      <c r="AH11" s="1801" t="s">
        <v>1785</v>
      </c>
      <c r="AI11" s="1802"/>
      <c r="AJ11" s="1801" t="s">
        <v>1785</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1786</v>
      </c>
      <c r="J12" s="11" t="s">
        <v>1787</v>
      </c>
      <c r="K12" s="11" t="s">
        <v>1786</v>
      </c>
      <c r="L12" s="11" t="s">
        <v>1787</v>
      </c>
      <c r="M12" s="11" t="s">
        <v>1786</v>
      </c>
      <c r="N12" s="11" t="s">
        <v>1787</v>
      </c>
      <c r="O12" s="11" t="s">
        <v>1786</v>
      </c>
      <c r="P12" s="11" t="s">
        <v>1787</v>
      </c>
      <c r="Q12" s="11" t="s">
        <v>1786</v>
      </c>
      <c r="R12" s="11" t="s">
        <v>1787</v>
      </c>
      <c r="S12" s="11" t="s">
        <v>1786</v>
      </c>
      <c r="T12" s="11" t="s">
        <v>1787</v>
      </c>
      <c r="U12" s="11" t="s">
        <v>1786</v>
      </c>
      <c r="V12" s="1530" t="s">
        <v>1787</v>
      </c>
      <c r="W12" s="11" t="s">
        <v>1786</v>
      </c>
      <c r="X12" s="11" t="s">
        <v>1787</v>
      </c>
      <c r="Y12" s="11" t="s">
        <v>1786</v>
      </c>
      <c r="Z12" s="11" t="s">
        <v>1787</v>
      </c>
      <c r="AA12" s="11" t="s">
        <v>1786</v>
      </c>
      <c r="AB12" s="11" t="s">
        <v>1787</v>
      </c>
      <c r="AC12" s="1806"/>
      <c r="AD12" s="1533" t="s">
        <v>1786</v>
      </c>
      <c r="AE12" s="11" t="s">
        <v>1787</v>
      </c>
      <c r="AF12" s="11" t="s">
        <v>1786</v>
      </c>
      <c r="AG12" s="11" t="s">
        <v>1787</v>
      </c>
      <c r="AH12" s="11" t="s">
        <v>1786</v>
      </c>
      <c r="AI12" s="11" t="s">
        <v>1787</v>
      </c>
      <c r="AJ12" s="11" t="s">
        <v>1786</v>
      </c>
      <c r="AK12" s="11" t="s">
        <v>1787</v>
      </c>
      <c r="AL12" s="11" t="s">
        <v>1786</v>
      </c>
      <c r="AM12" s="11" t="s">
        <v>1787</v>
      </c>
      <c r="AN12" s="11" t="s">
        <v>1786</v>
      </c>
      <c r="AO12" s="11" t="s">
        <v>1787</v>
      </c>
      <c r="AP12" s="11" t="s">
        <v>1786</v>
      </c>
      <c r="AQ12" s="11" t="s">
        <v>1787</v>
      </c>
      <c r="AR12" s="30" t="s">
        <v>1786</v>
      </c>
      <c r="AS12" s="1804" t="s">
        <v>1787</v>
      </c>
      <c r="AT12" s="1807"/>
      <c r="AU12" s="1804"/>
      <c r="AV12" s="31"/>
      <c r="AW12" s="1763"/>
      <c r="AX12" s="31"/>
      <c r="AY12" s="1808"/>
      <c r="AZ12" s="28"/>
      <c r="BA12" s="1796"/>
      <c r="BB12" s="24" t="str">
        <f>I11</f>
        <v>标准厂房</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6.4">
      <c r="A13" s="1182"/>
      <c r="B13" s="1182"/>
      <c r="C13" s="3072" t="s">
        <v>3076</v>
      </c>
      <c r="D13" s="1810" t="s">
        <v>3075</v>
      </c>
      <c r="E13" s="16">
        <f>IF($C$3="是",ROUND($A$3*G13/$B$3,2),ROUND($A$3*(G13-AT13)/$B$3,2))</f>
        <v>6547.26</v>
      </c>
      <c r="F13" s="32"/>
      <c r="G13" s="33">
        <f>H13+AC13+AT13</f>
        <v>10013.540000000001</v>
      </c>
      <c r="H13" s="20">
        <f>SUMIF(I$12:AB$12,"总值",I13:AB13)</f>
        <v>10013.540000000001</v>
      </c>
      <c r="I13" s="1811">
        <v>10013.540000000001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再生水处理厂房</v>
      </c>
      <c r="AY13" s="1533">
        <f>ROUND($AY$6*AZ13/$AZ$5,2)</f>
        <v>6547.26</v>
      </c>
      <c r="AZ13" s="16">
        <f>BA13+BL13</f>
        <v>10013.540000000001</v>
      </c>
      <c r="BA13" s="16">
        <f>SUM(BB13:BK13)</f>
        <v>10013.540000000001</v>
      </c>
      <c r="BB13" s="16">
        <f>IF($D13="是",I13-J13,0)</f>
        <v>10013.540000000001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2"/>
      <c r="B14" s="1182"/>
      <c r="C14" s="3073" t="s">
        <v>3074</v>
      </c>
      <c r="D14" s="1810" t="s">
        <v>3075</v>
      </c>
      <c r="E14" s="16">
        <f>IF($C$3="是",ROUND($A$3*G14/$B$3,2),ROUND($A$3*(G14-AT14)/$B$3,2))</f>
        <v>2506.34</v>
      </c>
      <c r="F14" s="32"/>
      <c r="G14" s="33">
        <f>H14+AC14+AT14</f>
        <v>3833.26</v>
      </c>
      <c r="H14" s="20">
        <f>SUMIF(I$12:AB$12,"总值",I14:AB14)</f>
        <v>3833.26</v>
      </c>
      <c r="I14" s="1811"/>
      <c r="J14" s="1811"/>
      <c r="K14" s="1811">
        <v>3833.26</v>
      </c>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办公楼</v>
      </c>
      <c r="AY14" s="1533">
        <f>ROUND($AY$6*AZ14/$AZ$5,2)</f>
        <v>2506.34</v>
      </c>
      <c r="AZ14" s="16">
        <f>BA14+BL14</f>
        <v>3833.26</v>
      </c>
      <c r="BA14" s="16">
        <f>SUM(BB14:BK14)</f>
        <v>3833.26</v>
      </c>
      <c r="BB14" s="16">
        <f>IF($D14="是",I14-J14,0)</f>
        <v>0</v>
      </c>
      <c r="BC14" s="16">
        <f>IF($D14="是",K14-L14,0)</f>
        <v>3833.26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9" t="s">
        <v>0</v>
      </c>
      <c r="B1" s="3149" t="s">
        <v>4</v>
      </c>
      <c r="C1" s="3149" t="s">
        <v>5</v>
      </c>
      <c r="D1" s="3150" t="s">
        <v>53</v>
      </c>
      <c r="E1" s="3150" t="s">
        <v>54</v>
      </c>
      <c r="F1" s="3150"/>
      <c r="G1" s="3150"/>
      <c r="H1" s="3150"/>
      <c r="I1" s="3150"/>
      <c r="J1" s="3150"/>
      <c r="K1" s="3150"/>
      <c r="L1" s="3150"/>
      <c r="M1" s="3150"/>
    </row>
    <row r="2" spans="1:13" ht="27" customHeight="1">
      <c r="A2" s="3149"/>
      <c r="B2" s="3149"/>
      <c r="C2" s="3149"/>
      <c r="D2" s="3150"/>
      <c r="E2" s="3150" t="s">
        <v>37</v>
      </c>
      <c r="F2" s="3150" t="s">
        <v>38</v>
      </c>
      <c r="G2" s="3150"/>
      <c r="H2" s="3150"/>
      <c r="I2" s="3150"/>
      <c r="J2" s="3150" t="s">
        <v>39</v>
      </c>
      <c r="K2" s="3150"/>
      <c r="L2" s="3150"/>
      <c r="M2" s="3150"/>
    </row>
    <row r="3" spans="1:13" ht="46.8">
      <c r="A3" s="3149"/>
      <c r="B3" s="3149"/>
      <c r="C3" s="3149"/>
      <c r="D3" s="3150"/>
      <c r="E3" s="315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0" t="s">
        <v>55</v>
      </c>
      <c r="B9" s="3150"/>
      <c r="C9" s="31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1" sqref="C21"/>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6"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1813</v>
      </c>
      <c r="B1" s="1301"/>
      <c r="C1" s="1301"/>
      <c r="D1" s="1301"/>
      <c r="E1" s="1301"/>
      <c r="F1" s="1301"/>
      <c r="G1" s="1301"/>
      <c r="H1" s="1301"/>
      <c r="I1" s="1301"/>
      <c r="J1" s="1301"/>
      <c r="K1" s="1301"/>
      <c r="L1" s="1301"/>
      <c r="M1" s="1301"/>
      <c r="N1" s="1301"/>
      <c r="O1" s="1301"/>
      <c r="P1" s="1301"/>
    </row>
    <row r="2" spans="1:16" ht="14.4">
      <c r="A2" s="3160" t="s">
        <v>1814</v>
      </c>
      <c r="B2" s="3160"/>
      <c r="C2" s="3160"/>
      <c r="D2" s="904" t="s">
        <v>1790</v>
      </c>
      <c r="E2" s="1824" t="s">
        <v>1791</v>
      </c>
      <c r="F2" s="2886"/>
      <c r="G2" s="2877"/>
      <c r="H2" s="2878"/>
      <c r="I2" s="2548" t="s">
        <v>1815</v>
      </c>
      <c r="J2" s="2886"/>
      <c r="K2" s="2886"/>
      <c r="L2" s="2886"/>
      <c r="M2" s="2886"/>
      <c r="N2" s="2888"/>
      <c r="O2" s="2886"/>
      <c r="P2" s="2886"/>
    </row>
    <row r="3" spans="1:16" ht="15" thickBot="1">
      <c r="A3" s="3161" t="s">
        <v>1788</v>
      </c>
      <c r="B3" s="3161"/>
      <c r="C3" s="3161"/>
      <c r="D3" s="46">
        <f>'数据-基础表'!AY6</f>
        <v>9053.6</v>
      </c>
      <c r="E3" s="46">
        <f>'数据-基础表'!AZ5</f>
        <v>13846.800000000001</v>
      </c>
      <c r="F3" s="2886"/>
      <c r="G3" s="1307"/>
      <c r="H3" s="1157" t="s">
        <v>1789</v>
      </c>
      <c r="I3" s="964">
        <f>ROUND('数据-基础表'!B3/'数据-基础表'!A3,2)</f>
        <v>1.53</v>
      </c>
      <c r="J3" s="2886"/>
      <c r="K3" s="2886"/>
      <c r="L3" s="2886"/>
      <c r="M3" s="2886"/>
      <c r="N3" s="2888"/>
      <c r="O3" s="2886"/>
      <c r="P3" s="2886"/>
    </row>
    <row r="4" spans="1:16" ht="14.4">
      <c r="A4" s="3162"/>
      <c r="B4" s="3163"/>
      <c r="C4" s="3164"/>
      <c r="D4" s="1826" t="s">
        <v>1790</v>
      </c>
      <c r="E4" s="1827" t="s">
        <v>1791</v>
      </c>
      <c r="F4" s="2886"/>
      <c r="G4" s="2879" t="s">
        <v>1816</v>
      </c>
      <c r="H4" s="1157" t="s">
        <v>1796</v>
      </c>
      <c r="I4" s="964">
        <f>ROUND(SUMIF('数据-基础表'!I9:AS9,"地上",'数据-基础表'!I5:AS5)/'数据-基础表'!A3,2)</f>
        <v>1.53</v>
      </c>
      <c r="J4" s="2886"/>
      <c r="K4" s="2886"/>
      <c r="L4" s="2886"/>
      <c r="M4" s="2886"/>
      <c r="N4" s="2888"/>
      <c r="O4" s="2886"/>
      <c r="P4" s="2886"/>
    </row>
    <row r="5" spans="1:16" ht="14.4">
      <c r="A5" s="47" t="s">
        <v>1792</v>
      </c>
      <c r="B5" s="3165" t="s">
        <v>1793</v>
      </c>
      <c r="C5" s="3165"/>
      <c r="D5" s="48">
        <f>ROUND($D$3*E5/$E$3,2)</f>
        <v>0</v>
      </c>
      <c r="E5" s="49">
        <f>SUMIF('数据-基础表'!$11:$11,"住宅",'数据-基础表'!$5:$5)</f>
        <v>0</v>
      </c>
      <c r="F5" s="2886"/>
      <c r="G5" s="1307"/>
      <c r="H5" s="1157" t="s">
        <v>1789</v>
      </c>
      <c r="I5" s="964">
        <f>ROUND(E31/D31,2)</f>
        <v>1.53</v>
      </c>
      <c r="J5" s="2886"/>
      <c r="K5" s="2886"/>
      <c r="L5" s="2886"/>
      <c r="M5" s="2886"/>
      <c r="N5" s="2886"/>
      <c r="O5" s="2886"/>
      <c r="P5" s="2886"/>
    </row>
    <row r="6" spans="1:16" ht="15" thickBot="1">
      <c r="A6" s="1829"/>
      <c r="B6" s="3165" t="s">
        <v>1794</v>
      </c>
      <c r="C6" s="3165"/>
      <c r="D6" s="48">
        <f>ROUND($D$3*E6/$E$3,2)</f>
        <v>9053.6</v>
      </c>
      <c r="E6" s="49">
        <f>E3-E5</f>
        <v>13846.800000000001</v>
      </c>
      <c r="F6" s="2886"/>
      <c r="G6" s="2880" t="s">
        <v>1795</v>
      </c>
      <c r="H6" s="1308" t="s">
        <v>1796</v>
      </c>
      <c r="I6" s="2881">
        <f>ROUND(F31/D31,2)</f>
        <v>1.53</v>
      </c>
      <c r="J6" s="2886"/>
      <c r="K6" s="2886"/>
      <c r="L6" s="2886"/>
      <c r="M6" s="2886"/>
      <c r="N6" s="2886"/>
      <c r="O6" s="2886"/>
      <c r="P6" s="2886"/>
    </row>
    <row r="7" spans="1:16" ht="15" thickBot="1">
      <c r="A7" s="3157"/>
      <c r="B7" s="3158"/>
      <c r="C7" s="3159"/>
      <c r="D7" s="1826" t="s">
        <v>1790</v>
      </c>
      <c r="E7" s="1830" t="s">
        <v>1797</v>
      </c>
      <c r="F7" s="2886"/>
      <c r="G7" s="2882" t="s">
        <v>1798</v>
      </c>
      <c r="H7" s="2883"/>
      <c r="I7" s="2884"/>
      <c r="J7" s="2886"/>
      <c r="K7" s="2886"/>
      <c r="L7" s="2886"/>
      <c r="M7" s="2886"/>
      <c r="N7" s="2886"/>
      <c r="O7" s="2886"/>
      <c r="P7" s="2886"/>
    </row>
    <row r="8" spans="1:16" ht="14.4">
      <c r="A8" s="47" t="s">
        <v>1799</v>
      </c>
      <c r="B8" s="50" t="s">
        <v>1800</v>
      </c>
      <c r="C8" s="48" t="s">
        <v>1801</v>
      </c>
      <c r="D8" s="48">
        <f t="shared" ref="D8:D15" si="0">ROUND($D$3*E8/$E$3,2)</f>
        <v>9053.6</v>
      </c>
      <c r="E8" s="51">
        <f>SUMIF('数据-基础表'!BB10:BK10,"地上",'数据-基础表'!BB5:BK5)</f>
        <v>13846.800000000001</v>
      </c>
      <c r="F8" s="2886"/>
      <c r="G8" s="2887"/>
      <c r="H8" s="2887"/>
      <c r="I8" s="2886"/>
      <c r="J8" s="2886"/>
      <c r="K8" s="2886"/>
      <c r="L8" s="2886"/>
      <c r="M8" s="2886"/>
      <c r="N8" s="2886"/>
      <c r="O8" s="2886"/>
      <c r="P8" s="2886"/>
    </row>
    <row r="9" spans="1:16" ht="14.4">
      <c r="A9" s="1831"/>
      <c r="B9" s="1832"/>
      <c r="C9" s="48" t="s">
        <v>1802</v>
      </c>
      <c r="D9" s="48">
        <f t="shared" si="0"/>
        <v>0</v>
      </c>
      <c r="E9" s="52">
        <v>0</v>
      </c>
      <c r="F9" s="2886"/>
      <c r="G9" s="2887"/>
      <c r="H9" s="2887"/>
      <c r="I9" s="2886"/>
      <c r="J9" s="2886"/>
      <c r="K9" s="2886"/>
      <c r="L9" s="2886"/>
      <c r="M9" s="2886"/>
      <c r="N9" s="2886"/>
      <c r="O9" s="2886"/>
      <c r="P9" s="2886"/>
    </row>
    <row r="10" spans="1:16" ht="14.4">
      <c r="A10" s="1831"/>
      <c r="B10" s="1832"/>
      <c r="C10" s="48" t="s">
        <v>1811</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ht="14.4">
      <c r="A11" s="1831"/>
      <c r="B11" s="1832"/>
      <c r="C11" s="48" t="s">
        <v>1803</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ht="14.4">
      <c r="A12" s="1831"/>
      <c r="B12" s="1832"/>
      <c r="C12" s="48" t="s">
        <v>1804</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ht="14.4">
      <c r="A13" s="1831"/>
      <c r="B13" s="1832"/>
      <c r="C13" s="48" t="s">
        <v>1805</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ht="14.4">
      <c r="A14" s="1831"/>
      <c r="B14" s="1832"/>
      <c r="C14" s="48" t="s">
        <v>1817</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1812</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 thickBot="1">
      <c r="A16" s="1829"/>
      <c r="B16" s="1832"/>
      <c r="C16" s="50" t="s">
        <v>1806</v>
      </c>
      <c r="D16" s="50">
        <f>SUM(D8:D15)</f>
        <v>9053.6</v>
      </c>
      <c r="E16" s="53">
        <f>SUM(E8:E15)</f>
        <v>13846.800000000001</v>
      </c>
      <c r="F16" s="2886"/>
      <c r="G16" s="2887"/>
      <c r="H16" s="1833" t="s">
        <v>1818</v>
      </c>
      <c r="I16" s="1834"/>
      <c r="J16" s="1301"/>
      <c r="K16" s="3154" t="s">
        <v>1818</v>
      </c>
      <c r="L16" s="3155"/>
      <c r="M16" s="3155"/>
      <c r="N16" s="3155"/>
      <c r="O16" s="3155"/>
      <c r="P16" s="3156"/>
    </row>
    <row r="17" spans="1:19" ht="14.4">
      <c r="A17" s="1835" t="s">
        <v>1819</v>
      </c>
      <c r="B17" s="1836" t="s">
        <v>1820</v>
      </c>
      <c r="C17" s="1837" t="s">
        <v>1821</v>
      </c>
      <c r="D17" s="1838" t="s">
        <v>1809</v>
      </c>
      <c r="E17" s="1839" t="s">
        <v>1810</v>
      </c>
      <c r="F17" s="1840"/>
      <c r="G17" s="1841"/>
      <c r="H17" s="1842" t="s">
        <v>1822</v>
      </c>
      <c r="I17" s="1843" t="s">
        <v>1807</v>
      </c>
      <c r="J17" s="1301"/>
      <c r="K17" s="3151" t="s">
        <v>1823</v>
      </c>
      <c r="L17" s="3152"/>
      <c r="M17" s="3153"/>
      <c r="N17" s="3151" t="s">
        <v>1824</v>
      </c>
      <c r="O17" s="3152"/>
      <c r="P17" s="3153"/>
      <c r="R17" s="1825" t="s">
        <v>1825</v>
      </c>
      <c r="S17" s="60"/>
    </row>
    <row r="18" spans="1:19" ht="14.4">
      <c r="A18" s="1831"/>
      <c r="B18" s="1844"/>
      <c r="C18" s="1845"/>
      <c r="D18" s="1846"/>
      <c r="E18" s="1847" t="s">
        <v>1826</v>
      </c>
      <c r="F18" s="1848" t="s">
        <v>1827</v>
      </c>
      <c r="G18" s="1849" t="s">
        <v>1828</v>
      </c>
      <c r="H18" s="1172" t="s">
        <v>1829</v>
      </c>
      <c r="I18" s="1850" t="s">
        <v>1830</v>
      </c>
      <c r="J18" s="1301"/>
      <c r="K18" s="1172" t="s">
        <v>1831</v>
      </c>
      <c r="L18" s="1851" t="s">
        <v>1832</v>
      </c>
      <c r="M18" s="964" t="s">
        <v>1833</v>
      </c>
      <c r="N18" s="1172" t="s">
        <v>1831</v>
      </c>
      <c r="O18" s="1851" t="s">
        <v>1832</v>
      </c>
      <c r="P18" s="964" t="s">
        <v>1833</v>
      </c>
      <c r="R18" s="1157" t="s">
        <v>1834</v>
      </c>
      <c r="S18" s="1157" t="s">
        <v>1835</v>
      </c>
    </row>
    <row r="19" spans="1:19" ht="14.4">
      <c r="A19" s="1852"/>
      <c r="B19" s="50" t="s">
        <v>1808</v>
      </c>
      <c r="C19" s="3074" t="s">
        <v>3079</v>
      </c>
      <c r="D19" s="48">
        <f>ROUND($D$3*E19/$E$3,2)</f>
        <v>6547.26</v>
      </c>
      <c r="E19" s="56">
        <f t="shared" ref="E19:E26" si="1">SUM(F19:G19)</f>
        <v>10013.540000000001</v>
      </c>
      <c r="F19" s="3026">
        <f>'数据-基础表'!I5</f>
        <v>10013.540000000001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6547.26</v>
      </c>
      <c r="S19" s="1158">
        <f t="shared" si="5"/>
        <v>10013.540000000001</v>
      </c>
    </row>
    <row r="20" spans="1:19" ht="14.4">
      <c r="A20" s="1856"/>
      <c r="B20" s="50" t="s">
        <v>1836</v>
      </c>
      <c r="C20" s="3074" t="s">
        <v>3080</v>
      </c>
      <c r="D20" s="48">
        <f t="shared" ref="D20:D26" si="6">ROUND($D$3*E20/$E$3,2)</f>
        <v>2506.34</v>
      </c>
      <c r="E20" s="56">
        <f t="shared" si="1"/>
        <v>3833.26</v>
      </c>
      <c r="F20" s="3026">
        <f>'数据-基础表'!K5</f>
        <v>3833.26</v>
      </c>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2506.34</v>
      </c>
      <c r="S20" s="1158">
        <f t="shared" si="5"/>
        <v>3833.26</v>
      </c>
    </row>
    <row r="21" spans="1:19" ht="14.4">
      <c r="A21" s="1856"/>
      <c r="B21" s="50" t="s">
        <v>1836</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ht="14.4">
      <c r="A22" s="1856"/>
      <c r="B22" s="50" t="s">
        <v>1836</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ht="14.4">
      <c r="A23" s="1856"/>
      <c r="B23" s="50" t="s">
        <v>1836</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ht="14.4">
      <c r="A24" s="1856"/>
      <c r="B24" s="50" t="s">
        <v>1836</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ht="14.4">
      <c r="A25" s="1856"/>
      <c r="B25" s="50" t="s">
        <v>1836</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ht="14.4">
      <c r="A26" s="1856"/>
      <c r="B26" s="50" t="s">
        <v>1836</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 thickBot="1">
      <c r="A27" s="1856"/>
      <c r="B27" s="48"/>
      <c r="C27" s="1859" t="s">
        <v>1837</v>
      </c>
      <c r="D27" s="1302">
        <f>SUM(D19:D26)</f>
        <v>9053.6</v>
      </c>
      <c r="E27" s="1303">
        <f>IF(SUM(E19:E26)='数据-基础表'!BA5,SUM(E19:E26),IF(F27="地上面积有误","面积有误","地下面积有误"))</f>
        <v>13846.800000000001</v>
      </c>
      <c r="F27" s="1302">
        <f>IF(SUM(F19:F26)=E8,SUM(F19:F26),"地上面积有误")</f>
        <v>13846.800000000001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9053.6</v>
      </c>
      <c r="S27" s="1157">
        <f>IF(SUM(S19:S26)=$E$3,SUM(S19:S26),SUM(S19:S26)&amp;"误差"&amp;ROUND(SUM(S19:S26)-E3,2))</f>
        <v>13846.800000000001</v>
      </c>
    </row>
    <row r="28" spans="1:19" ht="14.4">
      <c r="A28" s="1856"/>
      <c r="B28" s="50" t="s">
        <v>1838</v>
      </c>
      <c r="C28" s="1169" t="s">
        <v>1839</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ht="14.4">
      <c r="A29" s="1856"/>
      <c r="B29" s="50" t="s">
        <v>1838</v>
      </c>
      <c r="C29" s="1860" t="s">
        <v>1840</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4.4">
      <c r="A30" s="1856"/>
      <c r="B30" s="50"/>
      <c r="C30" s="1861" t="s">
        <v>1837</v>
      </c>
      <c r="D30" s="1302">
        <f>SUM(D28:D29)</f>
        <v>0</v>
      </c>
      <c r="E30" s="1302">
        <f>SUM(E28:E29)</f>
        <v>0</v>
      </c>
      <c r="F30" s="1302">
        <f>SUM(F28:F29)</f>
        <v>0</v>
      </c>
      <c r="G30" s="1304">
        <f>SUM(G28:G29)</f>
        <v>0</v>
      </c>
      <c r="H30" s="2886"/>
      <c r="I30" s="2886"/>
      <c r="J30" s="2886"/>
      <c r="K30" s="2886"/>
      <c r="L30" s="2886"/>
      <c r="M30" s="2886"/>
      <c r="N30" s="2886"/>
      <c r="O30" s="2886"/>
      <c r="P30" s="2886"/>
    </row>
    <row r="31" spans="1:19" ht="15" thickBot="1">
      <c r="A31" s="1862"/>
      <c r="B31" s="1863"/>
      <c r="C31" s="944" t="s">
        <v>1841</v>
      </c>
      <c r="D31" s="685">
        <f>D27+D30</f>
        <v>9053.6</v>
      </c>
      <c r="E31" s="685">
        <f>E27+E30</f>
        <v>13846.800000000001</v>
      </c>
      <c r="F31" s="686">
        <f>F27+F30</f>
        <v>13846.800000000001</v>
      </c>
      <c r="G31" s="687">
        <f>G27+G30</f>
        <v>0</v>
      </c>
      <c r="H31" s="2886"/>
      <c r="I31" s="2886"/>
      <c r="J31" s="2886"/>
      <c r="K31" s="2886"/>
      <c r="L31" s="2886"/>
      <c r="M31" s="2886"/>
      <c r="N31" s="2886"/>
      <c r="O31" s="2886"/>
      <c r="P31" s="2886"/>
    </row>
    <row r="32" spans="1:19" ht="14.4">
      <c r="A32" s="1828"/>
      <c r="B32" s="1828" t="s">
        <v>1842</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G6"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1843</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 thickBot="1">
      <c r="A2" s="1869" t="s">
        <v>1844</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1845</v>
      </c>
      <c r="B4" s="1874"/>
      <c r="C4" s="1875"/>
      <c r="D4" s="1876"/>
      <c r="E4" s="1875" t="s">
        <v>1846</v>
      </c>
      <c r="F4" s="1875"/>
      <c r="G4" s="1875"/>
      <c r="H4" s="1875"/>
      <c r="I4" s="1875"/>
      <c r="J4" s="1877"/>
      <c r="K4" s="1878"/>
      <c r="L4" s="1879"/>
      <c r="M4" s="1875"/>
      <c r="N4" s="1875" t="s">
        <v>1847</v>
      </c>
      <c r="O4" s="1875"/>
      <c r="P4" s="1875"/>
      <c r="Q4" s="1875"/>
      <c r="R4" s="1875"/>
      <c r="S4" s="1877"/>
      <c r="T4" s="2885" t="str">
        <f>'数据-汇总表'!I17</f>
        <v>按面积比例</v>
      </c>
      <c r="U4" s="1874" t="s">
        <v>1848</v>
      </c>
      <c r="V4" s="1875"/>
      <c r="W4" s="1875"/>
      <c r="X4" s="1875"/>
      <c r="Y4" s="1877"/>
      <c r="Z4" s="1837" t="s">
        <v>1849</v>
      </c>
      <c r="AA4" s="1837"/>
      <c r="AB4" s="1837"/>
      <c r="AC4" s="1837"/>
      <c r="AD4" s="1837"/>
      <c r="AE4" s="1835" t="s">
        <v>1850</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1851</v>
      </c>
      <c r="B5" s="1882" t="s">
        <v>1852</v>
      </c>
      <c r="C5" s="1883" t="s">
        <v>1853</v>
      </c>
      <c r="D5" s="1884" t="s">
        <v>1854</v>
      </c>
      <c r="E5" s="1178" t="s">
        <v>1855</v>
      </c>
      <c r="F5" s="1885" t="s">
        <v>1856</v>
      </c>
      <c r="G5" s="1178" t="s">
        <v>1857</v>
      </c>
      <c r="H5" s="1178" t="s">
        <v>1858</v>
      </c>
      <c r="I5" s="1178" t="s">
        <v>1859</v>
      </c>
      <c r="J5" s="1886" t="s">
        <v>1860</v>
      </c>
      <c r="K5" s="1887" t="s">
        <v>1861</v>
      </c>
      <c r="L5" s="1888" t="s">
        <v>1862</v>
      </c>
      <c r="M5" s="1889" t="s">
        <v>1863</v>
      </c>
      <c r="N5" s="1890" t="s">
        <v>3081</v>
      </c>
      <c r="O5" s="1888" t="s">
        <v>1864</v>
      </c>
      <c r="P5" s="1891" t="s">
        <v>1865</v>
      </c>
      <c r="Q5" s="65" t="s">
        <v>1866</v>
      </c>
      <c r="R5" s="1892" t="s">
        <v>1867</v>
      </c>
      <c r="S5" s="1893" t="s">
        <v>1868</v>
      </c>
      <c r="T5" s="1894" t="s">
        <v>1869</v>
      </c>
      <c r="U5" s="1177" t="s">
        <v>1870</v>
      </c>
      <c r="V5" s="1178" t="s">
        <v>1871</v>
      </c>
      <c r="W5" s="1178" t="s">
        <v>1872</v>
      </c>
      <c r="X5" s="67"/>
      <c r="Y5" s="66" t="s">
        <v>1873</v>
      </c>
      <c r="Z5" s="1895" t="s">
        <v>1870</v>
      </c>
      <c r="AA5" s="1178" t="s">
        <v>1871</v>
      </c>
      <c r="AB5" s="1178" t="s">
        <v>1872</v>
      </c>
      <c r="AC5" s="67"/>
      <c r="AD5" s="67" t="s">
        <v>1873</v>
      </c>
      <c r="AE5" s="1177" t="s">
        <v>1874</v>
      </c>
      <c r="AF5" s="1178" t="s">
        <v>1875</v>
      </c>
      <c r="AG5" s="66" t="s">
        <v>1876</v>
      </c>
      <c r="AH5" s="1177" t="s">
        <v>1877</v>
      </c>
      <c r="AI5" s="1895" t="s">
        <v>1878</v>
      </c>
      <c r="AJ5" s="1895" t="s">
        <v>1879</v>
      </c>
      <c r="AK5" s="1178" t="s">
        <v>1880</v>
      </c>
      <c r="AL5" s="1178" t="s">
        <v>1881</v>
      </c>
      <c r="AM5" s="66" t="s">
        <v>1882</v>
      </c>
      <c r="AN5" s="1896" t="s">
        <v>1883</v>
      </c>
      <c r="AO5" s="1747" t="s">
        <v>1884</v>
      </c>
      <c r="AP5" s="1159" t="s">
        <v>1885</v>
      </c>
      <c r="AQ5" s="1897" t="s">
        <v>1886</v>
      </c>
      <c r="AR5" s="1897" t="s">
        <v>1887</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工业</v>
      </c>
      <c r="B6" s="1899" t="str">
        <f>IF(A6=0,"","经营性")</f>
        <v>经营性</v>
      </c>
      <c r="C6" s="1900" t="s">
        <v>6</v>
      </c>
      <c r="D6" s="967">
        <f>SUMIF(项目基本情况!D$12:I$12,C6,项目基本情况!D$14:I$14)</f>
        <v>50</v>
      </c>
      <c r="E6" s="966">
        <f>IF(B6="","",SUMIF(项目基本情况!D$12:I$12,C6,项目基本情况!D$13:I$13))</f>
        <v>59724</v>
      </c>
      <c r="F6" s="68">
        <f>SUMIF(项目基本情况!D$12:I$12,C6,项目基本情况!D$15:I$15)</f>
        <v>42.02</v>
      </c>
      <c r="G6" s="69">
        <f>IF(ISERROR(ROUND(POWER(1+H6,D6-F6)*(POWER(1+H6,F6)-1)/(POWER(1+H6,D6)-1),3)),0,ROUND(POWER(1+H6,D6-F6)*(POWER(1+H6,F6)-1)/(POWER(1+H6,D6)-1),3))</f>
        <v>0.94</v>
      </c>
      <c r="H6" s="741">
        <v>0.04</v>
      </c>
      <c r="I6" s="741">
        <v>4.4999999999999998E-2</v>
      </c>
      <c r="J6" s="70">
        <v>8.5000000000000006E-2</v>
      </c>
      <c r="K6" s="1161">
        <f>SUMIF('数据-汇总表'!C$19:C$33,A6,'数据-汇总表'!E$19:E$33)</f>
        <v>10013.540000000001</v>
      </c>
      <c r="L6" s="742">
        <v>2000</v>
      </c>
      <c r="M6" s="71">
        <f t="shared" ref="M6:M14" si="0">ROUND(K6*L6/10000,0)</f>
        <v>2003</v>
      </c>
      <c r="N6" s="740">
        <f>ROUND((1-(1-0.02)*(2021-2018)/70),2)</f>
        <v>0.96</v>
      </c>
      <c r="O6" s="71" t="str">
        <f>IF($N$5="成新度","——",ROUND(M6*N6,0))</f>
        <v>——</v>
      </c>
      <c r="P6" s="72" t="str">
        <f>IF($N$5="成新度","——",M6-O6)</f>
        <v>——</v>
      </c>
      <c r="Q6" s="743">
        <v>0.05</v>
      </c>
      <c r="R6" s="73">
        <f ca="1">SUMIF('数据-汇总表'!C$19:C$33,A6,'数据-汇总表'!R$19:R$27)</f>
        <v>6547.26</v>
      </c>
      <c r="S6" s="54">
        <f>IF('数据-汇总表'!$I$17="按面积比例",SUMIF('数据-汇总表'!C$19:C$33,A6,'数据-汇总表'!K$19:K$33),SUMIF('数据-汇总表'!C$19:C$33,A6,'数据-汇总表'!N$19:N$33))</f>
        <v>0</v>
      </c>
      <c r="T6" s="1334">
        <f>ROUND($L$14*S6/10000,0)</f>
        <v>0</v>
      </c>
      <c r="U6" s="74">
        <v>1.5</v>
      </c>
      <c r="V6" s="75">
        <v>2.5000000000000001E-2</v>
      </c>
      <c r="W6" s="75">
        <v>0.1</v>
      </c>
      <c r="X6" s="1171"/>
      <c r="Y6" s="76">
        <f>N6</f>
        <v>0.96</v>
      </c>
      <c r="Z6" s="77"/>
      <c r="AA6" s="70"/>
      <c r="AB6" s="70"/>
      <c r="AC6" s="1171"/>
      <c r="AD6" s="78"/>
      <c r="AE6" s="1172">
        <f ca="1">IF(AN6="",0,SUMIF(INDIRECT("'"&amp;AN6&amp;"'"&amp;"!E:E"),$AE$5,INDIRECT("'"&amp;AN6&amp;"'"&amp;"!F:F")))</f>
        <v>42.02</v>
      </c>
      <c r="AF6" s="1532"/>
      <c r="AG6" s="143">
        <f>IF(AF6="",0,AE6-AF6)</f>
        <v>0</v>
      </c>
      <c r="AH6" s="79"/>
      <c r="AI6" s="81">
        <v>365</v>
      </c>
      <c r="AJ6" s="82"/>
      <c r="AK6" s="83">
        <v>1.4999999999999999E-2</v>
      </c>
      <c r="AL6" s="84">
        <v>1.5E-3</v>
      </c>
      <c r="AM6" s="85">
        <v>0.01</v>
      </c>
      <c r="AN6" s="1901" t="s">
        <v>3089</v>
      </c>
      <c r="AO6" s="55">
        <f ca="1">SUMIF(INDIRECT("'"&amp;AN6&amp;"'"&amp;"!A:A"),"总价",INDIRECT("'"&amp;AN6&amp;"'"&amp;"!B:B"))</f>
        <v>10009</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t="str">
        <f>'数据-汇总表'!C20</f>
        <v>办公</v>
      </c>
      <c r="B7" s="1899" t="str">
        <f t="shared" ref="B7:B13" si="1">IF(A7=0,"","经营性")</f>
        <v>经营性</v>
      </c>
      <c r="C7" s="1900" t="s">
        <v>6</v>
      </c>
      <c r="D7" s="967">
        <f>SUMIF(项目基本情况!D$12:I$12,C7,项目基本情况!D$14:I$14)</f>
        <v>50</v>
      </c>
      <c r="E7" s="966">
        <f>IF(B7="","",SUMIF(项目基本情况!D$12:I$12,C7,项目基本情况!D$13:I$13))</f>
        <v>59724</v>
      </c>
      <c r="F7" s="68">
        <f>SUMIF(项目基本情况!D$12:I$12,C7,项目基本情况!D$15:I$15)</f>
        <v>42.02</v>
      </c>
      <c r="G7" s="69">
        <f t="shared" ref="G7:G11" si="2">IF(ISERROR(ROUND(POWER(1+H7,D7-F7)*(POWER(1+H7,F7)-1)/(POWER(1+H7,D7)-1),3)),0,ROUND(POWER(1+H7,D7-F7)*(POWER(1+H7,F7)-1)/(POWER(1+H7,D7)-1),3))</f>
        <v>0.94</v>
      </c>
      <c r="H7" s="741">
        <v>0.04</v>
      </c>
      <c r="I7" s="741">
        <v>4.4999999999999998E-2</v>
      </c>
      <c r="J7" s="70">
        <v>8.5000000000000006E-2</v>
      </c>
      <c r="K7" s="1161">
        <f>SUMIF('数据-汇总表'!C$19:C$33,A7,'数据-汇总表'!E$19:E$33)</f>
        <v>3833.26</v>
      </c>
      <c r="L7" s="742">
        <v>2000</v>
      </c>
      <c r="M7" s="71">
        <f t="shared" si="0"/>
        <v>767</v>
      </c>
      <c r="N7" s="740">
        <f>N6</f>
        <v>0.96</v>
      </c>
      <c r="O7" s="71" t="str">
        <f t="shared" ref="O7:O14" si="3">IF($N$5="成新度","——",ROUND(M7*N7,0))</f>
        <v>——</v>
      </c>
      <c r="P7" s="72" t="str">
        <f t="shared" ref="P7:P14" si="4">IF($N$5="成新度","——",M7-O7)</f>
        <v>——</v>
      </c>
      <c r="Q7" s="743">
        <v>0.05</v>
      </c>
      <c r="R7" s="73">
        <f ca="1">SUMIF('数据-汇总表'!C$19:C$33,A7,'数据-汇总表'!R$19:R$27)</f>
        <v>2506.34</v>
      </c>
      <c r="S7" s="54">
        <f>IF('数据-汇总表'!$I$17="按面积比例",SUMIF('数据-汇总表'!C$19:C$33,A7,'数据-汇总表'!K$19:K$33),SUMIF('数据-汇总表'!C$19:C$33,A7,'数据-汇总表'!N$19:N$33))</f>
        <v>0</v>
      </c>
      <c r="T7" s="1334">
        <f t="shared" ref="T7:T13" si="5">ROUND($L$14*S7/10000,0)</f>
        <v>0</v>
      </c>
      <c r="U7" s="74">
        <v>3.5</v>
      </c>
      <c r="V7" s="75">
        <v>2.5000000000000001E-2</v>
      </c>
      <c r="W7" s="75">
        <v>0.1</v>
      </c>
      <c r="X7" s="1171"/>
      <c r="Y7" s="76">
        <f>Y6</f>
        <v>0.96</v>
      </c>
      <c r="Z7" s="77"/>
      <c r="AA7" s="70"/>
      <c r="AB7" s="70"/>
      <c r="AC7" s="1171"/>
      <c r="AD7" s="78"/>
      <c r="AE7" s="1172">
        <f t="shared" ref="AE7:AE13" ca="1" si="6">IF(AN7="",0,SUMIF(INDIRECT("'"&amp;AN7&amp;"'"&amp;"!E:E"),$AE$5,INDIRECT("'"&amp;AN7&amp;"'"&amp;"!F:F")))</f>
        <v>42.02</v>
      </c>
      <c r="AF7" s="1532"/>
      <c r="AG7" s="143">
        <f t="shared" ref="AG7:AG13" si="7">IF(AF7="",0,AE7-AF7)</f>
        <v>0</v>
      </c>
      <c r="AH7" s="79"/>
      <c r="AI7" s="81">
        <v>365</v>
      </c>
      <c r="AJ7" s="82"/>
      <c r="AK7" s="83">
        <v>1.4999999999999999E-2</v>
      </c>
      <c r="AL7" s="84">
        <v>1.5E-3</v>
      </c>
      <c r="AM7" s="85">
        <v>0.01</v>
      </c>
      <c r="AN7" s="1901" t="s">
        <v>3087</v>
      </c>
      <c r="AO7" s="55">
        <f t="shared" ref="AO7:AO13" ca="1" si="8">SUMIF(INDIRECT("'"&amp;AN7&amp;"'"&amp;"!A:A"),"总价",INDIRECT("'"&amp;AN7&amp;"'"&amp;"!B:B"))</f>
        <v>9619</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1888</v>
      </c>
      <c r="B14" s="1899" t="s">
        <v>1889</v>
      </c>
      <c r="C14" s="1904" t="s">
        <v>1888</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1890</v>
      </c>
      <c r="B15" s="1899" t="s">
        <v>1889</v>
      </c>
      <c r="C15" s="1904" t="s">
        <v>1891</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1892</v>
      </c>
      <c r="B16" s="93"/>
      <c r="C16" s="942"/>
      <c r="D16" s="1906"/>
      <c r="E16" s="93"/>
      <c r="F16" s="93"/>
      <c r="G16" s="94">
        <f>ROUND(SUMPRODUCT(G6:G13,K6:K13)/SUMPRODUCT((G6:G13&gt;0)*(K6:K13)),3)</f>
        <v>0.94</v>
      </c>
      <c r="H16" s="95">
        <f>ROUND(SUMPRODUCT(H6:H13,K6:K13)/SUMPRODUCT((H6:H13&gt;0)*(K6:K13)),3)</f>
        <v>0.04</v>
      </c>
      <c r="I16" s="96"/>
      <c r="J16" s="96"/>
      <c r="K16" s="97">
        <f>SUM(K6:K15)</f>
        <v>13846.800000000001</v>
      </c>
      <c r="L16" s="98">
        <f>ROUND(M16*10000/SUM(K6:K14),0)</f>
        <v>2000</v>
      </c>
      <c r="M16" s="98">
        <f>SUM(M6:M14)</f>
        <v>2770</v>
      </c>
      <c r="N16" s="99">
        <f>ROUND(SUMPRODUCT(M6:M14,N6:N14)/M16,3)</f>
        <v>0.96</v>
      </c>
      <c r="O16" s="98">
        <f>SUM(O6:O14)</f>
        <v>0</v>
      </c>
      <c r="P16" s="98">
        <f>SUM(P6:P14)</f>
        <v>0</v>
      </c>
      <c r="Q16" s="100">
        <f>ROUND(SUMPRODUCT(Q6:Q13,K6:K13)/SUMPRODUCT((Q6:Q13&gt;0)*(K6:K13)),2)</f>
        <v>0.05</v>
      </c>
      <c r="R16" s="1165">
        <f ca="1">SUM(R6:R13)</f>
        <v>9053.6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1893</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08" t="s">
        <v>1894</v>
      </c>
      <c r="B19" s="108"/>
      <c r="C19" s="3030" t="s">
        <v>3042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09" t="s">
        <v>1895</v>
      </c>
      <c r="B20" s="109">
        <v>1.5</v>
      </c>
      <c r="C20" s="3031" t="s">
        <v>3040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0" t="s">
        <v>1896</v>
      </c>
      <c r="B21" s="109">
        <v>1.5</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09" t="s">
        <v>1897</v>
      </c>
      <c r="B22" s="110">
        <f>B19+B20</f>
        <v>1.5</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0" t="s">
        <v>1898</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1899</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1900</v>
      </c>
      <c r="B26" s="1912" t="s">
        <v>1901</v>
      </c>
      <c r="C26" s="2906" t="s">
        <v>1902</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8.8">
      <c r="A27" s="1913" t="s">
        <v>1903</v>
      </c>
      <c r="B27" s="112"/>
      <c r="C27" s="3032" t="s">
        <v>3044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8.8">
      <c r="A28" s="1915" t="s">
        <v>1904</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9.4" thickBot="1">
      <c r="A29" s="1916" t="s">
        <v>1905</v>
      </c>
      <c r="B29" s="117">
        <f>ROUND(B28*'数据-汇总表'!E6/10000,0)</f>
        <v>277</v>
      </c>
      <c r="C29" s="3033" t="s">
        <v>3031</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8.8">
      <c r="A30" s="1917" t="s">
        <v>1906</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8.8">
      <c r="A31" s="1915" t="s">
        <v>1907</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9.4" thickBot="1">
      <c r="A32" s="1918" t="s">
        <v>1908</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4">
      <c r="A33" s="1913" t="s">
        <v>1909</v>
      </c>
      <c r="B33" s="682">
        <v>0.04</v>
      </c>
      <c r="C33" s="3034" t="s">
        <v>3032</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4">
      <c r="A34" s="1915" t="s">
        <v>1910</v>
      </c>
      <c r="B34" s="118"/>
      <c r="C34" s="3034" t="s">
        <v>3033</v>
      </c>
      <c r="D34" s="2913" t="s">
        <v>3041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4">
      <c r="A35" s="1915" t="s">
        <v>1911</v>
      </c>
      <c r="B35" s="115">
        <v>200</v>
      </c>
      <c r="C35" s="3034" t="s">
        <v>3034</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1912</v>
      </c>
      <c r="B36" s="119">
        <v>1.4999999999999999E-2</v>
      </c>
      <c r="C36" s="3034" t="s">
        <v>3035</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17" t="s">
        <v>1913</v>
      </c>
      <c r="B37" s="120">
        <v>0.02</v>
      </c>
      <c r="C37" s="3034" t="s">
        <v>3036</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15" t="s">
        <v>1914</v>
      </c>
      <c r="B38" s="118">
        <v>0.02</v>
      </c>
      <c r="C38" s="3034" t="s">
        <v>3036</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18" t="s">
        <v>1915</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8.2" thickBot="1">
      <c r="A40" s="3046" t="s">
        <v>3082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3" t="s">
        <v>1916</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19" t="s">
        <v>1917</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19" t="s">
        <v>1918</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0" t="s">
        <v>1919</v>
      </c>
      <c r="B44" s="124">
        <v>0.05</v>
      </c>
      <c r="C44" s="3034" t="s">
        <v>3045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0" t="s">
        <v>1920</v>
      </c>
      <c r="B45" s="122">
        <v>0.03</v>
      </c>
      <c r="C45" s="3033" t="s">
        <v>3037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0" t="s">
        <v>1921</v>
      </c>
      <c r="B46" s="122">
        <v>0.02</v>
      </c>
      <c r="C46" s="3033" t="s">
        <v>3038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1922</v>
      </c>
      <c r="B47" s="125"/>
      <c r="C47" s="3036" t="s">
        <v>3046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2" t="s">
        <v>1923</v>
      </c>
      <c r="B48" s="126">
        <v>0.03</v>
      </c>
      <c r="C48" s="3033" t="s">
        <v>3037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1924</v>
      </c>
      <c r="B49" s="122">
        <v>5.0000000000000001E-4</v>
      </c>
      <c r="C49" s="3033" t="s">
        <v>3039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3" t="s">
        <v>1925</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1926</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3" t="s">
        <v>1927</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15" t="s">
        <v>1928</v>
      </c>
      <c r="B53" s="1924" t="s">
        <v>523</v>
      </c>
      <c r="C53" s="2888" t="s">
        <v>1929</v>
      </c>
      <c r="D53" s="3035" t="s">
        <v>3043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25" t="s">
        <v>1930</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25" t="s">
        <v>1931</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25" t="s">
        <v>1932</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25" t="s">
        <v>1933</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25" t="s">
        <v>1934</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25" t="s">
        <v>1935</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25" t="s">
        <v>1936</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25" t="s">
        <v>1937</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25" t="s">
        <v>1938</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1939</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72" customWidth="1"/>
    <col min="2" max="2" width="24.44140625" style="1757" customWidth="1"/>
    <col min="3" max="3" width="24.44140625" style="2736" customWidth="1"/>
    <col min="4" max="4" width="2.6640625" style="2736" customWidth="1"/>
    <col min="5" max="5" width="5.88671875" style="2736" customWidth="1"/>
    <col min="6" max="6" width="27" style="1757" customWidth="1"/>
    <col min="7" max="7" width="27" style="2737" customWidth="1"/>
    <col min="8" max="8" width="11.88671875" style="2717" customWidth="1"/>
    <col min="9" max="9" width="16.77734375" style="2718" customWidth="1"/>
    <col min="10" max="10" width="2.6640625" style="2717" customWidth="1"/>
    <col min="11" max="11" width="11.88671875" style="2717" customWidth="1"/>
    <col min="12" max="12" width="16.77734375" style="2718" customWidth="1"/>
    <col min="13" max="13" width="2.6640625" style="2717" customWidth="1"/>
    <col min="14" max="14" width="11.88671875" style="2717" customWidth="1"/>
    <col min="15" max="15" width="16.77734375" style="2718" customWidth="1"/>
    <col min="16" max="16" width="2.6640625" style="2717" customWidth="1"/>
    <col min="17" max="17" width="11.88671875" style="2717" customWidth="1"/>
    <col min="18" max="18" width="16.77734375" style="2719" customWidth="1"/>
    <col min="19" max="29" width="9" style="907"/>
    <col min="30" max="16384" width="9" style="1872"/>
  </cols>
  <sheetData>
    <row r="1" spans="1:29" s="2683" customFormat="1" ht="18" thickBot="1">
      <c r="A1" s="3166" t="s">
        <v>3023</v>
      </c>
      <c r="B1" s="3167"/>
      <c r="C1" s="3167"/>
      <c r="D1" s="3167"/>
      <c r="E1" s="3167"/>
      <c r="F1" s="3167"/>
      <c r="G1" s="316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4.4" thickBot="1">
      <c r="A2" s="2684"/>
      <c r="B2" s="2685"/>
      <c r="C2" s="2686" t="s">
        <v>3018</v>
      </c>
      <c r="D2" s="2687"/>
      <c r="E2" s="2684"/>
      <c r="F2" s="2688"/>
      <c r="G2" s="2686" t="s">
        <v>3019</v>
      </c>
      <c r="H2" s="907"/>
      <c r="I2" s="907"/>
      <c r="J2" s="907"/>
      <c r="K2" s="907"/>
      <c r="L2" s="907"/>
      <c r="M2" s="907"/>
      <c r="N2" s="907"/>
      <c r="O2" s="907"/>
      <c r="P2" s="907"/>
      <c r="Q2" s="907"/>
      <c r="R2" s="907"/>
    </row>
    <row r="3" spans="1:29" ht="48">
      <c r="A3" s="2667" t="s">
        <v>3020</v>
      </c>
      <c r="B3" s="2689" t="s">
        <v>2989</v>
      </c>
      <c r="C3" s="2690" t="s">
        <v>3021</v>
      </c>
      <c r="D3" s="2691"/>
      <c r="E3" s="2668" t="s">
        <v>3020</v>
      </c>
      <c r="F3" s="2692" t="s">
        <v>2990</v>
      </c>
      <c r="G3" s="2693" t="s">
        <v>3022</v>
      </c>
      <c r="H3" s="907"/>
      <c r="I3" s="907"/>
      <c r="J3" s="907"/>
      <c r="K3" s="907"/>
      <c r="L3" s="907"/>
      <c r="M3" s="907"/>
      <c r="N3" s="907"/>
      <c r="O3" s="907"/>
      <c r="P3" s="907"/>
      <c r="Q3" s="907"/>
      <c r="R3" s="907"/>
    </row>
    <row r="4" spans="1:29" ht="37.200000000000003">
      <c r="A4" s="2668"/>
      <c r="B4" s="329" t="s">
        <v>2991</v>
      </c>
      <c r="C4" s="2694" t="s">
        <v>2992</v>
      </c>
      <c r="D4" s="2691"/>
      <c r="E4" s="2695"/>
      <c r="F4" s="1557" t="s">
        <v>2993</v>
      </c>
      <c r="G4" s="2696" t="s">
        <v>2994</v>
      </c>
      <c r="H4" s="907"/>
      <c r="I4" s="907"/>
      <c r="J4" s="907"/>
      <c r="K4" s="907"/>
      <c r="L4" s="907"/>
      <c r="M4" s="907"/>
      <c r="N4" s="907"/>
      <c r="O4" s="907"/>
      <c r="P4" s="907"/>
      <c r="Q4" s="907"/>
      <c r="R4" s="907"/>
    </row>
    <row r="5" spans="1:29" ht="37.200000000000003">
      <c r="A5" s="2668"/>
      <c r="B5" s="329" t="s">
        <v>2995</v>
      </c>
      <c r="C5" s="2694" t="s">
        <v>2996</v>
      </c>
      <c r="D5" s="2691"/>
      <c r="E5" s="2695"/>
      <c r="F5" s="329" t="s">
        <v>2997</v>
      </c>
      <c r="G5" s="2696" t="s">
        <v>2998</v>
      </c>
      <c r="H5" s="907"/>
      <c r="I5" s="907"/>
      <c r="J5" s="907"/>
      <c r="K5" s="907"/>
      <c r="L5" s="907"/>
      <c r="M5" s="907"/>
      <c r="N5" s="907"/>
      <c r="O5" s="907"/>
      <c r="P5" s="907"/>
      <c r="Q5" s="907"/>
      <c r="R5" s="907"/>
    </row>
    <row r="6" spans="1:29" ht="48">
      <c r="A6" s="2668"/>
      <c r="B6" s="329" t="s">
        <v>2999</v>
      </c>
      <c r="C6" s="2696" t="s">
        <v>2994</v>
      </c>
      <c r="D6" s="2691"/>
      <c r="E6" s="2695"/>
      <c r="F6" s="329" t="s">
        <v>3000</v>
      </c>
      <c r="G6" s="2696" t="s">
        <v>3001</v>
      </c>
      <c r="H6" s="907"/>
      <c r="I6" s="907"/>
      <c r="J6" s="907"/>
      <c r="K6" s="907"/>
      <c r="L6" s="907"/>
      <c r="M6" s="907"/>
      <c r="N6" s="907"/>
      <c r="O6" s="907"/>
      <c r="P6" s="907"/>
      <c r="Q6" s="907"/>
      <c r="R6" s="907"/>
    </row>
    <row r="7" spans="1:29" ht="36.6" thickBot="1">
      <c r="A7" s="2668"/>
      <c r="B7" s="329" t="s">
        <v>2997</v>
      </c>
      <c r="C7" s="2696" t="s">
        <v>2998</v>
      </c>
      <c r="D7" s="2697"/>
      <c r="E7" s="2698"/>
      <c r="F7" s="2699" t="s">
        <v>3002</v>
      </c>
      <c r="G7" s="2700" t="s">
        <v>3003</v>
      </c>
      <c r="H7" s="907"/>
      <c r="I7" s="907"/>
      <c r="J7" s="907"/>
      <c r="K7" s="907"/>
      <c r="L7" s="907"/>
      <c r="M7" s="907"/>
      <c r="N7" s="907"/>
      <c r="O7" s="907"/>
      <c r="P7" s="907"/>
      <c r="Q7" s="907"/>
      <c r="R7" s="907"/>
    </row>
    <row r="8" spans="1:29" ht="24">
      <c r="A8" s="2668"/>
      <c r="B8" s="329" t="s">
        <v>3000</v>
      </c>
      <c r="C8" s="2696" t="s">
        <v>3001</v>
      </c>
      <c r="D8" s="2697"/>
      <c r="E8" s="2697"/>
      <c r="F8" s="2701"/>
      <c r="G8" s="2701"/>
      <c r="H8" s="907"/>
      <c r="I8" s="907"/>
      <c r="J8" s="907"/>
      <c r="K8" s="907"/>
      <c r="L8" s="907"/>
      <c r="M8" s="907"/>
      <c r="N8" s="907"/>
      <c r="O8" s="907"/>
      <c r="P8" s="907"/>
      <c r="Q8" s="907"/>
      <c r="R8" s="907"/>
    </row>
    <row r="9" spans="1:29" ht="24">
      <c r="A9" s="2668"/>
      <c r="B9" s="329" t="s">
        <v>3004</v>
      </c>
      <c r="C9" s="2694" t="s">
        <v>3005</v>
      </c>
      <c r="D9" s="2691"/>
      <c r="E9" s="2697"/>
      <c r="F9" s="2701"/>
      <c r="G9" s="2701"/>
      <c r="H9" s="907"/>
      <c r="I9" s="907"/>
      <c r="J9" s="907"/>
      <c r="K9" s="907"/>
      <c r="L9" s="907"/>
      <c r="M9" s="907"/>
      <c r="N9" s="907"/>
      <c r="O9" s="907"/>
      <c r="P9" s="907"/>
      <c r="Q9" s="907"/>
      <c r="R9" s="907"/>
    </row>
    <row r="10" spans="1:29" s="2707" customFormat="1" ht="14.4" thickBot="1">
      <c r="A10" s="2669"/>
      <c r="B10" s="2702" t="s">
        <v>3006</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7.399999999999999">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 thickBot="1">
      <c r="A13" s="2716" t="s">
        <v>3024</v>
      </c>
      <c r="B13" s="2710"/>
      <c r="C13" s="2710"/>
      <c r="D13" s="2708"/>
      <c r="E13" s="2710"/>
      <c r="F13" s="2710"/>
      <c r="G13" s="2710"/>
    </row>
    <row r="14" spans="1:29" ht="14.4" thickBot="1">
      <c r="A14" s="2720"/>
      <c r="B14" s="2720"/>
      <c r="C14" s="2721" t="s">
        <v>3007</v>
      </c>
      <c r="D14" s="2691"/>
      <c r="E14" s="2722"/>
      <c r="F14" s="2722"/>
      <c r="G14" s="2686" t="s">
        <v>3008</v>
      </c>
    </row>
    <row r="15" spans="1:29" ht="52.8">
      <c r="A15" s="2670" t="s">
        <v>3009</v>
      </c>
      <c r="B15" s="2723" t="s">
        <v>2989</v>
      </c>
      <c r="C15" s="2724" t="str">
        <f>C3</f>
        <v>估价对象周边居住用地比例、居住小区规模和社区发展完善程度，综合评价居住社区成熟度一般</v>
      </c>
      <c r="D15" s="2691"/>
      <c r="E15" s="2671" t="s">
        <v>3010</v>
      </c>
      <c r="F15" s="2723" t="s">
        <v>3011</v>
      </c>
      <c r="G15" s="2725" t="str">
        <f>G3</f>
        <v>估价对象位于XX开发区，园区建设成熟度XX，产业集聚程度XX</v>
      </c>
    </row>
    <row r="16" spans="1:29" ht="39.6">
      <c r="A16" s="2672"/>
      <c r="B16" s="2726" t="s">
        <v>2991</v>
      </c>
      <c r="C16" s="2727" t="str">
        <f>C4</f>
        <v>估价对象位于XX商圈，周边商业氛围成熟，人流量大，商业繁华度好</v>
      </c>
      <c r="D16" s="2691"/>
      <c r="E16" s="2673"/>
      <c r="F16" s="2728" t="s">
        <v>2993</v>
      </c>
      <c r="G16" s="2729" t="str">
        <f>G4</f>
        <v>估价对象周边道路状况、公共交通通达情况、停车便捷程度，综合评价交通便捷度较好</v>
      </c>
    </row>
    <row r="17" spans="1:18" ht="39.6">
      <c r="A17" s="2672"/>
      <c r="B17" s="2726" t="s">
        <v>2995</v>
      </c>
      <c r="C17" s="2727" t="str">
        <f>C5</f>
        <v>估价对象位于XX商圈，周边办公楼项目较多，入驻率高，办公集聚程度较好</v>
      </c>
      <c r="D17" s="2697"/>
      <c r="E17" s="2673"/>
      <c r="F17" s="2728" t="s">
        <v>3012</v>
      </c>
      <c r="G17" s="2730"/>
    </row>
    <row r="18" spans="1:18" ht="52.8">
      <c r="A18" s="2672"/>
      <c r="B18" s="2728" t="s">
        <v>2999</v>
      </c>
      <c r="C18" s="2729" t="str">
        <f>C6</f>
        <v>估价对象周边道路状况、公共交通通达情况、停车便捷程度，综合评价交通便捷度较好</v>
      </c>
      <c r="D18" s="2697"/>
      <c r="E18" s="2673"/>
      <c r="F18" s="2728" t="s">
        <v>3002</v>
      </c>
      <c r="G18" s="2729" t="str">
        <f>G7</f>
        <v>该园区内是否有污染型企业，绿化情况，卫生条件，整体环境状况判断</v>
      </c>
    </row>
    <row r="19" spans="1:18" ht="26.4">
      <c r="A19" s="2672"/>
      <c r="B19" s="2728" t="s">
        <v>3013</v>
      </c>
      <c r="C19" s="2730"/>
      <c r="D19" s="2691"/>
      <c r="E19" s="2673"/>
      <c r="F19" s="329" t="s">
        <v>2997</v>
      </c>
      <c r="G19" s="2729" t="str">
        <f>G5</f>
        <v>估价对象所在区域公共配套设施齐备情况</v>
      </c>
    </row>
    <row r="20" spans="1:18" ht="26.4">
      <c r="A20" s="2672"/>
      <c r="B20" s="2728" t="s">
        <v>3014</v>
      </c>
      <c r="C20" s="2727" t="str">
        <f>C9</f>
        <v>区域自然环境：；人文环境；综合评价环境状况一般</v>
      </c>
      <c r="D20" s="2697"/>
      <c r="E20" s="2673"/>
      <c r="F20" s="329" t="s">
        <v>3000</v>
      </c>
      <c r="G20" s="2729" t="str">
        <f>G6</f>
        <v>估价对象所在区域基础设施水平</v>
      </c>
    </row>
    <row r="21" spans="1:18" ht="26.4">
      <c r="A21" s="2672"/>
      <c r="B21" s="329" t="s">
        <v>2997</v>
      </c>
      <c r="C21" s="2729" t="str">
        <f>C7</f>
        <v>估价对象所在区域公共配套设施齐备情况</v>
      </c>
      <c r="D21" s="2691"/>
      <c r="E21" s="2673"/>
      <c r="F21" s="2728" t="s">
        <v>3015</v>
      </c>
      <c r="G21" s="2731"/>
    </row>
    <row r="22" spans="1:18" ht="13.5" customHeight="1">
      <c r="A22" s="2672"/>
      <c r="B22" s="329" t="s">
        <v>3000</v>
      </c>
      <c r="C22" s="2729" t="str">
        <f>C8</f>
        <v>估价对象所在区域基础设施水平</v>
      </c>
      <c r="D22" s="2691"/>
      <c r="E22" s="2673"/>
      <c r="F22" s="2728" t="s">
        <v>3006</v>
      </c>
      <c r="G22" s="2730"/>
    </row>
    <row r="23" spans="1:18" s="907" customFormat="1" ht="14.4" thickBot="1">
      <c r="A23" s="2672"/>
      <c r="B23" s="2728" t="s">
        <v>3015</v>
      </c>
      <c r="C23" s="2731"/>
      <c r="D23" s="1927"/>
      <c r="E23" s="2674"/>
      <c r="F23" s="2732" t="s">
        <v>3016</v>
      </c>
      <c r="G23" s="2733"/>
      <c r="H23" s="2717"/>
      <c r="I23" s="2718"/>
      <c r="J23" s="2717"/>
      <c r="K23" s="2717"/>
      <c r="L23" s="2718"/>
      <c r="M23" s="2717"/>
      <c r="N23" s="2717"/>
      <c r="O23" s="2718"/>
      <c r="P23" s="2717"/>
      <c r="Q23" s="2717"/>
      <c r="R23" s="2719"/>
    </row>
    <row r="24" spans="1:18" s="907" customFormat="1" ht="14.4" thickBot="1">
      <c r="A24" s="2675"/>
      <c r="B24" s="2732" t="s">
        <v>3017</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739" customWidth="1"/>
    <col min="2" max="9" width="15.77734375" style="2739" customWidth="1"/>
    <col min="10" max="16384" width="9" style="2739"/>
  </cols>
  <sheetData>
    <row r="1" spans="1:11" ht="16.2">
      <c r="A1" s="2738" t="s">
        <v>1331</v>
      </c>
      <c r="B1" s="2738">
        <f>SUM(B14:B23)</f>
        <v>13846.800000000001</v>
      </c>
      <c r="C1" s="2915"/>
      <c r="D1" s="2915"/>
      <c r="E1" s="2915"/>
      <c r="F1" s="2915"/>
      <c r="G1" s="2916"/>
      <c r="H1" s="2917"/>
      <c r="I1" s="2917"/>
      <c r="J1" s="2917"/>
      <c r="K1" s="2917"/>
    </row>
    <row r="2" spans="1:11" ht="16.2">
      <c r="A2" s="2738" t="s">
        <v>1319</v>
      </c>
      <c r="B2" s="2738">
        <f>SUM(C14:C23)</f>
        <v>9053.6</v>
      </c>
      <c r="C2" s="2915"/>
      <c r="D2" s="2915"/>
      <c r="E2" s="2915"/>
      <c r="F2" s="2915"/>
      <c r="G2" s="2916"/>
      <c r="H2" s="2917"/>
      <c r="I2" s="2917"/>
      <c r="J2" s="2917"/>
      <c r="K2" s="2917"/>
    </row>
    <row r="3" spans="1:11" ht="15.6">
      <c r="A3" s="2738" t="s">
        <v>1328</v>
      </c>
      <c r="B3" s="2740">
        <f>项目基本情况!D3</f>
        <v>44385</v>
      </c>
      <c r="C3" s="2915"/>
      <c r="D3" s="2915"/>
      <c r="E3" s="2915"/>
      <c r="F3" s="2915"/>
      <c r="G3" s="2916"/>
      <c r="H3" s="2917"/>
      <c r="I3" s="2917"/>
      <c r="J3" s="2917"/>
      <c r="K3" s="2917"/>
    </row>
    <row r="4" spans="1:11" ht="31.2">
      <c r="A4" s="2738" t="s">
        <v>1327</v>
      </c>
      <c r="B4" s="2738" t="s">
        <v>1326</v>
      </c>
      <c r="C4" s="2738" t="s">
        <v>1325</v>
      </c>
      <c r="D4" s="2738" t="s">
        <v>1324</v>
      </c>
      <c r="E4" s="2915"/>
      <c r="F4" s="2916"/>
      <c r="G4" s="2916"/>
      <c r="H4" s="2917"/>
      <c r="I4" s="2917"/>
      <c r="J4" s="2917"/>
      <c r="K4" s="2917"/>
    </row>
    <row r="5" spans="1:11" ht="15.6">
      <c r="A5" s="2738" t="s">
        <v>1323</v>
      </c>
      <c r="B5" s="2738">
        <f ca="1">SUM(D14:D23)</f>
        <v>11972</v>
      </c>
      <c r="C5" s="2738">
        <f ca="1">ROUND(B5*10000/$B$1,0)</f>
        <v>8646</v>
      </c>
      <c r="D5" s="2738">
        <f ca="1">ROUND(B5*10000/$B$2,0)</f>
        <v>13223</v>
      </c>
      <c r="E5" s="2915"/>
      <c r="F5" s="2916"/>
      <c r="G5" s="2916"/>
      <c r="H5" s="2917"/>
      <c r="I5" s="2917"/>
      <c r="J5" s="2917"/>
      <c r="K5" s="2917"/>
    </row>
    <row r="6" spans="1:11" ht="15.6">
      <c r="A6" s="2738" t="s">
        <v>1322</v>
      </c>
      <c r="B6" s="2738">
        <f ca="1">SUM(G14:G23)</f>
        <v>11972</v>
      </c>
      <c r="C6" s="2738">
        <f ca="1">ROUND(B6*10000/$B$1,0)</f>
        <v>8646</v>
      </c>
      <c r="D6" s="2738">
        <f ca="1">ROUND(B6*10000/$B$2,0)</f>
        <v>13223</v>
      </c>
      <c r="E6" s="2915"/>
      <c r="F6" s="2916"/>
      <c r="G6" s="2916"/>
      <c r="H6" s="2917"/>
      <c r="I6" s="2917"/>
      <c r="J6" s="2917"/>
      <c r="K6" s="2917"/>
    </row>
    <row r="7" spans="1:11" ht="15.6">
      <c r="A7" s="2738" t="s">
        <v>1330</v>
      </c>
      <c r="B7" s="2738">
        <f>SUM(H14:H23)</f>
        <v>0</v>
      </c>
      <c r="C7" s="2738">
        <f>ROUND(B7*10000/$B$1,0)</f>
        <v>0</v>
      </c>
      <c r="D7" s="2738">
        <f>ROUND(B7*10000/$B$2,0)</f>
        <v>0</v>
      </c>
      <c r="E7" s="2915"/>
      <c r="F7" s="2916"/>
      <c r="G7" s="2916"/>
      <c r="H7" s="2917"/>
      <c r="I7" s="2917"/>
      <c r="J7" s="2917"/>
      <c r="K7" s="2917"/>
    </row>
    <row r="8" spans="1:11" ht="15.6">
      <c r="A8" s="2738" t="s">
        <v>1252</v>
      </c>
      <c r="B8" s="2738">
        <f>SUM(I14:I23)</f>
        <v>0</v>
      </c>
      <c r="C8" s="2738">
        <f>ROUND(B8*10000/$B$1,0)</f>
        <v>0</v>
      </c>
      <c r="D8" s="2738">
        <f>ROUND(B8*10000/$B$2,0)</f>
        <v>0</v>
      </c>
      <c r="E8" s="2915"/>
      <c r="F8" s="2916"/>
      <c r="G8" s="2916"/>
      <c r="H8" s="2917"/>
      <c r="I8" s="2917"/>
      <c r="J8" s="2917"/>
      <c r="K8" s="2917"/>
    </row>
    <row r="9" spans="1:11" ht="15.6">
      <c r="A9" s="2738" t="s">
        <v>1321</v>
      </c>
      <c r="B9" s="2746"/>
      <c r="C9" s="2915"/>
      <c r="D9" s="2915"/>
      <c r="E9" s="2915"/>
      <c r="F9" s="2916"/>
      <c r="G9" s="2916"/>
      <c r="H9" s="2917"/>
      <c r="I9" s="2917"/>
      <c r="J9" s="2917"/>
      <c r="K9" s="2917"/>
    </row>
    <row r="10" spans="1:11" ht="15.6">
      <c r="A10" s="2738" t="s">
        <v>1320</v>
      </c>
      <c r="B10" s="2746"/>
      <c r="C10" s="2915"/>
      <c r="D10" s="2915"/>
      <c r="E10" s="2915"/>
      <c r="F10" s="2916"/>
      <c r="G10" s="2916"/>
      <c r="H10" s="2917"/>
      <c r="I10" s="2917"/>
      <c r="J10" s="2917"/>
      <c r="K10" s="2917"/>
    </row>
    <row r="11" spans="1:11" ht="15.6">
      <c r="A11" s="2738" t="s">
        <v>1336</v>
      </c>
      <c r="B11" s="2746"/>
      <c r="C11" s="2915"/>
      <c r="D11" s="2915"/>
      <c r="E11" s="2915"/>
      <c r="F11" s="2916"/>
      <c r="G11" s="2916"/>
      <c r="H11" s="2917"/>
      <c r="I11" s="2917"/>
      <c r="J11" s="2917"/>
      <c r="K11" s="2917"/>
    </row>
    <row r="12" spans="1:11" ht="15.6">
      <c r="A12" s="2915"/>
      <c r="B12" s="2915"/>
      <c r="C12" s="2915"/>
      <c r="D12" s="2915"/>
      <c r="E12" s="2915"/>
      <c r="F12" s="2916"/>
      <c r="G12" s="2916"/>
      <c r="H12" s="2917"/>
      <c r="I12" s="2917"/>
      <c r="J12" s="2917"/>
      <c r="K12" s="2917"/>
    </row>
    <row r="13" spans="1:11" ht="31.8">
      <c r="A13" s="2741" t="s">
        <v>1335</v>
      </c>
      <c r="B13" s="2742" t="s">
        <v>1332</v>
      </c>
      <c r="C13" s="2742" t="s">
        <v>1334</v>
      </c>
      <c r="D13" s="2742" t="s">
        <v>1333</v>
      </c>
      <c r="E13" s="2738" t="s">
        <v>1325</v>
      </c>
      <c r="F13" s="2738" t="s">
        <v>1324</v>
      </c>
      <c r="G13" s="2742" t="s">
        <v>1318</v>
      </c>
      <c r="H13" s="2742" t="s">
        <v>1329</v>
      </c>
      <c r="I13" s="2742" t="s">
        <v>1317</v>
      </c>
      <c r="J13" s="2916"/>
      <c r="K13" s="2917"/>
    </row>
    <row r="14" spans="1:11" ht="15.6">
      <c r="A14" s="2743" t="s">
        <v>1316</v>
      </c>
      <c r="B14" s="2744">
        <f>结果表!B118</f>
        <v>13846.800000000001</v>
      </c>
      <c r="C14" s="2744">
        <f>结果表!C118</f>
        <v>9053.6</v>
      </c>
      <c r="D14" s="2744">
        <f ca="1">结果表!H118</f>
        <v>11972</v>
      </c>
      <c r="E14" s="2744">
        <f ca="1">ROUND(D14*10000/B14,0)</f>
        <v>8646</v>
      </c>
      <c r="F14" s="2744">
        <f ca="1">ROUND(D14*10000/C14,0)</f>
        <v>13223</v>
      </c>
      <c r="G14" s="2744">
        <f ca="1">结果表!D122</f>
        <v>11972</v>
      </c>
      <c r="H14" s="2744" t="str">
        <f>结果表!D124</f>
        <v>——</v>
      </c>
      <c r="I14" s="2744" t="str">
        <f>结果表!D126</f>
        <v>——</v>
      </c>
      <c r="J14" s="2916"/>
      <c r="K14" s="2917"/>
    </row>
    <row r="15" spans="1:11" ht="15.6">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5.6">
      <c r="A16" s="2743" t="s">
        <v>1314</v>
      </c>
      <c r="B16" s="2745"/>
      <c r="C16" s="2745"/>
      <c r="D16" s="2745"/>
      <c r="E16" s="2744" t="e">
        <f t="shared" si="0"/>
        <v>#DIV/0!</v>
      </c>
      <c r="F16" s="2744" t="e">
        <f t="shared" si="1"/>
        <v>#DIV/0!</v>
      </c>
      <c r="G16" s="1500"/>
      <c r="H16" s="1500"/>
      <c r="I16" s="2745"/>
      <c r="J16" s="2917"/>
      <c r="K16" s="2917"/>
    </row>
    <row r="17" spans="1:11" ht="15.6">
      <c r="A17" s="2743" t="s">
        <v>1313</v>
      </c>
      <c r="B17" s="2745"/>
      <c r="C17" s="2745"/>
      <c r="D17" s="2745"/>
      <c r="E17" s="2744" t="e">
        <f t="shared" si="0"/>
        <v>#DIV/0!</v>
      </c>
      <c r="F17" s="2744" t="e">
        <f t="shared" si="1"/>
        <v>#DIV/0!</v>
      </c>
      <c r="G17" s="1500"/>
      <c r="H17" s="1500"/>
      <c r="I17" s="2745"/>
      <c r="J17" s="2917"/>
      <c r="K17" s="2917"/>
    </row>
    <row r="18" spans="1:11" ht="15.6">
      <c r="A18" s="2743" t="s">
        <v>1312</v>
      </c>
      <c r="B18" s="2745"/>
      <c r="C18" s="2745"/>
      <c r="D18" s="2745"/>
      <c r="E18" s="2744" t="e">
        <f t="shared" si="0"/>
        <v>#DIV/0!</v>
      </c>
      <c r="F18" s="2744" t="e">
        <f t="shared" si="1"/>
        <v>#DIV/0!</v>
      </c>
      <c r="G18" s="2745"/>
      <c r="H18" s="2745"/>
      <c r="I18" s="2745"/>
      <c r="J18" s="2917"/>
      <c r="K18" s="2917"/>
    </row>
    <row r="19" spans="1:11" ht="15.6">
      <c r="A19" s="2743" t="s">
        <v>1311</v>
      </c>
      <c r="B19" s="2745"/>
      <c r="C19" s="2745"/>
      <c r="D19" s="2745"/>
      <c r="E19" s="2744" t="e">
        <f t="shared" si="0"/>
        <v>#DIV/0!</v>
      </c>
      <c r="F19" s="2744" t="e">
        <f t="shared" si="1"/>
        <v>#DIV/0!</v>
      </c>
      <c r="G19" s="2745"/>
      <c r="H19" s="2745"/>
      <c r="I19" s="2745"/>
      <c r="J19" s="2917"/>
      <c r="K19" s="2917"/>
    </row>
    <row r="20" spans="1:11" ht="15.6">
      <c r="A20" s="2743" t="s">
        <v>1310</v>
      </c>
      <c r="B20" s="2745"/>
      <c r="C20" s="2745"/>
      <c r="D20" s="2745"/>
      <c r="E20" s="2744" t="e">
        <f t="shared" si="0"/>
        <v>#DIV/0!</v>
      </c>
      <c r="F20" s="2744" t="e">
        <f t="shared" si="1"/>
        <v>#DIV/0!</v>
      </c>
      <c r="G20" s="2745"/>
      <c r="H20" s="2745"/>
      <c r="I20" s="2745"/>
      <c r="J20" s="2917"/>
      <c r="K20" s="2917"/>
    </row>
    <row r="21" spans="1:11" ht="15.6">
      <c r="A21" s="2743" t="s">
        <v>1309</v>
      </c>
      <c r="B21" s="2745"/>
      <c r="C21" s="2745"/>
      <c r="D21" s="2745"/>
      <c r="E21" s="2744" t="e">
        <f t="shared" si="0"/>
        <v>#DIV/0!</v>
      </c>
      <c r="F21" s="2744" t="e">
        <f t="shared" si="1"/>
        <v>#DIV/0!</v>
      </c>
      <c r="G21" s="2745"/>
      <c r="H21" s="2745"/>
      <c r="I21" s="2745"/>
      <c r="J21" s="2917"/>
      <c r="K21" s="2917"/>
    </row>
    <row r="22" spans="1:11" ht="15.6">
      <c r="A22" s="2743" t="s">
        <v>1308</v>
      </c>
      <c r="B22" s="2745"/>
      <c r="C22" s="2745"/>
      <c r="D22" s="2745"/>
      <c r="E22" s="2744" t="e">
        <f t="shared" si="0"/>
        <v>#DIV/0!</v>
      </c>
      <c r="F22" s="2744" t="e">
        <f t="shared" si="1"/>
        <v>#DIV/0!</v>
      </c>
      <c r="G22" s="2745"/>
      <c r="H22" s="2745"/>
      <c r="I22" s="2745"/>
      <c r="J22" s="2917"/>
      <c r="K22" s="2917"/>
    </row>
    <row r="23" spans="1:11" ht="15.6">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12" zoomScaleNormal="100" zoomScaleSheetLayoutView="100" zoomScalePageLayoutView="80" workbookViewId="0">
      <selection activeCell="H119" sqref="H119:I119"/>
    </sheetView>
  </sheetViews>
  <sheetFormatPr defaultColWidth="12.6640625" defaultRowHeight="21.75" customHeight="1"/>
  <cols>
    <col min="1" max="2" width="12.6640625" style="1939"/>
    <col min="3" max="4" width="12.6640625" style="1939" customWidth="1"/>
    <col min="5" max="9" width="12.6640625" style="1939"/>
    <col min="10" max="11" width="12.6640625" style="734" customWidth="1"/>
    <col min="12" max="12" width="12.6640625" style="734"/>
    <col min="13" max="13" width="14.109375" style="734" bestFit="1" customWidth="1"/>
    <col min="14" max="26" width="12.6640625" style="734"/>
    <col min="27" max="35" width="12.6640625" style="1938"/>
    <col min="36" max="16384" width="12.6640625" style="1939"/>
  </cols>
  <sheetData>
    <row r="1" spans="1:12" ht="21.75" customHeight="1" thickBot="1">
      <c r="A1" s="1822" t="s">
        <v>1945</v>
      </c>
      <c r="B1" s="1933"/>
      <c r="C1" s="1934"/>
      <c r="D1" s="1933"/>
      <c r="E1" s="1933"/>
      <c r="F1" s="1935" t="s">
        <v>1946</v>
      </c>
      <c r="G1" s="1746"/>
      <c r="H1" s="1936" t="str">
        <f>IF(G1="现房","——","估价对象范围")</f>
        <v>估价对象范围</v>
      </c>
      <c r="I1" s="1937"/>
    </row>
    <row r="2" spans="1:12" ht="21.75" customHeight="1" thickBot="1">
      <c r="A2" s="3202" t="str">
        <f>项目基本情况!S2</f>
        <v>北京市房地产</v>
      </c>
      <c r="B2" s="3203"/>
      <c r="C2" s="3203"/>
      <c r="D2" s="3203"/>
      <c r="E2" s="3203"/>
      <c r="F2" s="3203"/>
      <c r="G2" s="3203"/>
      <c r="H2" s="3203"/>
      <c r="I2" s="3204"/>
    </row>
    <row r="3" spans="1:12" ht="13.2">
      <c r="A3" s="3206" t="s">
        <v>1947</v>
      </c>
      <c r="B3" s="3207"/>
      <c r="C3" s="3207"/>
      <c r="D3" s="3207"/>
      <c r="E3" s="3207"/>
      <c r="F3" s="3207"/>
      <c r="G3" s="3207"/>
      <c r="H3" s="3207"/>
      <c r="I3" s="3207"/>
    </row>
    <row r="4" spans="1:12" ht="14.4">
      <c r="A4" s="1940" t="s">
        <v>1948</v>
      </c>
      <c r="B4" s="1941" t="s">
        <v>1949</v>
      </c>
      <c r="C4" s="1942" t="s">
        <v>3091</v>
      </c>
      <c r="D4" s="1942" t="s">
        <v>3092</v>
      </c>
      <c r="E4" s="3208" t="s">
        <v>1950</v>
      </c>
      <c r="F4" s="3209"/>
      <c r="G4" s="3209"/>
      <c r="H4" s="3209"/>
      <c r="I4" s="32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182" t="s">
        <v>1951</v>
      </c>
      <c r="B5" s="3169">
        <v>25</v>
      </c>
      <c r="C5" s="3185"/>
      <c r="D5" s="3205"/>
      <c r="E5" s="136" t="s">
        <v>1952</v>
      </c>
      <c r="F5" s="1943"/>
      <c r="G5" s="1943"/>
      <c r="H5" s="1943"/>
      <c r="I5" s="1557"/>
    </row>
    <row r="6" spans="1:12" ht="13.2">
      <c r="A6" s="3182"/>
      <c r="B6" s="3169"/>
      <c r="C6" s="3186"/>
      <c r="D6" s="3205"/>
      <c r="E6" s="136" t="s">
        <v>1953</v>
      </c>
      <c r="F6" s="1943"/>
      <c r="G6" s="1943"/>
      <c r="H6" s="1943"/>
      <c r="I6" s="1557"/>
    </row>
    <row r="7" spans="1:12" ht="13.2">
      <c r="A7" s="3182"/>
      <c r="B7" s="3169"/>
      <c r="C7" s="3187"/>
      <c r="D7" s="3205"/>
      <c r="E7" s="136" t="s">
        <v>1954</v>
      </c>
      <c r="F7" s="1943"/>
      <c r="G7" s="1943"/>
      <c r="H7" s="1943"/>
      <c r="I7" s="1557"/>
    </row>
    <row r="8" spans="1:12" ht="13.2">
      <c r="A8" s="3182" t="s">
        <v>1955</v>
      </c>
      <c r="B8" s="3169">
        <v>15</v>
      </c>
      <c r="C8" s="3185"/>
      <c r="D8" s="3205"/>
      <c r="E8" s="136" t="s">
        <v>1956</v>
      </c>
      <c r="F8" s="1943"/>
      <c r="G8" s="1943"/>
      <c r="H8" s="1943"/>
      <c r="I8" s="1557"/>
    </row>
    <row r="9" spans="1:12" ht="13.2">
      <c r="A9" s="3182"/>
      <c r="B9" s="3169"/>
      <c r="C9" s="3187"/>
      <c r="D9" s="3205"/>
      <c r="E9" s="136" t="s">
        <v>1957</v>
      </c>
      <c r="F9" s="1943"/>
      <c r="G9" s="1943"/>
      <c r="H9" s="1943"/>
      <c r="I9" s="1557"/>
    </row>
    <row r="10" spans="1:12" ht="13.2">
      <c r="A10" s="3182" t="s">
        <v>1958</v>
      </c>
      <c r="B10" s="3169">
        <v>15</v>
      </c>
      <c r="C10" s="3185"/>
      <c r="D10" s="3205"/>
      <c r="E10" s="136" t="s">
        <v>1959</v>
      </c>
      <c r="F10" s="1943"/>
      <c r="G10" s="1943"/>
      <c r="H10" s="1943"/>
      <c r="I10" s="1557"/>
    </row>
    <row r="11" spans="1:12" ht="13.2">
      <c r="A11" s="3182"/>
      <c r="B11" s="3169"/>
      <c r="C11" s="3187"/>
      <c r="D11" s="3205"/>
      <c r="E11" s="136" t="s">
        <v>1960</v>
      </c>
      <c r="F11" s="1943"/>
      <c r="G11" s="1943"/>
      <c r="H11" s="1943"/>
      <c r="I11" s="1557"/>
    </row>
    <row r="12" spans="1:12" ht="13.2">
      <c r="A12" s="3182" t="s">
        <v>1961</v>
      </c>
      <c r="B12" s="3169">
        <v>15</v>
      </c>
      <c r="C12" s="3185"/>
      <c r="D12" s="3205"/>
      <c r="E12" s="136" t="s">
        <v>1962</v>
      </c>
      <c r="F12" s="1943"/>
      <c r="G12" s="1943"/>
      <c r="H12" s="1943"/>
      <c r="I12" s="1557"/>
    </row>
    <row r="13" spans="1:12" ht="13.2">
      <c r="A13" s="3182"/>
      <c r="B13" s="3169"/>
      <c r="C13" s="3187"/>
      <c r="D13" s="3205"/>
      <c r="E13" s="136" t="s">
        <v>1963</v>
      </c>
      <c r="F13" s="1943"/>
      <c r="G13" s="1943"/>
      <c r="H13" s="1943"/>
      <c r="I13" s="1557"/>
    </row>
    <row r="14" spans="1:12" ht="13.2">
      <c r="A14" s="3182" t="s">
        <v>1964</v>
      </c>
      <c r="B14" s="3169">
        <v>30</v>
      </c>
      <c r="C14" s="3185">
        <v>6</v>
      </c>
      <c r="D14" s="3205">
        <v>4</v>
      </c>
      <c r="E14" s="136" t="s">
        <v>1965</v>
      </c>
      <c r="F14" s="1943"/>
      <c r="G14" s="1943"/>
      <c r="H14" s="1943"/>
      <c r="I14" s="1557"/>
    </row>
    <row r="15" spans="1:12" ht="13.2">
      <c r="A15" s="3182"/>
      <c r="B15" s="3169"/>
      <c r="C15" s="3186"/>
      <c r="D15" s="3205"/>
      <c r="E15" s="136" t="s">
        <v>1966</v>
      </c>
      <c r="F15" s="1943"/>
      <c r="G15" s="1943"/>
      <c r="H15" s="1943"/>
      <c r="I15" s="1557"/>
    </row>
    <row r="16" spans="1:12" ht="13.2">
      <c r="A16" s="3182"/>
      <c r="B16" s="3169"/>
      <c r="C16" s="3187"/>
      <c r="D16" s="3205"/>
      <c r="E16" s="136" t="s">
        <v>1967</v>
      </c>
      <c r="F16" s="1943"/>
      <c r="G16" s="1943"/>
      <c r="H16" s="1943"/>
      <c r="I16" s="1557"/>
    </row>
    <row r="17" spans="1:36" ht="14.4">
      <c r="A17" s="1944" t="s">
        <v>1968</v>
      </c>
      <c r="B17" s="60"/>
      <c r="C17" s="137">
        <f>SUM(C5:C16)</f>
        <v>6</v>
      </c>
      <c r="D17" s="137">
        <f>SUM(D5:D16)</f>
        <v>4</v>
      </c>
      <c r="E17" s="134"/>
      <c r="F17" s="134"/>
      <c r="G17" s="134"/>
      <c r="H17" s="134"/>
      <c r="I17" s="134"/>
      <c r="K17" s="308"/>
      <c r="L17" s="308" t="s">
        <v>1969</v>
      </c>
      <c r="M17" s="308" t="s">
        <v>1970</v>
      </c>
    </row>
    <row r="18" spans="1:36" ht="31.95" customHeight="1" thickBot="1">
      <c r="A18" s="1945" t="s">
        <v>1971</v>
      </c>
      <c r="B18" s="1946"/>
      <c r="C18" s="138">
        <f>ROUND(C17/SUM(C17:D17),2)</f>
        <v>0.6</v>
      </c>
      <c r="D18" s="138">
        <f>1-C18</f>
        <v>0.4</v>
      </c>
      <c r="E18" s="3192" t="s">
        <v>2866</v>
      </c>
      <c r="F18" s="3193"/>
      <c r="G18" s="3193"/>
      <c r="H18" s="3193"/>
      <c r="I18" s="3193"/>
      <c r="K18" s="308" t="s">
        <v>1972</v>
      </c>
      <c r="L18" s="308">
        <f>IF(C1="",'数据-汇总表'!E3,SUMIF(项目类型,C1,'数据-汇总表'!E17:E26)+SUMIF(项目类型,C1,'数据-汇总表'!I17:I26))</f>
        <v>13846.800000000001</v>
      </c>
      <c r="M18" s="308">
        <f>IF(C1="",'数据-汇总表'!E3,SUMIF(项目类型,C1,'数据-汇总表'!E17:E26))</f>
        <v>13846.800000000001</v>
      </c>
    </row>
    <row r="19" spans="1:36" ht="14.4">
      <c r="A19" s="1947" t="s">
        <v>1973</v>
      </c>
      <c r="B19" s="1948" t="s">
        <v>1974</v>
      </c>
      <c r="C19" s="139">
        <f ca="1">SUMIF(INDIRECT("'"&amp;C4&amp;"'"&amp;"!A:A"),结果表!B19,INDIRECT("'"&amp;C4&amp;"'"&amp;"!B:B"))</f>
        <v>6868</v>
      </c>
      <c r="D19" s="140">
        <f ca="1">SUMIF(INDIRECT("'"&amp;D4&amp;"'"&amp;"!A:A"),结果表!B19,INDIRECT("'"&amp;D4&amp;"'"&amp;"!B:B"))</f>
        <v>19628</v>
      </c>
      <c r="E19" s="1947" t="s">
        <v>1975</v>
      </c>
      <c r="F19" s="1948" t="s">
        <v>1974</v>
      </c>
      <c r="G19" s="141">
        <f ca="1">ROUND(C19*$C$18+D19*$D$18,0)</f>
        <v>11972</v>
      </c>
      <c r="H19" s="1949" t="s">
        <v>1976</v>
      </c>
      <c r="I19" s="134"/>
      <c r="K19" s="308" t="s">
        <v>1977</v>
      </c>
      <c r="L19" s="308">
        <f>IF(C1="",'数据-汇总表'!D3,SUMIF(项目类型,C1,'数据-汇总表'!D17:D26)+SUMIF(项目类型,C1,'数据-汇总表'!H17:H27))</f>
        <v>9053.6</v>
      </c>
      <c r="M19" s="308">
        <f>IF(C1="",'数据-汇总表'!D3,SUMIF(项目类型,C1,'数据-汇总表'!D17:D26))</f>
        <v>9053.6</v>
      </c>
    </row>
    <row r="20" spans="1:36" ht="14.4">
      <c r="A20" s="1950"/>
      <c r="B20" s="1157" t="s">
        <v>1978</v>
      </c>
      <c r="C20" s="142">
        <f ca="1">SUMIF(INDIRECT("'"&amp;C4&amp;"'"&amp;"!A:A"),结果表!B20,INDIRECT("'"&amp;C4&amp;"'"&amp;"!B:B"))</f>
        <v>4960</v>
      </c>
      <c r="D20" s="143">
        <f ca="1">SUMIF(INDIRECT("'"&amp;D4&amp;"'"&amp;"!A:A"),结果表!B20,INDIRECT("'"&amp;D4&amp;"'"&amp;"!B:B"))</f>
        <v>14175</v>
      </c>
      <c r="E20" s="1950"/>
      <c r="F20" s="1157" t="s">
        <v>1978</v>
      </c>
      <c r="G20" s="144">
        <f ca="1">ROUND(C20*$C$18+D20*$D$18,0)</f>
        <v>8646</v>
      </c>
      <c r="H20" s="917" t="s">
        <v>1979</v>
      </c>
      <c r="I20" s="134"/>
    </row>
    <row r="21" spans="1:36" ht="15" customHeight="1" thickBot="1">
      <c r="A21" s="937"/>
      <c r="B21" s="1951" t="s">
        <v>1980</v>
      </c>
      <c r="C21" s="728">
        <f ca="1">ROUND(C19*10000/L19,0)</f>
        <v>7586</v>
      </c>
      <c r="D21" s="729">
        <f ca="1">ROUND(D19*10000/L19,0)</f>
        <v>21680</v>
      </c>
      <c r="E21" s="937"/>
      <c r="F21" s="1951" t="s">
        <v>1980</v>
      </c>
      <c r="G21" s="145">
        <f ca="1">ROUND(G19*10000/L19,0)</f>
        <v>13223</v>
      </c>
      <c r="H21" s="1952" t="s">
        <v>1979</v>
      </c>
      <c r="I21" s="134"/>
    </row>
    <row r="22" spans="1:36" ht="15" thickBot="1">
      <c r="A22" s="1874" t="s">
        <v>1981</v>
      </c>
      <c r="B22" s="1953"/>
      <c r="C22" s="1954"/>
      <c r="D22" s="730">
        <f ca="1">IF(C19&lt;D19,D19/C19-1,C19/D19-1)</f>
        <v>1.8578916715200933</v>
      </c>
      <c r="E22" s="3075" t="s">
        <v>3110</v>
      </c>
      <c r="F22" s="3075" t="s">
        <v>3104</v>
      </c>
      <c r="G22" s="3075">
        <v>9244</v>
      </c>
      <c r="H22" s="134"/>
      <c r="I22" s="134"/>
    </row>
    <row r="23" spans="1:36" ht="13.8" thickBot="1">
      <c r="A23" s="1933"/>
      <c r="B23" s="1933"/>
      <c r="C23" s="1933"/>
      <c r="D23" s="1933"/>
      <c r="E23" s="3075"/>
      <c r="F23" s="3075" t="s">
        <v>3109</v>
      </c>
      <c r="G23" s="3075">
        <v>6759</v>
      </c>
      <c r="H23" s="134"/>
      <c r="I23" s="134"/>
    </row>
    <row r="24" spans="1:36" ht="14.4">
      <c r="A24" s="3176" t="s">
        <v>1982</v>
      </c>
      <c r="B24" s="1948" t="s">
        <v>1974</v>
      </c>
      <c r="C24" s="141">
        <f>IF(B30=0,0,D30)</f>
        <v>0</v>
      </c>
      <c r="D24" s="1955"/>
      <c r="E24" s="134"/>
      <c r="F24" s="134"/>
      <c r="G24" s="134"/>
      <c r="H24" s="134"/>
      <c r="I24" s="134"/>
    </row>
    <row r="25" spans="1:36" ht="14.4">
      <c r="A25" s="3177"/>
      <c r="B25" s="1157" t="s">
        <v>1978</v>
      </c>
      <c r="C25" s="146">
        <f>IF(B30=0,0,C30)</f>
        <v>0</v>
      </c>
      <c r="D25" s="1956"/>
      <c r="E25" s="134"/>
      <c r="F25" s="134"/>
      <c r="G25" s="134"/>
      <c r="H25" s="134"/>
      <c r="I25" s="134"/>
    </row>
    <row r="26" spans="1:36" ht="13.5" customHeight="1">
      <c r="A26" s="1957" t="s">
        <v>1983</v>
      </c>
      <c r="B26" s="147" t="s">
        <v>1984</v>
      </c>
      <c r="C26" s="147" t="s">
        <v>1985</v>
      </c>
      <c r="D26" s="148" t="s">
        <v>1986</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1987</v>
      </c>
      <c r="B30" s="147"/>
      <c r="C30" s="147"/>
      <c r="D30" s="147"/>
      <c r="E30" s="2521" t="s">
        <v>2867</v>
      </c>
      <c r="F30" s="134"/>
      <c r="G30" s="134"/>
      <c r="H30" s="134"/>
      <c r="I30" s="134"/>
    </row>
    <row r="31" spans="1:36" s="2527" customFormat="1" ht="26.4" customHeight="1" thickTop="1" thickBot="1">
      <c r="A31" s="2522"/>
      <c r="B31" s="2523"/>
      <c r="C31" s="2523"/>
      <c r="D31" s="2523"/>
      <c r="E31" s="2523"/>
      <c r="F31" s="2523"/>
      <c r="G31" s="2523"/>
      <c r="H31" s="2523"/>
      <c r="I31" s="2524" t="s">
        <v>2868</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1988</v>
      </c>
      <c r="B32" s="1960"/>
      <c r="C32" s="149">
        <f ca="1">IF(D32="总价",G19-C24,G20-C25)</f>
        <v>11972</v>
      </c>
      <c r="D32" s="1961" t="s">
        <v>3104</v>
      </c>
      <c r="E32" s="134"/>
      <c r="F32" s="134"/>
      <c r="G32" s="134"/>
      <c r="H32" s="134"/>
      <c r="I32" s="134"/>
    </row>
    <row r="33" spans="1:15" ht="14.4">
      <c r="A33" s="894" t="s">
        <v>1989</v>
      </c>
      <c r="B33" s="1962"/>
      <c r="C33" s="1963" t="s">
        <v>3105</v>
      </c>
      <c r="D33" s="1964" t="s">
        <v>3091</v>
      </c>
      <c r="E33" s="1965" t="s">
        <v>1990</v>
      </c>
      <c r="F33" s="1966" t="str">
        <f>IF(D32="楼面单价","取值（单价）","取值（总价）")</f>
        <v>取值（总价）</v>
      </c>
      <c r="G33" s="134"/>
      <c r="H33" s="134"/>
      <c r="I33" s="134"/>
    </row>
    <row r="34" spans="1:15" ht="14.4">
      <c r="A34" s="1967"/>
      <c r="B34" s="1968" t="s">
        <v>1991</v>
      </c>
      <c r="C34" s="153">
        <f ca="1">IF(C33="自定义",F34,C32-C35)</f>
        <v>5591</v>
      </c>
      <c r="D34" s="970">
        <f ca="1">IF(C33="自定义",ROUND(C34/C32,3),IF(C33="收益比率",SUMIF(INDIRECT("'"&amp;D33&amp;"'"&amp;"!b:b"),"土地收益比率",INDIRECT("'"&amp;D33&amp;"'"&amp;"!c:c")),SUMIF(INDIRECT("'"&amp;D33&amp;"'"&amp;"!b:b"),"土地成本比率",INDIRECT("'"&amp;D33&amp;"'"&amp;"!c:c"))))</f>
        <v>0.46699999999999997</v>
      </c>
      <c r="E34" s="1969" t="s">
        <v>1992</v>
      </c>
      <c r="F34" s="1498"/>
      <c r="G34" s="134"/>
      <c r="H34" s="134"/>
      <c r="I34" s="134"/>
    </row>
    <row r="35" spans="1:15" ht="15" thickBot="1">
      <c r="A35" s="1970"/>
      <c r="B35" s="1971" t="s">
        <v>1993</v>
      </c>
      <c r="C35" s="1332">
        <f ca="1">IF(C33="自定义",F35,ROUND(C32*D35,0))</f>
        <v>6381</v>
      </c>
      <c r="D35" s="1333">
        <f ca="1">IF(C33="自定义",ROUND(C35/C32,3),IF(C33="收益比率",SUMIF(INDIRECT("'"&amp;D33&amp;"'"&amp;"!b:b"),"建筑物收益比率",INDIRECT("'"&amp;D33&amp;"'"&amp;"!c:c")),SUMIF(INDIRECT("'"&amp;D33&amp;"'"&amp;"!b:b"),"建筑物成本比率",INDIRECT("'"&amp;D33&amp;"'"&amp;"!c:c"))))</f>
        <v>0.53300000000000003</v>
      </c>
      <c r="E35" s="1972" t="s">
        <v>1994</v>
      </c>
      <c r="F35" s="159"/>
      <c r="G35" s="134"/>
      <c r="H35" s="134"/>
      <c r="I35" s="134"/>
    </row>
    <row r="36" spans="1:15" ht="15" thickBot="1">
      <c r="A36" s="3196" t="s">
        <v>1995</v>
      </c>
      <c r="B36" s="1973" t="s">
        <v>1996</v>
      </c>
      <c r="C36" s="150"/>
      <c r="D36" s="1974"/>
      <c r="E36" s="1975"/>
      <c r="F36" s="1976"/>
      <c r="G36" s="134"/>
      <c r="H36" s="134"/>
      <c r="I36" s="134"/>
    </row>
    <row r="37" spans="1:15" ht="15" thickBot="1">
      <c r="A37" s="3197"/>
      <c r="B37" s="1860" t="s">
        <v>1997</v>
      </c>
      <c r="C37" s="152"/>
      <c r="D37" s="1301"/>
      <c r="E37" s="1301"/>
      <c r="F37" s="1976"/>
      <c r="G37" s="134"/>
      <c r="H37" s="134"/>
      <c r="I37" s="134"/>
    </row>
    <row r="38" spans="1:15" ht="15" thickBot="1">
      <c r="A38" s="3198"/>
      <c r="B38" s="1977" t="s">
        <v>1998</v>
      </c>
      <c r="C38" s="683"/>
      <c r="D38" s="1978" t="s">
        <v>1999</v>
      </c>
      <c r="E38" s="1301"/>
      <c r="F38" s="1976"/>
      <c r="G38" s="134"/>
      <c r="H38" s="134"/>
      <c r="I38" s="134"/>
    </row>
    <row r="39" spans="1:15" ht="14.4">
      <c r="A39" s="1950" t="s">
        <v>2000</v>
      </c>
      <c r="B39" s="1979" t="s">
        <v>2001</v>
      </c>
      <c r="C39" s="1980" t="s">
        <v>2002</v>
      </c>
      <c r="D39" s="1980" t="s">
        <v>2003</v>
      </c>
      <c r="E39" s="1981" t="s">
        <v>2004</v>
      </c>
      <c r="F39" s="1976"/>
      <c r="G39" s="134"/>
      <c r="H39" s="134"/>
      <c r="I39" s="134"/>
    </row>
    <row r="40" spans="1:15" ht="13.8">
      <c r="A40" s="1982" t="s">
        <v>2005</v>
      </c>
      <c r="B40" s="154"/>
      <c r="C40" s="155"/>
      <c r="D40" s="155"/>
      <c r="E40" s="156"/>
      <c r="F40" s="1976"/>
      <c r="G40" s="134"/>
      <c r="H40" s="134"/>
      <c r="I40" s="134"/>
    </row>
    <row r="41" spans="1:15" ht="13.8">
      <c r="A41" s="1982" t="s">
        <v>2006</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2007</v>
      </c>
      <c r="B44" s="1987"/>
      <c r="C44" s="1987"/>
      <c r="D44" s="1988"/>
      <c r="E44" s="1988"/>
      <c r="F44" s="1989"/>
      <c r="G44" s="1989"/>
      <c r="H44" s="1989"/>
      <c r="I44" s="1989"/>
      <c r="J44" s="1990" t="s">
        <v>2008</v>
      </c>
      <c r="K44" s="1991"/>
      <c r="L44" s="1991"/>
      <c r="M44" s="1991"/>
      <c r="N44" s="1991"/>
      <c r="O44" s="1991"/>
    </row>
    <row r="45" spans="1:15" ht="14.25" customHeight="1" thickBot="1">
      <c r="A45" s="3173" t="s">
        <v>2009</v>
      </c>
      <c r="B45" s="3174"/>
      <c r="C45" s="3175"/>
      <c r="D45" s="160">
        <f ca="1">ROUND(H101*F45,0)</f>
        <v>11972</v>
      </c>
      <c r="E45" s="161" t="s">
        <v>2010</v>
      </c>
      <c r="F45" s="162">
        <v>1</v>
      </c>
      <c r="G45" s="163" t="s">
        <v>2011</v>
      </c>
      <c r="H45" s="134"/>
      <c r="I45" s="134"/>
      <c r="J45" s="3254" t="s">
        <v>2012</v>
      </c>
      <c r="K45" s="3254"/>
      <c r="L45" s="3254"/>
      <c r="M45" s="3254"/>
      <c r="N45" s="3254"/>
      <c r="O45" s="3254"/>
    </row>
    <row r="46" spans="1:15" ht="14.25" customHeight="1">
      <c r="A46" s="3170" t="s">
        <v>2013</v>
      </c>
      <c r="B46" s="3171"/>
      <c r="C46" s="3171"/>
      <c r="D46" s="3171"/>
      <c r="E46" s="3171"/>
      <c r="F46" s="3171"/>
      <c r="G46" s="3172"/>
      <c r="H46" s="1992"/>
      <c r="I46" s="164"/>
      <c r="J46" s="2749">
        <v>1</v>
      </c>
      <c r="K46" s="3235" t="s">
        <v>2014</v>
      </c>
      <c r="L46" s="3235"/>
      <c r="M46" s="3255"/>
      <c r="N46" s="3255"/>
      <c r="O46" s="3255"/>
    </row>
    <row r="47" spans="1:15" ht="12" customHeight="1">
      <c r="A47" s="165" t="s">
        <v>2015</v>
      </c>
      <c r="B47" s="166"/>
      <c r="C47" s="167"/>
      <c r="D47" s="1247" t="s">
        <v>2016</v>
      </c>
      <c r="E47" s="308" t="s">
        <v>2017</v>
      </c>
      <c r="F47" s="168" t="s">
        <v>2018</v>
      </c>
      <c r="G47" s="2772" t="s">
        <v>2019</v>
      </c>
      <c r="H47" s="2773"/>
      <c r="I47" s="164"/>
      <c r="J47" s="2749">
        <v>2</v>
      </c>
      <c r="K47" s="3235" t="s">
        <v>2020</v>
      </c>
      <c r="L47" s="3235"/>
      <c r="M47" s="3256">
        <f>'数据-取费表'!B2</f>
        <v>44385</v>
      </c>
      <c r="N47" s="3256"/>
      <c r="O47" s="3256"/>
    </row>
    <row r="48" spans="1:15" ht="26.4">
      <c r="A48" s="3201" t="s">
        <v>2021</v>
      </c>
      <c r="B48" s="3184"/>
      <c r="C48" s="3184"/>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2022</v>
      </c>
      <c r="H48" s="2776"/>
      <c r="I48" s="1992"/>
      <c r="J48" s="2749">
        <v>3</v>
      </c>
      <c r="K48" s="3235" t="s">
        <v>2023</v>
      </c>
      <c r="L48" s="3235"/>
      <c r="M48" s="3257">
        <f ca="1">H101</f>
        <v>11972</v>
      </c>
      <c r="N48" s="3257"/>
      <c r="O48" s="3257"/>
    </row>
    <row r="49" spans="1:35" ht="25.5" customHeight="1">
      <c r="A49" s="2556" t="s">
        <v>2024</v>
      </c>
      <c r="B49" s="3168" t="s">
        <v>2025</v>
      </c>
      <c r="C49" s="3168"/>
      <c r="D49" s="1775">
        <v>0</v>
      </c>
      <c r="E49" s="330" t="s">
        <v>2026</v>
      </c>
      <c r="F49" s="2650" t="s">
        <v>34</v>
      </c>
      <c r="G49" s="3241"/>
      <c r="H49" s="2528" t="s">
        <v>2869</v>
      </c>
      <c r="I49" s="2529"/>
      <c r="J49" s="2749">
        <v>4</v>
      </c>
      <c r="K49" s="3235" t="str">
        <f>IF(项目基本情况!E8="房地产抵押价值","房地产抵押价值","抵押担保权已注销时的房地产抵押价值")</f>
        <v>房地产抵押价值</v>
      </c>
      <c r="L49" s="3235"/>
      <c r="M49" s="3257">
        <f ca="1">IF(项目基本情况!E8="房地产抵押价值",H107,H109)</f>
        <v>11972</v>
      </c>
      <c r="N49" s="3257"/>
      <c r="O49" s="3257"/>
    </row>
    <row r="50" spans="1:35" ht="25.5" customHeight="1">
      <c r="A50" s="2777"/>
      <c r="B50" s="3168" t="s">
        <v>2027</v>
      </c>
      <c r="C50" s="3168"/>
      <c r="D50" s="2778"/>
      <c r="E50" s="338"/>
      <c r="F50" s="2650"/>
      <c r="G50" s="3242"/>
      <c r="H50" s="2530" t="s">
        <v>2870</v>
      </c>
      <c r="I50" s="2529"/>
      <c r="J50" s="3254" t="s">
        <v>2028</v>
      </c>
      <c r="K50" s="3254"/>
      <c r="L50" s="3254"/>
      <c r="M50" s="3254"/>
      <c r="N50" s="3254"/>
      <c r="O50" s="3254"/>
    </row>
    <row r="51" spans="1:35" ht="20.399999999999999" customHeight="1">
      <c r="A51" s="2779"/>
      <c r="B51" s="3168" t="s">
        <v>2029</v>
      </c>
      <c r="C51" s="3168"/>
      <c r="D51" s="1247"/>
      <c r="E51" s="333"/>
      <c r="F51" s="2650"/>
      <c r="G51" s="3243"/>
      <c r="H51" s="2530" t="s">
        <v>2871</v>
      </c>
      <c r="I51" s="2529"/>
      <c r="J51" s="2750" t="s">
        <v>2030</v>
      </c>
      <c r="K51" s="3235" t="s">
        <v>2031</v>
      </c>
      <c r="L51" s="3235"/>
      <c r="M51" s="2750" t="s">
        <v>2032</v>
      </c>
      <c r="N51" s="2750" t="s">
        <v>2033</v>
      </c>
      <c r="O51" s="2750" t="s">
        <v>2034</v>
      </c>
    </row>
    <row r="52" spans="1:35" ht="24" customHeight="1">
      <c r="A52" s="2558" t="s">
        <v>2035</v>
      </c>
      <c r="B52" s="3168" t="s">
        <v>2036</v>
      </c>
      <c r="C52" s="3168"/>
      <c r="D52" s="1247">
        <f ca="1">ROUND(D45*'数据-取费表'!B41/(1+'数据-取费表'!C42),0)</f>
        <v>627</v>
      </c>
      <c r="E52" s="2557" t="s">
        <v>2037</v>
      </c>
      <c r="F52" s="2780">
        <f>'数据-取费表'!B41</f>
        <v>5.5000000000000007E-2</v>
      </c>
      <c r="G52" s="2781"/>
      <c r="H52" s="2770"/>
      <c r="I52" s="1993"/>
      <c r="J52" s="2749">
        <v>1</v>
      </c>
      <c r="K52" s="3236" t="s">
        <v>2038</v>
      </c>
      <c r="L52" s="3236"/>
      <c r="M52" s="2751" t="b">
        <f>D48</f>
        <v>0</v>
      </c>
      <c r="N52" s="2749" t="str">
        <f>E48</f>
        <v>销售额×税（费）率</v>
      </c>
      <c r="O52" s="2752">
        <f>F48</f>
        <v>5.5000000000000007E-2</v>
      </c>
    </row>
    <row r="53" spans="1:35" ht="12" customHeight="1">
      <c r="A53" s="2558" t="s">
        <v>2039</v>
      </c>
      <c r="B53" s="3194" t="s">
        <v>3028</v>
      </c>
      <c r="C53" s="3195"/>
      <c r="D53" s="1247">
        <f ca="1">ROUND(D45*'数据-取费表'!B41/(1+'数据-取费表'!C42),0)</f>
        <v>627</v>
      </c>
      <c r="E53" s="2557" t="s">
        <v>2037</v>
      </c>
      <c r="F53" s="2780">
        <f>'数据-取费表'!B41</f>
        <v>5.5000000000000007E-2</v>
      </c>
      <c r="G53" s="2781"/>
      <c r="H53" s="2770"/>
      <c r="I53" s="1993"/>
      <c r="J53" s="2749">
        <v>2</v>
      </c>
      <c r="K53" s="3236" t="s">
        <v>2040</v>
      </c>
      <c r="L53" s="3236"/>
      <c r="M53" s="2751">
        <f t="shared" ref="M53:O54" ca="1" si="0">D55</f>
        <v>6</v>
      </c>
      <c r="N53" s="2749" t="str">
        <f t="shared" si="0"/>
        <v>销售额×税（费）率</v>
      </c>
      <c r="O53" s="2752" t="str">
        <f t="shared" si="0"/>
        <v>免征</v>
      </c>
    </row>
    <row r="54" spans="1:35" ht="12" customHeight="1">
      <c r="A54" s="2558" t="s">
        <v>2041</v>
      </c>
      <c r="B54" s="3194" t="s">
        <v>3029</v>
      </c>
      <c r="C54" s="3195"/>
      <c r="D54" s="1247">
        <f ca="1">C68</f>
        <v>627</v>
      </c>
      <c r="E54" s="333" t="s">
        <v>2042</v>
      </c>
      <c r="F54" s="2780">
        <f>'数据-取费表'!B41</f>
        <v>5.5000000000000007E-2</v>
      </c>
      <c r="G54" s="2781"/>
      <c r="H54" s="2782"/>
      <c r="I54" s="1993"/>
      <c r="J54" s="2749">
        <v>3</v>
      </c>
      <c r="K54" s="3236" t="s">
        <v>2043</v>
      </c>
      <c r="L54" s="3236"/>
      <c r="M54" s="2751">
        <f t="shared" ca="1" si="0"/>
        <v>6787</v>
      </c>
      <c r="N54" s="2749" t="str">
        <f t="shared" si="0"/>
        <v>增值额×税（费）率</v>
      </c>
      <c r="O54" s="2753" t="str">
        <f t="shared" si="0"/>
        <v>免征</v>
      </c>
    </row>
    <row r="55" spans="1:35" ht="24" customHeight="1">
      <c r="A55" s="3183" t="s">
        <v>2044</v>
      </c>
      <c r="B55" s="3184"/>
      <c r="C55" s="3184"/>
      <c r="D55" s="2547">
        <f ca="1">IF(H55="个人住宅",0,ROUND(D45*I55,0))</f>
        <v>6</v>
      </c>
      <c r="E55" s="2557" t="s">
        <v>2045</v>
      </c>
      <c r="F55" s="2780" t="str">
        <f>IF(H55="正常",I55,"免征")</f>
        <v>免征</v>
      </c>
      <c r="G55" s="2781"/>
      <c r="H55" s="2776"/>
      <c r="I55" s="170">
        <f>'数据-取费表'!B49</f>
        <v>5.0000000000000001E-4</v>
      </c>
      <c r="J55" s="2749">
        <f>IF(H59="非个人房产","",4)</f>
        <v>4</v>
      </c>
      <c r="K55" s="3236" t="str">
        <f>IF(H59="非个人房产","——","个人所得税")</f>
        <v>个人所得税</v>
      </c>
      <c r="L55" s="3236"/>
      <c r="M55" s="2754">
        <f ca="1">D59</f>
        <v>114</v>
      </c>
      <c r="N55" s="2228" t="str">
        <f>E59</f>
        <v>差额计税</v>
      </c>
      <c r="O55" s="2755">
        <f>F59</f>
        <v>0.01</v>
      </c>
    </row>
    <row r="56" spans="1:35" ht="25.2">
      <c r="A56" s="3183" t="s">
        <v>2046</v>
      </c>
      <c r="B56" s="3184"/>
      <c r="C56" s="3184"/>
      <c r="D56" s="2547">
        <f ca="1">IF(H56="个人住宅",D57,D58)</f>
        <v>6787</v>
      </c>
      <c r="E56" s="2557" t="s">
        <v>2047</v>
      </c>
      <c r="F56" s="2780" t="str">
        <f>IF(H56="正常",F58,"免征")</f>
        <v>免征</v>
      </c>
      <c r="G56" s="2783" t="s">
        <v>2048</v>
      </c>
      <c r="H56" s="2784"/>
      <c r="I56" s="1994"/>
      <c r="J56" s="2749" t="str">
        <f>IF(项目基本情况!K6="上海银行",IF(J55="",4,J55+1),"")</f>
        <v/>
      </c>
      <c r="K56" s="3259" t="str">
        <f>IF(项目基本情况!K6="上海银行","其他处置费用","")</f>
        <v/>
      </c>
      <c r="L56" s="3260"/>
      <c r="M56" s="2751" t="str">
        <f>IF(项目基本情况!K6="上海银行",M69,"")</f>
        <v/>
      </c>
      <c r="N56" s="3259" t="str">
        <f>IF(项目基本情况!K6="上海银行","包含处置中涉及的律师、诉讼、拍卖、评估等费用","")</f>
        <v/>
      </c>
      <c r="O56" s="3262"/>
    </row>
    <row r="57" spans="1:35" ht="13.2">
      <c r="A57" s="2558" t="s">
        <v>2024</v>
      </c>
      <c r="B57" s="3194" t="s">
        <v>2049</v>
      </c>
      <c r="C57" s="3195"/>
      <c r="D57" s="1775">
        <v>0</v>
      </c>
      <c r="E57" s="330" t="s">
        <v>2026</v>
      </c>
      <c r="F57" s="308"/>
      <c r="G57" s="2781"/>
      <c r="H57" s="2785"/>
      <c r="I57" s="1994"/>
      <c r="J57" s="3236">
        <f>IF(AND(J55="",J56=""),4,IF(项目基本情况!K6="上海银行",结果表!J56+1,结果表!J55+1))</f>
        <v>5</v>
      </c>
      <c r="K57" s="3236" t="s">
        <v>2050</v>
      </c>
      <c r="L57" s="2756" t="s">
        <v>2051</v>
      </c>
      <c r="M57" s="2757"/>
      <c r="N57" s="2758">
        <f ca="1">SUMIF(M52:M56,"&lt;9e307")</f>
        <v>6907</v>
      </c>
      <c r="O57" s="2759"/>
      <c r="P57" s="2919">
        <f ca="1">N57/M49</f>
        <v>0.576929502171734</v>
      </c>
    </row>
    <row r="58" spans="1:35" ht="25.2">
      <c r="A58" s="2558" t="s">
        <v>2035</v>
      </c>
      <c r="B58" s="3194" t="s">
        <v>2052</v>
      </c>
      <c r="C58" s="3168"/>
      <c r="D58" s="2547">
        <f ca="1">IF(H58="转让取得",C81,C97)</f>
        <v>6787</v>
      </c>
      <c r="E58" s="2557" t="s">
        <v>2047</v>
      </c>
      <c r="F58" s="308" t="s">
        <v>34</v>
      </c>
      <c r="G58" s="2781"/>
      <c r="H58" s="2784"/>
      <c r="I58" s="1994"/>
      <c r="J58" s="3236"/>
      <c r="K58" s="3236"/>
      <c r="L58" s="2756" t="s">
        <v>2053</v>
      </c>
      <c r="M58" s="2760"/>
      <c r="N58" s="2761" t="str">
        <f ca="1">NUMBERSTRING(INT(N57*10000),2)&amp;"元整"</f>
        <v>陆仟玖佰零柒万元整</v>
      </c>
      <c r="O58" s="2762"/>
    </row>
    <row r="59" spans="1:35" ht="24.6" thickBot="1">
      <c r="A59" s="3239" t="s">
        <v>2054</v>
      </c>
      <c r="B59" s="3240"/>
      <c r="C59" s="3240"/>
      <c r="D59" s="2786">
        <f ca="1">IF(H59="非个人房产","——",IF(H59="个人住宅（满五唯一有凭证）",0,IF(H59="个人其他（无凭证）",ROUND(D45*F59,0),ROUND(C67*F59,0))))</f>
        <v>114</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2048</v>
      </c>
      <c r="H59" s="2532"/>
      <c r="I59" s="2531" t="s">
        <v>2872</v>
      </c>
      <c r="J59" s="3237">
        <f>J57+1</f>
        <v>6</v>
      </c>
      <c r="K59" s="3236" t="s">
        <v>2055</v>
      </c>
      <c r="L59" s="2749" t="s">
        <v>2051</v>
      </c>
      <c r="M59" s="2763"/>
      <c r="N59" s="2764">
        <f ca="1">M49-N57</f>
        <v>5065</v>
      </c>
      <c r="O59" s="2765"/>
    </row>
    <row r="60" spans="1:35" ht="12" customHeight="1">
      <c r="A60" s="1995"/>
      <c r="B60" s="1933"/>
      <c r="C60" s="1933"/>
      <c r="D60" s="1933"/>
      <c r="E60" s="1763"/>
      <c r="F60" s="1994"/>
      <c r="G60" s="1994"/>
      <c r="H60" s="1996"/>
      <c r="I60" s="134"/>
      <c r="J60" s="3238"/>
      <c r="K60" s="3236"/>
      <c r="L60" s="2756" t="s">
        <v>2053</v>
      </c>
      <c r="M60" s="2760"/>
      <c r="N60" s="2761" t="str">
        <f ca="1">NUMBERSTRING(INT(N59*10000),2)&amp;"元整"</f>
        <v>伍仟零陆拾伍万元整</v>
      </c>
      <c r="O60" s="2762"/>
    </row>
    <row r="61" spans="1:35" ht="13.8" thickBot="1">
      <c r="A61" s="3181" t="s">
        <v>2056</v>
      </c>
      <c r="B61" s="3181"/>
      <c r="C61" s="3181"/>
      <c r="D61" s="3181"/>
      <c r="E61" s="3181"/>
      <c r="F61" s="1994"/>
      <c r="G61" s="1994"/>
      <c r="H61" s="1996"/>
      <c r="I61" s="134"/>
      <c r="J61" s="2749">
        <f>J59+1</f>
        <v>7</v>
      </c>
      <c r="K61" s="3236" t="s">
        <v>2057</v>
      </c>
      <c r="L61" s="3236"/>
      <c r="M61" s="2766"/>
      <c r="N61" s="2767">
        <f ca="1">ROUND(N59*10000/'数据-汇总表'!E3,0)</f>
        <v>3658</v>
      </c>
      <c r="O61" s="2768"/>
    </row>
    <row r="62" spans="1:35" ht="13.2">
      <c r="A62" s="3199" t="s">
        <v>2058</v>
      </c>
      <c r="B62" s="3200"/>
      <c r="C62" s="2209"/>
      <c r="D62" s="2209" t="s">
        <v>2059</v>
      </c>
      <c r="E62" s="171" t="s">
        <v>2060</v>
      </c>
      <c r="F62" s="1994"/>
      <c r="G62" s="1994"/>
      <c r="H62" s="1996"/>
      <c r="I62" s="134"/>
    </row>
    <row r="63" spans="1:35" ht="13.2">
      <c r="A63" s="178" t="s">
        <v>775</v>
      </c>
      <c r="B63" s="172" t="s">
        <v>2061</v>
      </c>
      <c r="C63" s="2790">
        <f ca="1">ROUND((C64+C65)/(1+'数据-取费表'!C42),0)</f>
        <v>11402</v>
      </c>
      <c r="D63" s="172"/>
      <c r="E63" s="173"/>
      <c r="F63" s="1994"/>
      <c r="G63" s="1994"/>
      <c r="H63" s="1996"/>
      <c r="I63" s="134"/>
      <c r="J63" s="3261" t="s">
        <v>2062</v>
      </c>
      <c r="K63" s="1501" t="s">
        <v>2063</v>
      </c>
      <c r="L63" s="1501">
        <f ca="1">IF(M49&gt;10000,M49*0.5%,IF(AND(M49&gt;1000,M49&lt;=10000),M49*1%,IF(AND(M49&gt;100,M49&lt;=1000),M49*3%,IF(AND(M49&gt;10,M49&lt;=100),M49*5%,M49*8%))))</f>
        <v>59.86</v>
      </c>
      <c r="M63" s="308">
        <f ca="1">ROUND(L63,1)</f>
        <v>59.9</v>
      </c>
      <c r="N63" s="2769"/>
      <c r="Z63" s="1938"/>
      <c r="AI63" s="1939"/>
    </row>
    <row r="64" spans="1:35" ht="14.25" customHeight="1">
      <c r="A64" s="174" t="s">
        <v>770</v>
      </c>
      <c r="B64" s="175" t="s">
        <v>2064</v>
      </c>
      <c r="C64" s="2791">
        <f ca="1">D45</f>
        <v>11972</v>
      </c>
      <c r="D64" s="175" t="s">
        <v>32</v>
      </c>
      <c r="E64" s="177"/>
      <c r="F64" s="1994"/>
      <c r="G64" s="1994"/>
      <c r="H64" s="1996"/>
      <c r="I64" s="134"/>
      <c r="J64" s="3261"/>
      <c r="K64" s="1501" t="s">
        <v>2065</v>
      </c>
      <c r="L64" s="1501">
        <f ca="1">IF(M49&gt;2000,M49*0.5%,IF(AND(M49&gt;1000,M49&lt;=2000),M49*0.6%,IF(AND(M49&gt;500,M49&lt;=1000),M49*0.7%,IF(AND(M49&gt;200,M49&lt;=500),M49*0.8%,IF(AND(M49&gt;100,M49&lt;=200),M49*0.9%,IF(AND(M49&gt;50,M49&lt;=100),M49*1%,IF(AND(M49&gt;20,M49&lt;=50),M49*1.5%,IF(AND(M49&gt;10,M49&lt;=20),M49*2%,IF(AND(M49&gt;1,M49&lt;=10),M49*2.5%)))))))))</f>
        <v>59.86</v>
      </c>
      <c r="M64" s="308">
        <f t="shared" ref="M64:M65" ca="1" si="1">ROUND(L64,1)</f>
        <v>59.9</v>
      </c>
      <c r="N64" s="2770" t="s">
        <v>2066</v>
      </c>
      <c r="Z64" s="1938"/>
      <c r="AI64" s="1939"/>
    </row>
    <row r="65" spans="1:35" ht="14.25" customHeight="1">
      <c r="A65" s="174" t="s">
        <v>771</v>
      </c>
      <c r="B65" s="175" t="s">
        <v>2067</v>
      </c>
      <c r="C65" s="2792"/>
      <c r="D65" s="175"/>
      <c r="E65" s="177"/>
      <c r="F65" s="1994"/>
      <c r="G65" s="1994"/>
      <c r="H65" s="1996"/>
      <c r="I65" s="134"/>
      <c r="J65" s="3261"/>
      <c r="K65" s="1501" t="s">
        <v>2068</v>
      </c>
      <c r="L65" s="1501">
        <f ca="1">IF(M49&gt;1000,M49*0.1%,IF(AND(M49&gt;500,M49&lt;=1000),M49*0.5%,IF(AND(M49&gt;50,M49&lt;=500),M49*1%,IF(AND(M49&gt;1,M49&lt;=50),M49*1.5%))))</f>
        <v>11.972</v>
      </c>
      <c r="M65" s="308">
        <f t="shared" ca="1" si="1"/>
        <v>12</v>
      </c>
      <c r="N65" s="2770" t="s">
        <v>2066</v>
      </c>
      <c r="Z65" s="1938"/>
      <c r="AI65" s="1939"/>
    </row>
    <row r="66" spans="1:35" ht="14.25" customHeight="1">
      <c r="A66" s="178" t="s">
        <v>772</v>
      </c>
      <c r="B66" s="179" t="s">
        <v>2069</v>
      </c>
      <c r="C66" s="2793"/>
      <c r="D66" s="179" t="s">
        <v>32</v>
      </c>
      <c r="E66" s="1509" t="s">
        <v>1337</v>
      </c>
      <c r="F66" s="1994"/>
      <c r="G66" s="1994"/>
      <c r="H66" s="1996"/>
      <c r="I66" s="134"/>
      <c r="J66" s="3261"/>
      <c r="K66" s="1501" t="s">
        <v>2070</v>
      </c>
      <c r="L66" s="1501">
        <f ca="1">M49*0.5%</f>
        <v>59.86</v>
      </c>
      <c r="M66" s="308">
        <f ca="1">IF(L66&gt;0.5,0.5,ROUND(L66,0))</f>
        <v>0.5</v>
      </c>
      <c r="N66" s="2770" t="s">
        <v>2071</v>
      </c>
      <c r="Z66" s="1938"/>
      <c r="AI66" s="1939"/>
    </row>
    <row r="67" spans="1:35" ht="14.25" customHeight="1">
      <c r="A67" s="178" t="s">
        <v>773</v>
      </c>
      <c r="B67" s="179" t="s">
        <v>2072</v>
      </c>
      <c r="C67" s="2794">
        <f ca="1">C63-C66</f>
        <v>11402</v>
      </c>
      <c r="D67" s="175" t="s">
        <v>32</v>
      </c>
      <c r="E67" s="177"/>
      <c r="F67" s="1994"/>
      <c r="G67" s="1994"/>
      <c r="H67" s="1996"/>
      <c r="I67" s="134"/>
      <c r="J67" s="3261"/>
      <c r="K67" s="1501" t="s">
        <v>2073</v>
      </c>
      <c r="L67" s="1501">
        <f ca="1">IF(M49&gt;=10000,(8.25+(M49-10000)*0.01%),IF(AND(M49&gt;=8000,M49&lt;10000),(7.85+(M49-8000)*0.02%),IF(AND(M49&gt;=5000,M49&lt;8000),(6.65+(M49-5000)*0.04%),IF(AND(M49&gt;=2000,M49&lt;5000),(4.25+(PM49-2000)*0.08%),IF(AND(M49&gt;=1000,M49&lt;2000),(2.75+(M49-1000)*0.15%),IF(AND(M49&gt;=100,M49&lt;1000),(0.5+(M49-100)*0.25%),IF(AND(M49&gt;0,M49&lt;100),M49*0.5%)))))))</f>
        <v>8.4472000000000005</v>
      </c>
      <c r="M67" s="308">
        <f ca="1">ROUND(L67*0.9,1)</f>
        <v>7.6</v>
      </c>
      <c r="N67" s="2769"/>
      <c r="Z67" s="1938"/>
      <c r="AI67" s="1939"/>
    </row>
    <row r="68" spans="1:35" ht="14.25" customHeight="1" thickBot="1">
      <c r="A68" s="181" t="s">
        <v>774</v>
      </c>
      <c r="B68" s="182" t="s">
        <v>2074</v>
      </c>
      <c r="C68" s="2795">
        <f ca="1">IF(C67&lt;=0,0,ROUND(C67*D68,0))</f>
        <v>627</v>
      </c>
      <c r="D68" s="2796">
        <f>'数据-取费表'!B41</f>
        <v>5.5000000000000007E-2</v>
      </c>
      <c r="E68" s="184"/>
      <c r="F68" s="1994"/>
      <c r="G68" s="1994"/>
      <c r="H68" s="1996"/>
      <c r="I68" s="134"/>
      <c r="J68" s="3261"/>
      <c r="K68" s="1501" t="s">
        <v>2075</v>
      </c>
      <c r="L68" s="1501">
        <f ca="1">IF(M49&gt;10000,M49*0.5%,IF(AND(M49&gt;5000,M49&lt;=10000),M49*1%,IF(AND(M49&gt;1000,M49&lt;=5000),M49*2%,IF(AND(M49&gt;200,M49&lt;=1000),M49*3%,M49*5%))))</f>
        <v>59.86</v>
      </c>
      <c r="M68" s="308">
        <f ca="1">ROUND(L68,1)</f>
        <v>59.9</v>
      </c>
      <c r="N68" s="2769"/>
      <c r="Z68" s="1938"/>
      <c r="AI68" s="1939"/>
    </row>
    <row r="69" spans="1:35" s="1958" customFormat="1" ht="16.5" customHeight="1">
      <c r="A69" s="1997"/>
      <c r="B69" s="1998"/>
      <c r="C69" s="1999"/>
      <c r="D69" s="2000"/>
      <c r="E69" s="2001"/>
      <c r="F69" s="1763"/>
      <c r="G69" s="1763"/>
      <c r="H69" s="1762"/>
      <c r="I69" s="1933"/>
      <c r="J69" s="3261"/>
      <c r="K69" s="1501" t="s">
        <v>2076</v>
      </c>
      <c r="L69" s="1501"/>
      <c r="M69" s="308">
        <f ca="1">ROUND(SUM(M63:M68),0)</f>
        <v>200</v>
      </c>
      <c r="N69" s="2771">
        <f ca="1">M69/M49</f>
        <v>1.670564650851988E-2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4.4" thickBot="1">
      <c r="A70" s="3220" t="s">
        <v>2077</v>
      </c>
      <c r="B70" s="3221"/>
      <c r="C70" s="3221"/>
      <c r="D70" s="3221"/>
      <c r="E70" s="3221"/>
      <c r="F70" s="3221"/>
      <c r="G70" s="3221"/>
      <c r="H70" s="322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199" t="s">
        <v>2058</v>
      </c>
      <c r="B71" s="3200"/>
      <c r="C71" s="2209"/>
      <c r="D71" s="2209" t="s">
        <v>2059</v>
      </c>
      <c r="E71" s="185" t="s">
        <v>2060</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775</v>
      </c>
      <c r="B72" s="179" t="s">
        <v>2078</v>
      </c>
      <c r="C72" s="2794">
        <f ca="1">ROUND(D45/(1+'数据-取费表'!C42),0)</f>
        <v>11402</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772</v>
      </c>
      <c r="B73" s="168" t="s">
        <v>2079</v>
      </c>
      <c r="C73" s="2794">
        <f ca="1">C74+C78</f>
        <v>57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2080</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776</v>
      </c>
      <c r="B75" s="175" t="s">
        <v>2081</v>
      </c>
      <c r="C75" s="2797"/>
      <c r="D75" s="175" t="s">
        <v>32</v>
      </c>
      <c r="E75" s="190" t="s">
        <v>2082</v>
      </c>
      <c r="F75" s="2798"/>
      <c r="G75" s="190" t="s">
        <v>2083</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2084</v>
      </c>
      <c r="C76" s="175">
        <f>IF(F75="购房发票",ROUND(C75*H75*D76,0),0)</f>
        <v>0</v>
      </c>
      <c r="D76" s="2800">
        <v>0.05</v>
      </c>
      <c r="E76" s="3194" t="s">
        <v>2085</v>
      </c>
      <c r="F76" s="3168"/>
      <c r="G76" s="3168"/>
      <c r="H76" s="321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2086</v>
      </c>
      <c r="C77" s="175">
        <f>ROUND(IF(G77="个人住宅",0,IF(G77="2016年5月1日前购买",C75*D77,C75*D77/(1+'数据-取费表'!C42))),0)</f>
        <v>0</v>
      </c>
      <c r="D77" s="2801">
        <f>'数据-取费表'!B48+'数据-取费表'!B49</f>
        <v>3.0499999999999999E-2</v>
      </c>
      <c r="E77" s="2547" t="s">
        <v>2087</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2088</v>
      </c>
      <c r="C78" s="2802">
        <f ca="1">ROUND(D45*D78/(1+'数据-取费表'!C42),0)</f>
        <v>57</v>
      </c>
      <c r="D78" s="2803">
        <f>'数据-取费表'!B43</f>
        <v>5.000000000000001E-3</v>
      </c>
      <c r="E78" s="3178" t="s">
        <v>2089</v>
      </c>
      <c r="F78" s="3179"/>
      <c r="G78" s="3179"/>
      <c r="H78" s="318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779</v>
      </c>
      <c r="B79" s="179" t="s">
        <v>2090</v>
      </c>
      <c r="C79" s="2794">
        <f ca="1">C72-C73</f>
        <v>11345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2091</v>
      </c>
      <c r="C80" s="2804">
        <f ca="1">IF(C79&lt;=0,0,C79/C73)</f>
        <v>199.03508771929825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781</v>
      </c>
      <c r="B81" s="182" t="s">
        <v>2092</v>
      </c>
      <c r="C81" s="2805">
        <f ca="1">ROUND(IF(C79&lt;=0,0,IF(C80&gt;=200%,C79*60%-C73*35%,IF(C80&gt;=100%,C79*50%-C73*15%,IF(C80&gt;=50%,C79*40%-C73*5%,IF(C80&lt;50%,C79*30%,0))))),0)</f>
        <v>6787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20" t="s">
        <v>2093</v>
      </c>
      <c r="B83" s="3221"/>
      <c r="C83" s="3221"/>
      <c r="D83" s="3221"/>
      <c r="E83" s="3221"/>
      <c r="F83" s="3221"/>
      <c r="G83" s="3221"/>
      <c r="H83" s="322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199" t="s">
        <v>2058</v>
      </c>
      <c r="B84" s="3200"/>
      <c r="C84" s="2209"/>
      <c r="D84" s="2209" t="s">
        <v>2059</v>
      </c>
      <c r="E84" s="185" t="s">
        <v>2060</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775</v>
      </c>
      <c r="B85" s="179" t="s">
        <v>2078</v>
      </c>
      <c r="C85" s="2794">
        <f ca="1">ROUND(D45/(1+'数据-取费表'!C42),0)</f>
        <v>11402</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772</v>
      </c>
      <c r="B86" s="168" t="s">
        <v>2079</v>
      </c>
      <c r="C86" s="2794">
        <f ca="1">IF(H88="仅含出让金",C87+C90+C91+C92+C93+C94,C87+C91+C92+C93+C94)</f>
        <v>57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770</v>
      </c>
      <c r="B87" s="175" t="s">
        <v>2094</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776</v>
      </c>
      <c r="B88" s="175" t="s">
        <v>2095</v>
      </c>
      <c r="C88" s="2808"/>
      <c r="D88" s="2803"/>
      <c r="E88" s="199" t="s">
        <v>2096</v>
      </c>
      <c r="F88" s="2550"/>
      <c r="G88" s="200" t="s">
        <v>2097</v>
      </c>
      <c r="H88" s="2010"/>
      <c r="I88" s="2007"/>
      <c r="J88" s="2747" t="s">
        <v>3025</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777</v>
      </c>
      <c r="B89" s="175" t="s">
        <v>2086</v>
      </c>
      <c r="C89" s="2802">
        <f>ROUND(C88*D89,0)</f>
        <v>0</v>
      </c>
      <c r="D89" s="2803">
        <f>'数据-取费表'!B48+'数据-取费表'!B49</f>
        <v>3.0499999999999999E-2</v>
      </c>
      <c r="E89" s="199" t="s">
        <v>2098</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771</v>
      </c>
      <c r="B90" s="175" t="s">
        <v>2099</v>
      </c>
      <c r="C90" s="2808"/>
      <c r="D90" s="2803"/>
      <c r="E90" s="199" t="str">
        <f>IF(H88="-","土地取得成本中已包含该笔费用"," ")</f>
        <v xml:space="preserve"> </v>
      </c>
      <c r="F90" s="2550"/>
      <c r="G90" s="3263" t="s">
        <v>2864</v>
      </c>
      <c r="H90" s="3264"/>
      <c r="I90" s="2007"/>
      <c r="J90" s="2747" t="s">
        <v>3026</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2100</v>
      </c>
      <c r="B91" s="175" t="s">
        <v>2101</v>
      </c>
      <c r="C91" s="2802">
        <f>IF(H91="——",成本法!C33,I91)</f>
        <v>0</v>
      </c>
      <c r="D91" s="2803"/>
      <c r="E91" s="3178" t="s">
        <v>2102</v>
      </c>
      <c r="F91" s="3179"/>
      <c r="G91" s="317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2103</v>
      </c>
      <c r="B92" s="175" t="s">
        <v>2104</v>
      </c>
      <c r="C92" s="2802">
        <f>ROUND((C87+C90+C91)*D92,0)</f>
        <v>0</v>
      </c>
      <c r="D92" s="2809"/>
      <c r="E92" s="3178" t="s">
        <v>2105</v>
      </c>
      <c r="F92" s="3179"/>
      <c r="G92" s="3179"/>
      <c r="H92" s="3188"/>
      <c r="I92" s="2007"/>
      <c r="J92" s="2748" t="s">
        <v>3027</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2106</v>
      </c>
      <c r="B93" s="175" t="s">
        <v>2088</v>
      </c>
      <c r="C93" s="2802">
        <f ca="1">ROUND(D45*D93/(1+'数据-取费表'!C42),0)</f>
        <v>57</v>
      </c>
      <c r="D93" s="2803">
        <f>'数据-取费表'!B43</f>
        <v>5.000000000000001E-3</v>
      </c>
      <c r="E93" s="3178" t="s">
        <v>2089</v>
      </c>
      <c r="F93" s="3179"/>
      <c r="G93" s="3179"/>
      <c r="H93" s="318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2107</v>
      </c>
      <c r="B94" s="175" t="s">
        <v>2108</v>
      </c>
      <c r="C94" s="2808">
        <f>ROUND((C87+C90+C91)*D94,0)</f>
        <v>0</v>
      </c>
      <c r="D94" s="2803">
        <v>0.2</v>
      </c>
      <c r="E94" s="3189" t="s">
        <v>2109</v>
      </c>
      <c r="F94" s="3190"/>
      <c r="G94" s="3190"/>
      <c r="H94" s="319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779</v>
      </c>
      <c r="B95" s="179" t="s">
        <v>2090</v>
      </c>
      <c r="C95" s="2794">
        <f ca="1">ROUND(C85-C86,0)</f>
        <v>11345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2091</v>
      </c>
      <c r="C96" s="2804">
        <f ca="1">IF(C95&lt;=0,0,C95/C86)</f>
        <v>199.03508771929825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781</v>
      </c>
      <c r="B97" s="182" t="s">
        <v>2092</v>
      </c>
      <c r="C97" s="2805">
        <f ca="1">ROUND(IF(C95&lt;=0,0,IF(C96&gt;=200%,C95*60%-C86*35%,IF(C96&gt;=100%,C95*50%-C86*15%,IF(C96&gt;=50%,C95*40%-C86*5%,IF(C96&lt;50%,C95*30%,0))))),0)</f>
        <v>6787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2110</v>
      </c>
      <c r="B99" s="1933"/>
      <c r="C99" s="1933"/>
      <c r="D99" s="1933"/>
      <c r="E99" s="1763"/>
      <c r="F99" s="1763"/>
      <c r="G99" s="1763"/>
      <c r="H99" s="1762"/>
      <c r="I99" s="134"/>
    </row>
    <row r="100" spans="1:35" ht="18.75" customHeight="1">
      <c r="A100" s="3162" t="s">
        <v>2111</v>
      </c>
      <c r="B100" s="3163"/>
      <c r="C100" s="3163"/>
      <c r="D100" s="3180"/>
      <c r="E100" s="3163" t="s">
        <v>2112</v>
      </c>
      <c r="F100" s="3163"/>
      <c r="G100" s="3163"/>
      <c r="H100" s="3180"/>
      <c r="I100" s="134"/>
    </row>
    <row r="101" spans="1:35" ht="18.75" customHeight="1">
      <c r="A101" s="3244" t="s">
        <v>2113</v>
      </c>
      <c r="B101" s="3245"/>
      <c r="C101" s="2811" t="str">
        <f>C4</f>
        <v>成本法</v>
      </c>
      <c r="D101" s="2812" t="str">
        <f>D4</f>
        <v>收益法（汇总）</v>
      </c>
      <c r="E101" s="3258" t="s">
        <v>2114</v>
      </c>
      <c r="F101" s="3212"/>
      <c r="G101" s="2013" t="s">
        <v>2115</v>
      </c>
      <c r="H101" s="2821">
        <f ca="1">H118</f>
        <v>11972</v>
      </c>
      <c r="I101" s="134"/>
    </row>
    <row r="102" spans="1:35" ht="18.75" customHeight="1">
      <c r="A102" s="3214" t="s">
        <v>2116</v>
      </c>
      <c r="B102" s="2810" t="s">
        <v>2115</v>
      </c>
      <c r="C102" s="2811">
        <f ca="1">C19</f>
        <v>6868</v>
      </c>
      <c r="D102" s="2812">
        <f ca="1">D19</f>
        <v>19628</v>
      </c>
      <c r="E102" s="3258"/>
      <c r="F102" s="3212"/>
      <c r="G102" s="2013" t="s">
        <v>2117</v>
      </c>
      <c r="H102" s="2781">
        <f ca="1">I118</f>
        <v>8646</v>
      </c>
      <c r="I102" s="134"/>
    </row>
    <row r="103" spans="1:35" ht="42.75" customHeight="1">
      <c r="A103" s="3214"/>
      <c r="B103" s="2810" t="s">
        <v>2117</v>
      </c>
      <c r="C103" s="2813">
        <f ca="1">C20</f>
        <v>4960</v>
      </c>
      <c r="D103" s="2814">
        <f ca="1">D20</f>
        <v>14175</v>
      </c>
      <c r="E103" s="3252" t="s">
        <v>2118</v>
      </c>
      <c r="F103" s="3253"/>
      <c r="G103" s="2014" t="s">
        <v>2119</v>
      </c>
      <c r="H103" s="2821">
        <f>IF(D36="正常操作",H104+H105+H106,H105+H106)</f>
        <v>0</v>
      </c>
      <c r="I103" s="134"/>
    </row>
    <row r="104" spans="1:35" ht="18.75" customHeight="1">
      <c r="A104" s="3214" t="s">
        <v>2120</v>
      </c>
      <c r="B104" s="2815" t="s">
        <v>2115</v>
      </c>
      <c r="C104" s="2816">
        <f ca="1">H118</f>
        <v>11972</v>
      </c>
      <c r="D104" s="2817"/>
      <c r="E104" s="1860" t="s">
        <v>2121</v>
      </c>
      <c r="F104" s="1851"/>
      <c r="G104" s="2014" t="s">
        <v>2119</v>
      </c>
      <c r="H104" s="2822">
        <f>IF(D36="同一抵押权人同一抵押物续贷",C36&amp;"（续贷，未扣减，详见特别提示）",C36)</f>
        <v>0</v>
      </c>
      <c r="I104" s="134"/>
    </row>
    <row r="105" spans="1:35" ht="18.75" customHeight="1" thickBot="1">
      <c r="A105" s="3215"/>
      <c r="B105" s="2818" t="s">
        <v>2117</v>
      </c>
      <c r="C105" s="2819">
        <f ca="1">I118</f>
        <v>8646</v>
      </c>
      <c r="D105" s="2820"/>
      <c r="E105" s="1860" t="s">
        <v>2122</v>
      </c>
      <c r="F105" s="1851"/>
      <c r="G105" s="2014" t="s">
        <v>2119</v>
      </c>
      <c r="H105" s="2823">
        <f>C37</f>
        <v>0</v>
      </c>
      <c r="I105" s="134"/>
    </row>
    <row r="106" spans="1:35" ht="18.75" customHeight="1">
      <c r="A106" s="1933" t="s">
        <v>2123</v>
      </c>
      <c r="B106" s="1933"/>
      <c r="C106" s="1933"/>
      <c r="D106" s="1933"/>
      <c r="E106" s="2015" t="s">
        <v>2124</v>
      </c>
      <c r="F106" s="1851"/>
      <c r="G106" s="2014" t="s">
        <v>2119</v>
      </c>
      <c r="H106" s="2823">
        <f>C38</f>
        <v>0</v>
      </c>
      <c r="I106" s="134"/>
    </row>
    <row r="107" spans="1:35" ht="18.75" customHeight="1">
      <c r="A107" s="134"/>
      <c r="B107" s="134"/>
      <c r="C107" s="134"/>
      <c r="D107" s="134"/>
      <c r="E107" s="3211" t="str">
        <f>IF(项目基本情况!E8="已注销","——","3.房地产抵押价值")</f>
        <v>3.房地产抵押价值</v>
      </c>
      <c r="F107" s="3212"/>
      <c r="G107" s="2013" t="s">
        <v>2115</v>
      </c>
      <c r="H107" s="2821">
        <f ca="1">IF(E107="——","——",H101-H103)</f>
        <v>11972</v>
      </c>
      <c r="I107" s="134"/>
    </row>
    <row r="108" spans="1:35" ht="18.75" customHeight="1">
      <c r="A108" s="134"/>
      <c r="B108" s="134"/>
      <c r="C108" s="134"/>
      <c r="D108" s="134"/>
      <c r="E108" s="3211"/>
      <c r="F108" s="3212"/>
      <c r="G108" s="2013" t="s">
        <v>2117</v>
      </c>
      <c r="H108" s="2781">
        <f ca="1">ROUND(H107*10000/'数据-汇总表'!E3,0)</f>
        <v>8646</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v>
      </c>
      <c r="F109" s="3212"/>
      <c r="G109" s="2013" t="s">
        <v>2115</v>
      </c>
      <c r="H109" s="2824" t="str">
        <f>IF(E109="——","——",H101-H105-H106)</f>
        <v>——</v>
      </c>
      <c r="I109" s="134"/>
    </row>
    <row r="110" spans="1:35" ht="18.75" customHeight="1">
      <c r="A110" s="134"/>
      <c r="B110" s="134"/>
      <c r="C110" s="134"/>
      <c r="D110" s="134"/>
      <c r="E110" s="3211"/>
      <c r="F110" s="3212"/>
      <c r="G110" s="2013" t="s">
        <v>2117</v>
      </c>
      <c r="H110" s="2781" t="str">
        <f>IF(H109="——","——",ROUND(H109*10000/'数据-汇总表'!E3,0))</f>
        <v>——</v>
      </c>
      <c r="I110" s="134"/>
    </row>
    <row r="111" spans="1:35" ht="18.75" customHeight="1">
      <c r="A111" s="134"/>
      <c r="B111" s="134"/>
      <c r="C111" s="134"/>
      <c r="D111" s="134"/>
      <c r="E111" s="3246" t="str">
        <f>IF(项目基本情况!E9="抵押净值",IF(OR(项目基本情况!E8="已注销",项目基本情况!E8="房地产抵押价值"),"4.抵押净值","5.抵押净值"),"——")</f>
        <v>——</v>
      </c>
      <c r="F111" s="3213"/>
      <c r="G111" s="2013" t="s">
        <v>2115</v>
      </c>
      <c r="H111" s="2821" t="str">
        <f>IF(E111="——","——",N59)</f>
        <v>——</v>
      </c>
      <c r="I111" s="134"/>
    </row>
    <row r="112" spans="1:35" ht="18.75" customHeight="1" thickBot="1">
      <c r="A112" s="134"/>
      <c r="B112" s="134"/>
      <c r="C112" s="134"/>
      <c r="D112" s="134"/>
      <c r="E112" s="3247"/>
      <c r="F112" s="3248"/>
      <c r="G112" s="2016" t="s">
        <v>2117</v>
      </c>
      <c r="H112" s="2825" t="str">
        <f>IF(E111="——","——",N61)</f>
        <v>——</v>
      </c>
      <c r="I112" s="134"/>
    </row>
    <row r="113" spans="1:27" ht="18.75" customHeight="1">
      <c r="A113" s="134"/>
      <c r="B113" s="134"/>
      <c r="C113" s="134"/>
      <c r="D113" s="134"/>
      <c r="E113" s="3216" t="s">
        <v>2123</v>
      </c>
      <c r="F113" s="3216"/>
      <c r="G113" s="3216"/>
      <c r="H113" s="3216"/>
      <c r="I113" s="134"/>
    </row>
    <row r="114" spans="1:27" ht="3.75" customHeight="1">
      <c r="A114" s="1933"/>
      <c r="B114" s="1933"/>
      <c r="C114" s="1933"/>
      <c r="D114" s="1933"/>
      <c r="E114" s="1995"/>
      <c r="F114" s="1995"/>
      <c r="G114" s="1995"/>
      <c r="H114" s="1995"/>
      <c r="I114" s="1933"/>
    </row>
    <row r="115" spans="1:27" ht="18.75" customHeight="1">
      <c r="A115" s="3229" t="s">
        <v>2125</v>
      </c>
      <c r="B115" s="3230"/>
      <c r="C115" s="3230"/>
      <c r="D115" s="3230"/>
      <c r="E115" s="3230"/>
      <c r="F115" s="3230"/>
      <c r="G115" s="3230"/>
      <c r="H115" s="3230"/>
      <c r="I115" s="3231"/>
    </row>
    <row r="116" spans="1:27" ht="27" customHeight="1">
      <c r="A116" s="3182" t="s">
        <v>2126</v>
      </c>
      <c r="B116" s="3217" t="s">
        <v>3108</v>
      </c>
      <c r="C116" s="3217" t="s">
        <v>3107</v>
      </c>
      <c r="D116" s="3233" t="s">
        <v>2127</v>
      </c>
      <c r="E116" s="3234"/>
      <c r="F116" s="3225" t="s">
        <v>3106</v>
      </c>
      <c r="G116" s="3225"/>
      <c r="H116" s="3182" t="s">
        <v>2128</v>
      </c>
      <c r="I116" s="3182"/>
    </row>
    <row r="117" spans="1:27" ht="18.75" customHeight="1">
      <c r="A117" s="3182"/>
      <c r="B117" s="3218"/>
      <c r="C117" s="3218"/>
      <c r="D117" s="2552" t="s">
        <v>2129</v>
      </c>
      <c r="E117" s="2552" t="s">
        <v>2130</v>
      </c>
      <c r="F117" s="2552" t="s">
        <v>2129</v>
      </c>
      <c r="G117" s="2552" t="s">
        <v>2131</v>
      </c>
      <c r="H117" s="2552" t="s">
        <v>2129</v>
      </c>
      <c r="I117" s="2552" t="s">
        <v>2131</v>
      </c>
    </row>
    <row r="118" spans="1:27" ht="24.75" customHeight="1">
      <c r="A118" s="2826" t="str">
        <f>项目基本情况!S2</f>
        <v>北京市房地产</v>
      </c>
      <c r="B118" s="2552">
        <f>M18</f>
        <v>13846.800000000001</v>
      </c>
      <c r="C118" s="2552">
        <f>M19</f>
        <v>9053.6</v>
      </c>
      <c r="D118" s="2552">
        <f ca="1">ROUND(IF(D32="总价",C34,E118*B118/10000),0)</f>
        <v>5591</v>
      </c>
      <c r="E118" s="2552">
        <f ca="1">ROUND(IF(C33="自定义",IF(D32="楼面单价",C34,D118*10000/B118),I118-G118),0)</f>
        <v>4038</v>
      </c>
      <c r="F118" s="2552">
        <f ca="1">ROUND(IF(D32="总价",C35,G118*B118/10000),0)</f>
        <v>6381</v>
      </c>
      <c r="G118" s="2552">
        <f ca="1">ROUND(IF(D32="楼面单价",C35,F118*10000/B118),0)</f>
        <v>4608</v>
      </c>
      <c r="H118" s="2552">
        <f ca="1">ROUND(IF(D32="总价",C32,I118*B118/10000),0)</f>
        <v>11972</v>
      </c>
      <c r="I118" s="2552">
        <f ca="1">ROUND(IF(D32="楼面单价",C32,H118*10000/B118),0)</f>
        <v>8646</v>
      </c>
    </row>
    <row r="119" spans="1:27" ht="18.75" customHeight="1">
      <c r="A119" s="3182" t="s">
        <v>2132</v>
      </c>
      <c r="B119" s="3182"/>
      <c r="C119" s="3182"/>
      <c r="D119" s="3222" t="str">
        <f ca="1">NUMBERSTRING(INT(D118*10000),2)&amp;"元整"</f>
        <v>伍仟伍佰玖拾壹万元整</v>
      </c>
      <c r="E119" s="3224"/>
      <c r="F119" s="3222" t="str">
        <f ca="1">NUMBERSTRING(INT(F118*10000),2)&amp;"元整"</f>
        <v>陆仟叁佰捌拾壹万元整</v>
      </c>
      <c r="G119" s="3224"/>
      <c r="H119" s="3222" t="str">
        <f ca="1">NUMBERSTRING(INT(H118*10000),2)&amp;"元整"</f>
        <v>壹亿壹仟玖佰柒拾贰万元整</v>
      </c>
      <c r="I119" s="3224"/>
    </row>
    <row r="120" spans="1:27" ht="18.75" customHeight="1">
      <c r="A120" s="3249" t="str">
        <f>IF(项目基本情况!B9="房地产市场价值","",MID(E103,3,LEN(E103)-2))</f>
        <v>估价师知悉的法定优先受偿款</v>
      </c>
      <c r="B120" s="3250"/>
      <c r="C120" s="3251"/>
      <c r="D120" s="3249">
        <f>H103</f>
        <v>0</v>
      </c>
      <c r="E120" s="3250"/>
      <c r="F120" s="3250"/>
      <c r="G120" s="3250"/>
      <c r="H120" s="3250"/>
      <c r="I120" s="325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6" t="s">
        <v>2132</v>
      </c>
      <c r="B121" s="3227"/>
      <c r="C121" s="3228"/>
      <c r="D121" s="3222" t="str">
        <f>IF(D120=0,"零元整",NUMBERSTRING(INT(D120*10000),2)&amp;"元整")</f>
        <v>零元整</v>
      </c>
      <c r="E121" s="3223"/>
      <c r="F121" s="3223"/>
      <c r="G121" s="3223"/>
      <c r="H121" s="3223"/>
      <c r="I121" s="3224"/>
      <c r="AA121" s="734"/>
    </row>
    <row r="122" spans="1:27" ht="18.75" customHeight="1">
      <c r="A122" s="3213" t="str">
        <f>IF(项目基本情况!B9="房地产市场价值","",MID(E107,3,LEN(E107)-2))</f>
        <v>房地产抵押价值</v>
      </c>
      <c r="B122" s="3213"/>
      <c r="C122" s="3213"/>
      <c r="D122" s="3249">
        <f ca="1">H107</f>
        <v>11972</v>
      </c>
      <c r="E122" s="3250"/>
      <c r="F122" s="3250"/>
      <c r="G122" s="3250"/>
      <c r="H122" s="3250"/>
      <c r="I122" s="3251"/>
      <c r="AA122" s="734"/>
    </row>
    <row r="123" spans="1:27" ht="18.75" customHeight="1">
      <c r="A123" s="3182" t="s">
        <v>2132</v>
      </c>
      <c r="B123" s="3182"/>
      <c r="C123" s="3182"/>
      <c r="D123" s="3222" t="str">
        <f ca="1">NUMBERSTRING(INT(D122*10000),2)&amp;"元整"</f>
        <v>壹亿壹仟玖佰柒拾贰万元整</v>
      </c>
      <c r="E123" s="3223"/>
      <c r="F123" s="3223"/>
      <c r="G123" s="3223"/>
      <c r="H123" s="3223"/>
      <c r="I123" s="3224"/>
      <c r="AA123" s="734"/>
    </row>
    <row r="124" spans="1:27" ht="18.75" customHeight="1">
      <c r="A124" s="3213" t="str">
        <f>IF(项目基本情况!B9="房地产市场价值","",MID(E109,3,LEN(E109)-2))</f>
        <v/>
      </c>
      <c r="B124" s="3213"/>
      <c r="C124" s="3213"/>
      <c r="D124" s="3249" t="str">
        <f>H109</f>
        <v>——</v>
      </c>
      <c r="E124" s="3250"/>
      <c r="F124" s="3250"/>
      <c r="G124" s="3250"/>
      <c r="H124" s="3250"/>
      <c r="I124" s="3251"/>
      <c r="AA124" s="734"/>
    </row>
    <row r="125" spans="1:27" ht="18.75" customHeight="1">
      <c r="A125" s="3182" t="s">
        <v>2132</v>
      </c>
      <c r="B125" s="3182"/>
      <c r="C125" s="3182"/>
      <c r="D125" s="3222" t="e">
        <f>NUMBERSTRING(INT(D124*10000),2)&amp;"元整"</f>
        <v>#VALUE!</v>
      </c>
      <c r="E125" s="3223"/>
      <c r="F125" s="3223"/>
      <c r="G125" s="3223"/>
      <c r="H125" s="3223"/>
      <c r="I125" s="3224"/>
      <c r="AA125" s="734"/>
    </row>
    <row r="126" spans="1:27" ht="18.75" customHeight="1">
      <c r="A126" s="3213" t="str">
        <f>IF(项目基本情况!B9="房地产市场价值","",MID(E111,3,LEN(E111)-2))</f>
        <v/>
      </c>
      <c r="B126" s="3213"/>
      <c r="C126" s="3213"/>
      <c r="D126" s="3249" t="str">
        <f>H111</f>
        <v>——</v>
      </c>
      <c r="E126" s="3250"/>
      <c r="F126" s="3250"/>
      <c r="G126" s="3250"/>
      <c r="H126" s="3250"/>
      <c r="I126" s="3251"/>
      <c r="AA126" s="734"/>
    </row>
    <row r="127" spans="1:27" ht="18.75" customHeight="1">
      <c r="A127" s="3182" t="s">
        <v>2132</v>
      </c>
      <c r="B127" s="3182"/>
      <c r="C127" s="3182"/>
      <c r="D127" s="3222" t="e">
        <f>NUMBERSTRING(INT(D126*10000),2)&amp;"元整"</f>
        <v>#VALUE!</v>
      </c>
      <c r="E127" s="3223"/>
      <c r="F127" s="3223"/>
      <c r="G127" s="3223"/>
      <c r="H127" s="3223"/>
      <c r="I127" s="3224"/>
      <c r="AA127" s="734"/>
    </row>
    <row r="128" spans="1:27" ht="21.75" customHeight="1">
      <c r="A128" s="3232" t="s">
        <v>2133</v>
      </c>
      <c r="B128" s="3232"/>
      <c r="C128" s="3232"/>
      <c r="D128" s="3232"/>
      <c r="E128" s="3232"/>
      <c r="F128" s="3232"/>
      <c r="G128" s="3232"/>
      <c r="H128" s="3232"/>
      <c r="I128" s="3232"/>
      <c r="AA128" s="734"/>
    </row>
    <row r="129" spans="1:35" ht="21.75" customHeight="1">
      <c r="A129" s="2017" t="s">
        <v>2134</v>
      </c>
      <c r="B129" s="2018"/>
      <c r="C129" s="2019" t="s">
        <v>2135</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2136</v>
      </c>
      <c r="G135" s="2034"/>
      <c r="H135" s="2034"/>
      <c r="I135" s="2035" t="s">
        <v>2137</v>
      </c>
    </row>
    <row r="136" spans="1:35" ht="21.75" customHeight="1">
      <c r="A136" s="734"/>
      <c r="B136" s="2036"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2139</v>
      </c>
    </row>
    <row r="139" spans="1:35" ht="21.75" customHeight="1">
      <c r="A139" s="734"/>
      <c r="B139" s="2036" t="s">
        <v>2140</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2139</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115" zoomScaleNormal="70" zoomScaleSheetLayoutView="115" workbookViewId="0">
      <selection activeCell="B1" sqref="B1"/>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2141</v>
      </c>
      <c r="B1" s="1654"/>
      <c r="C1" s="204"/>
      <c r="D1" s="204"/>
      <c r="E1" s="204"/>
      <c r="F1" s="204"/>
      <c r="G1" s="1288">
        <f>MATCH(B1,'数据-取费表'!A6:A16,0)+5</f>
        <v>8</v>
      </c>
    </row>
    <row r="2" spans="1:9" s="206" customFormat="1" ht="18" customHeight="1">
      <c r="A2" s="207" t="s">
        <v>2142</v>
      </c>
      <c r="B2" s="208">
        <f ca="1">IF(D2="——",C52,C52-E2)</f>
        <v>6868</v>
      </c>
      <c r="C2" s="205" t="s">
        <v>2143</v>
      </c>
      <c r="D2" s="2039" t="s">
        <v>70</v>
      </c>
      <c r="E2" s="1331" t="e">
        <f ca="1">SUMIF(INDIRECT("'"&amp;G2&amp;"'"&amp;"!A:A"),"承租人权益价值",INDIRECT("'"&amp;G2&amp;"'"&amp;"!c:c"))</f>
        <v>#REF!</v>
      </c>
      <c r="F2" s="2040" t="s">
        <v>2143</v>
      </c>
      <c r="G2" s="2041"/>
    </row>
    <row r="3" spans="1:9" s="206" customFormat="1" ht="18" customHeight="1" thickBot="1">
      <c r="A3" s="209" t="s">
        <v>2144</v>
      </c>
      <c r="B3" s="210">
        <f ca="1">ROUND(B2*10000/(IF(B1="",'数据-汇总表'!E3,INDIRECT("'数据-取费表'!k"&amp;$G$1))),0)</f>
        <v>4960</v>
      </c>
      <c r="C3" s="205" t="s">
        <v>2145</v>
      </c>
      <c r="D3" s="205"/>
      <c r="E3" s="205"/>
      <c r="F3" s="205"/>
      <c r="G3" s="205"/>
    </row>
    <row r="4" spans="1:9" s="214" customFormat="1" ht="16.2">
      <c r="A4" s="211" t="s">
        <v>2146</v>
      </c>
      <c r="B4" s="212"/>
      <c r="C4" s="212"/>
      <c r="D4" s="212"/>
      <c r="E4" s="212"/>
      <c r="F4" s="212"/>
      <c r="G4" s="213"/>
    </row>
    <row r="5" spans="1:9" s="220" customFormat="1" ht="13.5" customHeight="1">
      <c r="A5" s="261" t="s">
        <v>2147</v>
      </c>
      <c r="B5" s="216" t="s">
        <v>2148</v>
      </c>
      <c r="C5" s="217">
        <f>C6+C7+C8</f>
        <v>2610</v>
      </c>
      <c r="D5" s="217" t="s">
        <v>2149</v>
      </c>
      <c r="E5" s="218" t="s">
        <v>2150</v>
      </c>
      <c r="F5" s="218" t="s">
        <v>2151</v>
      </c>
      <c r="G5" s="219"/>
    </row>
    <row r="6" spans="1:9" s="220" customFormat="1" ht="13.5" customHeight="1">
      <c r="A6" s="886" t="s">
        <v>2152</v>
      </c>
      <c r="B6" s="221" t="s">
        <v>2153</v>
      </c>
      <c r="C6" s="222">
        <f>基准地价修正!B2</f>
        <v>2264</v>
      </c>
      <c r="D6" s="223"/>
      <c r="E6" s="224"/>
      <c r="F6" s="224"/>
      <c r="G6" s="225"/>
    </row>
    <row r="7" spans="1:9" s="220" customFormat="1" ht="13.5" customHeight="1">
      <c r="A7" s="886" t="s">
        <v>2154</v>
      </c>
      <c r="B7" s="221" t="s">
        <v>2155</v>
      </c>
      <c r="C7" s="226">
        <f>ROUND(C6*F7,0)</f>
        <v>69</v>
      </c>
      <c r="D7" s="226"/>
      <c r="E7" s="224"/>
      <c r="F7" s="227">
        <f>IF(项目基本情况!B8="出让",0,'数据-取费表'!B48+'数据-取费表'!B49)</f>
        <v>3.0499999999999999E-2</v>
      </c>
      <c r="G7" s="225"/>
    </row>
    <row r="8" spans="1:9" s="229" customFormat="1">
      <c r="A8" s="886" t="s">
        <v>2156</v>
      </c>
      <c r="B8" s="221" t="s">
        <v>2157</v>
      </c>
      <c r="C8" s="226">
        <f>IF(G8="已包含在土地购买价格中","0",IF(B1="",'数据-取费表'!B29,IF(G9="全部缴纳",C9+C10,H9)))</f>
        <v>277</v>
      </c>
      <c r="D8" s="228"/>
      <c r="E8" s="226"/>
      <c r="F8" s="227"/>
      <c r="G8" s="2042" t="s">
        <v>3101</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0</v>
      </c>
      <c r="F9" s="227"/>
      <c r="G9" s="2043" t="s">
        <v>3102</v>
      </c>
      <c r="H9" s="1299">
        <v>277</v>
      </c>
      <c r="I9" s="2044" t="s">
        <v>2159</v>
      </c>
    </row>
    <row r="10" spans="1:9" s="220" customFormat="1" ht="13.5" customHeight="1">
      <c r="A10" s="887" t="s">
        <v>801</v>
      </c>
      <c r="B10" s="230" t="s">
        <v>2160</v>
      </c>
      <c r="C10" s="231">
        <f ca="1">ROUND(D10*E10/10000,0)</f>
        <v>277</v>
      </c>
      <c r="D10" s="954">
        <f ca="1">IF(B1="",'数据-汇总表'!E6,IF(INDIRECT("'数据-取费表'!c"&amp;$G$1)="住宅",INDIRECT("'数据-取费表'!s"&amp;$G$1),INDIRECT("'数据-取费表'!k"&amp;$G$1)+INDIRECT("'数据-取费表'!s"&amp;$G$1)))</f>
        <v>13846.800000000001</v>
      </c>
      <c r="E10" s="231">
        <f>'数据-取费表'!B28</f>
        <v>200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13846.800000000001</v>
      </c>
      <c r="E19" s="217">
        <f>'数据-取费表'!B31</f>
        <v>200</v>
      </c>
      <c r="F19" s="237"/>
      <c r="G19" s="2042" t="s">
        <v>3103</v>
      </c>
    </row>
    <row r="20" spans="1:7" s="220" customFormat="1" ht="13.5" customHeight="1">
      <c r="A20" s="261" t="s">
        <v>2173</v>
      </c>
      <c r="B20" s="216" t="s">
        <v>2174</v>
      </c>
      <c r="C20" s="238">
        <f>ROUND((C5+C19)*F20,0)</f>
        <v>52</v>
      </c>
      <c r="D20" s="238"/>
      <c r="E20" s="238"/>
      <c r="F20" s="239">
        <f>'数据-取费表'!B37</f>
        <v>0.02</v>
      </c>
      <c r="G20" s="240" t="s">
        <v>2175</v>
      </c>
    </row>
    <row r="21" spans="1:7" s="220" customFormat="1" ht="13.5" customHeight="1">
      <c r="A21" s="261" t="s">
        <v>2176</v>
      </c>
      <c r="B21" s="216" t="s">
        <v>2177</v>
      </c>
      <c r="C21" s="241">
        <f>F21</f>
        <v>0.02</v>
      </c>
      <c r="D21" s="242" t="s">
        <v>2178</v>
      </c>
      <c r="E21" s="238"/>
      <c r="F21" s="239">
        <f>'数据-取费表'!B38</f>
        <v>0.02</v>
      </c>
      <c r="G21" s="240" t="s">
        <v>2179</v>
      </c>
    </row>
    <row r="22" spans="1:7" s="220" customFormat="1" ht="13.5" customHeight="1">
      <c r="A22" s="261" t="s">
        <v>2180</v>
      </c>
      <c r="B22" s="216" t="s">
        <v>2181</v>
      </c>
      <c r="C22" s="1264">
        <f ca="1">ROUND(SUM(C23:C25),0)</f>
        <v>174</v>
      </c>
      <c r="D22" s="241">
        <f ca="1">C26</f>
        <v>5.9999999999999995E-4</v>
      </c>
      <c r="E22" s="242" t="s">
        <v>2178</v>
      </c>
      <c r="F22" s="243">
        <f ca="1">'数据-取费表'!B40</f>
        <v>4.3499999999999997E-2</v>
      </c>
      <c r="G22" s="240" t="str">
        <f>IF('数据-取费表'!B22&lt;=1,"单利计息","复利计息")</f>
        <v>复利计息</v>
      </c>
    </row>
    <row r="23" spans="1:7" s="220" customFormat="1" ht="13.5" customHeight="1">
      <c r="A23" s="888" t="s">
        <v>2182</v>
      </c>
      <c r="B23" s="221" t="s">
        <v>2183</v>
      </c>
      <c r="C23" s="1265">
        <f ca="1">ROUND(IF('数据-取费表'!B22&lt;=1,C5*F22*'数据-取费表'!B23,C5*(POWER((1+F22),'数据-取费表'!B23)-1)),0)</f>
        <v>172</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2</v>
      </c>
      <c r="D25" s="244"/>
      <c r="E25" s="247"/>
      <c r="F25" s="245"/>
      <c r="G25" s="248" t="s">
        <v>2190</v>
      </c>
    </row>
    <row r="26" spans="1:7" s="220" customFormat="1">
      <c r="A26" s="888" t="s">
        <v>795</v>
      </c>
      <c r="B26" s="221" t="s">
        <v>2191</v>
      </c>
      <c r="C26" s="244">
        <f ca="1">ROUND(IF('数据-取费表'!B22&lt;=1,F21*F22*'数据-取费表'!B23/2,F21*(POWER((1+F22),'数据-取费表'!B23/2)-1)),4)</f>
        <v>5.9999999999999995E-4</v>
      </c>
      <c r="D26" s="244"/>
      <c r="E26" s="247"/>
      <c r="F26" s="245"/>
      <c r="G26" s="249"/>
    </row>
    <row r="27" spans="1:7" s="220" customFormat="1" ht="26.4">
      <c r="A27" s="261" t="s">
        <v>2192</v>
      </c>
      <c r="B27" s="250" t="s">
        <v>2193</v>
      </c>
      <c r="C27" s="251">
        <f ca="1">C28</f>
        <v>133</v>
      </c>
      <c r="D27" s="241">
        <f ca="1">C29</f>
        <v>1E-3</v>
      </c>
      <c r="E27" s="242" t="s">
        <v>2194</v>
      </c>
      <c r="F27" s="252">
        <f ca="1">IF(B1="",'数据-取费表'!Q16,INDIRECT("'数据-取费表'!q"&amp;$G$1))</f>
        <v>0.05</v>
      </c>
      <c r="G27" s="253" t="s">
        <v>2195</v>
      </c>
    </row>
    <row r="28" spans="1:7" s="220" customFormat="1" ht="13.5" customHeight="1">
      <c r="A28" s="888" t="s">
        <v>791</v>
      </c>
      <c r="B28" s="254" t="s">
        <v>2196</v>
      </c>
      <c r="C28" s="255">
        <f ca="1">ROUND((C5+C19+C20)*F27*'数据-取费表'!B21/'数据-取费表'!B20,0)</f>
        <v>133</v>
      </c>
      <c r="D28" s="241"/>
      <c r="E28" s="242"/>
      <c r="F28" s="252"/>
      <c r="G28" s="253"/>
    </row>
    <row r="29" spans="1:7" s="220" customFormat="1" ht="13.5" customHeight="1">
      <c r="A29" s="888" t="s">
        <v>792</v>
      </c>
      <c r="B29" s="254" t="s">
        <v>2197</v>
      </c>
      <c r="C29" s="244">
        <f ca="1">ROUND(C21*F27*'数据-取费表'!B21/'数据-取费表'!B20,4)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3206</v>
      </c>
      <c r="D31" s="236"/>
      <c r="E31" s="217"/>
      <c r="F31" s="256"/>
      <c r="G31" s="240" t="s">
        <v>2202</v>
      </c>
    </row>
    <row r="32" spans="1:7" s="214" customFormat="1" ht="16.2">
      <c r="A32" s="258" t="s">
        <v>2203</v>
      </c>
      <c r="B32" s="259"/>
      <c r="C32" s="259"/>
      <c r="D32" s="259"/>
      <c r="E32" s="259"/>
      <c r="F32" s="259"/>
      <c r="G32" s="260"/>
    </row>
    <row r="33" spans="1:7" s="220" customFormat="1" ht="13.5" customHeight="1">
      <c r="A33" s="261" t="s">
        <v>782</v>
      </c>
      <c r="B33" s="216" t="s">
        <v>2204</v>
      </c>
      <c r="C33" s="262">
        <f ca="1">SUM(C34:C38)</f>
        <v>3200</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2770</v>
      </c>
      <c r="D34" s="223"/>
      <c r="E34" s="226"/>
      <c r="F34" s="263">
        <f ca="1">IF('数据-取费表'!B24=0,1,IF(B1="",'数据-取费表'!N16,INDIRECT("'数据-取费表'!n"&amp;$G$1)))</f>
        <v>1</v>
      </c>
      <c r="G34" s="225" t="s">
        <v>2206</v>
      </c>
    </row>
    <row r="35" spans="1:7" ht="13.5" customHeight="1">
      <c r="A35" s="888" t="s">
        <v>796</v>
      </c>
      <c r="B35" s="221" t="s">
        <v>2207</v>
      </c>
      <c r="C35" s="226">
        <f ca="1">ROUND(C34*F35,0)</f>
        <v>111</v>
      </c>
      <c r="D35" s="226"/>
      <c r="E35" s="226"/>
      <c r="F35" s="265">
        <f>'数据-取费表'!B33</f>
        <v>0.04</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277</v>
      </c>
      <c r="D37" s="223">
        <f ca="1">D19</f>
        <v>13846.800000000001</v>
      </c>
      <c r="E37" s="255">
        <f>'数据-取费表'!B35</f>
        <v>200</v>
      </c>
      <c r="F37" s="265"/>
      <c r="G37" s="267" t="s">
        <v>2212</v>
      </c>
    </row>
    <row r="38" spans="1:7" ht="13.5" customHeight="1">
      <c r="A38" s="888" t="s">
        <v>799</v>
      </c>
      <c r="B38" s="221" t="s">
        <v>2213</v>
      </c>
      <c r="C38" s="226">
        <f ca="1">ROUND(C34*F38,0)</f>
        <v>42</v>
      </c>
      <c r="D38" s="226"/>
      <c r="E38" s="226"/>
      <c r="F38" s="265">
        <f>'数据-取费表'!B36</f>
        <v>1.4999999999999999E-2</v>
      </c>
      <c r="G38" s="225" t="s">
        <v>2208</v>
      </c>
    </row>
    <row r="39" spans="1:7" s="220" customFormat="1" ht="13.5" customHeight="1">
      <c r="A39" s="261" t="s">
        <v>2214</v>
      </c>
      <c r="B39" s="216" t="s">
        <v>2215</v>
      </c>
      <c r="C39" s="238">
        <f ca="1">ROUND(C33*F20,0)</f>
        <v>64</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106</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ROUND(IF('数据-取费表'!B22&lt;=1,C33*F22*'数据-取费表'!B21/2,C33*(POWER((1+F22),'数据-取费表'!B21/2)-1)),0)</f>
        <v>104</v>
      </c>
      <c r="D42" s="244"/>
      <c r="E42" s="244"/>
      <c r="F42" s="245"/>
      <c r="G42" s="3265" t="s">
        <v>2224</v>
      </c>
    </row>
    <row r="43" spans="1:7" ht="13.5" customHeight="1">
      <c r="A43" s="888" t="s">
        <v>792</v>
      </c>
      <c r="B43" s="221" t="s">
        <v>2225</v>
      </c>
      <c r="C43" s="244">
        <f ca="1">ROUND(IF('数据-取费表'!B22&lt;=1,C39*F22*'数据-取费表'!B21/2,C39*(POWER((1+F22),'数据-取费表'!B21/2)-1)),0)</f>
        <v>2</v>
      </c>
      <c r="D43" s="244"/>
      <c r="E43" s="244"/>
      <c r="F43" s="245"/>
      <c r="G43" s="3266"/>
    </row>
    <row r="44" spans="1:7" ht="13.5" customHeight="1">
      <c r="A44" s="888" t="s">
        <v>793</v>
      </c>
      <c r="B44" s="221" t="s">
        <v>2226</v>
      </c>
      <c r="C44" s="244">
        <f ca="1">ROUND(IF('数据-取费表'!B22&lt;=1,C40*F22*'数据-取费表'!B21/2,C40*(POWER((1+F22),'数据-取费表'!B21/2)-1)),4)</f>
        <v>5.9999999999999995E-4</v>
      </c>
      <c r="D44" s="244"/>
      <c r="E44" s="244"/>
      <c r="F44" s="245"/>
      <c r="G44" s="3267"/>
    </row>
    <row r="45" spans="1:7" s="220" customFormat="1" ht="13.5" customHeight="1">
      <c r="A45" s="261" t="s">
        <v>2227</v>
      </c>
      <c r="B45" s="250" t="s">
        <v>2193</v>
      </c>
      <c r="C45" s="251">
        <f ca="1">C46</f>
        <v>163</v>
      </c>
      <c r="D45" s="241">
        <f ca="1">C47</f>
        <v>1E-3</v>
      </c>
      <c r="E45" s="242" t="s">
        <v>2219</v>
      </c>
      <c r="F45" s="2537">
        <f ca="1">F27</f>
        <v>0.05</v>
      </c>
      <c r="G45" s="253" t="s">
        <v>2228</v>
      </c>
    </row>
    <row r="46" spans="1:7" s="220" customFormat="1" ht="13.5" customHeight="1">
      <c r="A46" s="888" t="s">
        <v>791</v>
      </c>
      <c r="B46" s="254" t="s">
        <v>2229</v>
      </c>
      <c r="C46" s="255">
        <f ca="1">ROUND((C33+C39)*F27,0)</f>
        <v>163</v>
      </c>
      <c r="D46" s="269"/>
      <c r="E46" s="242"/>
      <c r="F46" s="252"/>
      <c r="G46" s="253"/>
    </row>
    <row r="47" spans="1:7" s="220" customFormat="1" ht="13.5" customHeight="1">
      <c r="A47" s="888" t="s">
        <v>792</v>
      </c>
      <c r="B47" s="254" t="s">
        <v>2230</v>
      </c>
      <c r="C47" s="244">
        <f ca="1">ROUND(C40*F27,4)</f>
        <v>1E-3</v>
      </c>
      <c r="D47" s="269"/>
      <c r="E47" s="242"/>
      <c r="F47" s="252"/>
      <c r="G47" s="253"/>
    </row>
    <row r="48" spans="1:7" s="220" customFormat="1" ht="13.5" customHeight="1">
      <c r="A48" s="261" t="s">
        <v>2192</v>
      </c>
      <c r="B48" s="216" t="s">
        <v>2231</v>
      </c>
      <c r="C48" s="1495">
        <f>ROUND(F30/(1+'数据-取费表'!C42),4)</f>
        <v>5.2400000000000002E-2</v>
      </c>
      <c r="D48" s="242" t="s">
        <v>2219</v>
      </c>
      <c r="E48" s="238"/>
      <c r="F48" s="2536">
        <f>F30</f>
        <v>5.5000000000000007E-2</v>
      </c>
      <c r="G48" s="240" t="s">
        <v>2232</v>
      </c>
    </row>
    <row r="49" spans="1:7" ht="16.5" customHeight="1">
      <c r="A49" s="261" t="s">
        <v>2198</v>
      </c>
      <c r="B49" s="216" t="s">
        <v>2233</v>
      </c>
      <c r="C49" s="238">
        <f ca="1">ROUND((C33+C39+C41+C45)/(1-C40-D41-D45-C48),0)</f>
        <v>3815</v>
      </c>
      <c r="D49" s="238"/>
      <c r="E49" s="238"/>
      <c r="F49" s="270"/>
      <c r="G49" s="240" t="s">
        <v>2234</v>
      </c>
    </row>
    <row r="50" spans="1:7" s="264" customFormat="1" ht="24">
      <c r="A50" s="261" t="s">
        <v>2235</v>
      </c>
      <c r="B50" s="216" t="s">
        <v>2236</v>
      </c>
      <c r="C50" s="238"/>
      <c r="D50" s="238"/>
      <c r="E50" s="238"/>
      <c r="F50" s="270">
        <f>IF('数据-取费表'!B24=0,'数据-取费表'!N16,1)</f>
        <v>0.96</v>
      </c>
      <c r="G50" s="253" t="s">
        <v>2237</v>
      </c>
    </row>
    <row r="51" spans="1:7" ht="16.5" customHeight="1">
      <c r="A51" s="261" t="s">
        <v>2238</v>
      </c>
      <c r="B51" s="216" t="s">
        <v>2239</v>
      </c>
      <c r="C51" s="238">
        <f ca="1">ROUND(C49*F50,0)</f>
        <v>3662</v>
      </c>
      <c r="D51" s="238"/>
      <c r="E51" s="238"/>
      <c r="F51" s="270"/>
      <c r="G51" s="240" t="s">
        <v>2240</v>
      </c>
    </row>
    <row r="52" spans="1:7" s="214" customFormat="1" ht="16.8" thickBot="1">
      <c r="A52" s="271" t="s">
        <v>2241</v>
      </c>
      <c r="B52" s="272"/>
      <c r="C52" s="273">
        <f ca="1">C31+C51</f>
        <v>6868</v>
      </c>
      <c r="D52" s="272"/>
      <c r="E52" s="272"/>
      <c r="F52" s="272"/>
      <c r="G52" s="274"/>
    </row>
    <row r="55" spans="1:7" ht="15">
      <c r="B55" s="276" t="s">
        <v>2242</v>
      </c>
      <c r="C55" s="277"/>
    </row>
    <row r="56" spans="1:7">
      <c r="B56" s="279" t="s">
        <v>1478</v>
      </c>
      <c r="C56" s="281">
        <f ca="1">1-C57</f>
        <v>0.46699999999999997</v>
      </c>
    </row>
    <row r="57" spans="1:7">
      <c r="B57" s="279" t="s">
        <v>1479</v>
      </c>
      <c r="C57" s="280">
        <f ca="1">ROUND(C51/C52,3)</f>
        <v>0.53300000000000003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076" t="str">
        <f>项目基本情况!B1</f>
        <v>北京市房地产抵押价值预评估</v>
      </c>
      <c r="C37" s="3076"/>
      <c r="D37" s="3076"/>
      <c r="E37" s="3076"/>
      <c r="F37" s="3076"/>
      <c r="G37" s="3076"/>
      <c r="H37" s="3076"/>
      <c r="I37" s="3076"/>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c r="B46" s="1659" t="str">
        <f ca="1">项目基本情况!K4</f>
        <v>郑燚（注册号：1120070131)、（注册号：0)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U518" sqref="U51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2141</v>
      </c>
      <c r="B1" s="1654"/>
      <c r="C1" s="2045" t="s">
        <v>2243</v>
      </c>
      <c r="D1" s="204"/>
      <c r="E1" s="204"/>
      <c r="F1" s="204"/>
      <c r="G1" s="1288">
        <f>MATCH(B1,'数据-取费表'!A6:A16,0)+5</f>
        <v>8</v>
      </c>
      <c r="H1" s="1192" t="str">
        <f>IF(ISERROR(FIND("住宅",B1)),"非住宅","住宅")</f>
        <v>非住宅</v>
      </c>
    </row>
    <row r="2" spans="1:8" s="206" customFormat="1" ht="18" customHeight="1">
      <c r="A2" s="207" t="s">
        <v>2142</v>
      </c>
      <c r="B2" s="208">
        <f ca="1">ROUND(IF(D2="——",C52/10000,C52/10000-E2),0)</f>
        <v>4342</v>
      </c>
      <c r="C2" s="205" t="s">
        <v>2143</v>
      </c>
      <c r="D2" s="2039" t="s">
        <v>70</v>
      </c>
      <c r="E2" s="1331" t="e">
        <f ca="1">SUMIF(INDIRECT("'"&amp;G2&amp;"'"&amp;"!A:A"),"承租人权益价值",INDIRECT("'"&amp;G2&amp;"'"&amp;"!c:c"))</f>
        <v>#REF!</v>
      </c>
      <c r="F2" s="2040" t="s">
        <v>2143</v>
      </c>
      <c r="G2" s="2041"/>
    </row>
    <row r="3" spans="1:8" s="206" customFormat="1" ht="18" customHeight="1" thickBot="1">
      <c r="A3" s="209" t="s">
        <v>2144</v>
      </c>
      <c r="B3" s="210">
        <f ca="1">ROUND(B2*10000/(IF(B1="",'数据-汇总表'!E3,INDIRECT("'数据-取费表'!k"&amp;$G$1))),0)</f>
        <v>3136</v>
      </c>
      <c r="C3" s="205" t="s">
        <v>2145</v>
      </c>
      <c r="D3" s="205"/>
      <c r="E3" s="205"/>
      <c r="F3" s="205"/>
      <c r="G3" s="205"/>
    </row>
    <row r="4" spans="1:8" s="214" customFormat="1" ht="16.2">
      <c r="A4" s="211" t="s">
        <v>2146</v>
      </c>
      <c r="B4" s="212"/>
      <c r="C4" s="212"/>
      <c r="D4" s="212"/>
      <c r="E4" s="212"/>
      <c r="F4" s="212"/>
      <c r="G4" s="213"/>
    </row>
    <row r="5" spans="1:8" s="220" customFormat="1" ht="13.5" customHeight="1">
      <c r="A5" s="261" t="s">
        <v>2147</v>
      </c>
      <c r="B5" s="216" t="s">
        <v>2148</v>
      </c>
      <c r="C5" s="217">
        <f ca="1">C6+C7+C8</f>
        <v>2769360</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2769360</v>
      </c>
      <c r="D8" s="228"/>
      <c r="E8" s="226"/>
      <c r="F8" s="227"/>
      <c r="G8" s="2042"/>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2160</v>
      </c>
      <c r="C10" s="231">
        <f ca="1">ROUND(D10*E10,0)</f>
        <v>2769360</v>
      </c>
      <c r="D10" s="954">
        <f ca="1">IF(B1="",'数据-汇总表'!E6,IF(INDIRECT("'数据-取费表'!c"&amp;$G$1)="住宅",INDIRECT("'数据-取费表'!s"&amp;$G$1),INDIRECT("'数据-取费表'!k"&amp;$G$1)+INDIRECT("'数据-取费表'!s"&amp;$G$1)))</f>
        <v>13846.800000000001</v>
      </c>
      <c r="E10" s="231">
        <f>'数据-取费表'!B28</f>
        <v>200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2769360</v>
      </c>
      <c r="D19" s="958">
        <f ca="1">D9+D10</f>
        <v>13846.800000000001</v>
      </c>
      <c r="E19" s="217">
        <f>'数据-取费表'!B31</f>
        <v>200</v>
      </c>
      <c r="F19" s="237"/>
      <c r="G19" s="2042"/>
    </row>
    <row r="20" spans="1:7" s="220" customFormat="1" ht="13.5" customHeight="1">
      <c r="A20" s="261" t="s">
        <v>2254</v>
      </c>
      <c r="B20" s="216" t="s">
        <v>2255</v>
      </c>
      <c r="C20" s="238">
        <f ca="1">ROUND((C5+C19)*F20,0)</f>
        <v>110774</v>
      </c>
      <c r="D20" s="238"/>
      <c r="E20" s="238"/>
      <c r="F20" s="239">
        <f>'数据-取费表'!B37</f>
        <v>0.02</v>
      </c>
      <c r="G20" s="240" t="s">
        <v>2256</v>
      </c>
    </row>
    <row r="21" spans="1:7" s="220" customFormat="1" ht="13.5" customHeight="1">
      <c r="A21" s="261" t="s">
        <v>2257</v>
      </c>
      <c r="B21" s="216" t="s">
        <v>2258</v>
      </c>
      <c r="C21" s="241">
        <f>F21</f>
        <v>0.02</v>
      </c>
      <c r="D21" s="242" t="s">
        <v>2259</v>
      </c>
      <c r="E21" s="238"/>
      <c r="F21" s="239">
        <f>'数据-取费表'!B38</f>
        <v>0.02</v>
      </c>
      <c r="G21" s="240" t="s">
        <v>2260</v>
      </c>
    </row>
    <row r="22" spans="1:7" s="220" customFormat="1" ht="13.5" customHeight="1">
      <c r="A22" s="261" t="s">
        <v>2261</v>
      </c>
      <c r="B22" s="216" t="s">
        <v>2262</v>
      </c>
      <c r="C22" s="1289">
        <f ca="1">ROUND(SUM(C23:C25),0)</f>
        <v>368899</v>
      </c>
      <c r="D22" s="241">
        <f ca="1">C26</f>
        <v>5.9999999999999995E-4</v>
      </c>
      <c r="E22" s="242" t="s">
        <v>2259</v>
      </c>
      <c r="F22" s="243">
        <f ca="1">'数据-取费表'!B40</f>
        <v>4.3499999999999997E-2</v>
      </c>
      <c r="G22" s="240" t="str">
        <f>IF('数据-取费表'!B22&lt;=1,"单利计息","复利计息")</f>
        <v>复利计息</v>
      </c>
    </row>
    <row r="23" spans="1:7" s="220" customFormat="1" ht="13.5" customHeight="1">
      <c r="A23" s="888" t="s">
        <v>2152</v>
      </c>
      <c r="B23" s="221" t="s">
        <v>2263</v>
      </c>
      <c r="C23" s="1290">
        <f ca="1">ROUND(IF('数据-取费表'!B22&lt;=1,C5*F22*'数据-取费表'!B22,C5*(POWER((1+F22),'数据-取费表'!B22)-1)),0)</f>
        <v>182652</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182652</v>
      </c>
      <c r="D24" s="244"/>
      <c r="E24" s="244"/>
      <c r="F24" s="245"/>
      <c r="G24" s="246" t="s">
        <v>2266</v>
      </c>
    </row>
    <row r="25" spans="1:7" s="220" customFormat="1" ht="24">
      <c r="A25" s="888" t="s">
        <v>2156</v>
      </c>
      <c r="B25" s="221" t="s">
        <v>2267</v>
      </c>
      <c r="C25" s="1290">
        <f ca="1">ROUND(IF('数据-取费表'!B22&lt;=1,C20*F22*'数据-取费表'!B22/2,C20*(POWER((1+F22),'数据-取费表'!B22/2)-1)),0)</f>
        <v>3595</v>
      </c>
      <c r="D25" s="244"/>
      <c r="E25" s="247"/>
      <c r="F25" s="245"/>
      <c r="G25" s="248" t="s">
        <v>2268</v>
      </c>
    </row>
    <row r="26" spans="1:7" s="220" customFormat="1">
      <c r="A26" s="888" t="s">
        <v>795</v>
      </c>
      <c r="B26" s="221" t="s">
        <v>2191</v>
      </c>
      <c r="C26" s="244">
        <f ca="1">ROUND(IF('数据-取费表'!B22&lt;=1,F21*F22*'数据-取费表'!B22/2,F21*(POWER((1+F22),'数据-取费表'!B22/2)-1)),4)</f>
        <v>5.9999999999999995E-4</v>
      </c>
      <c r="D26" s="244"/>
      <c r="E26" s="247"/>
      <c r="F26" s="245"/>
      <c r="G26" s="249"/>
    </row>
    <row r="27" spans="1:7" s="220" customFormat="1" ht="26.4">
      <c r="A27" s="261" t="s">
        <v>2192</v>
      </c>
      <c r="B27" s="250" t="s">
        <v>2193</v>
      </c>
      <c r="C27" s="251">
        <f ca="1">C28</f>
        <v>282475</v>
      </c>
      <c r="D27" s="241">
        <f ca="1">C29</f>
        <v>1E-3</v>
      </c>
      <c r="E27" s="242" t="s">
        <v>2194</v>
      </c>
      <c r="F27" s="252">
        <f ca="1">IF(B1="",'数据-取费表'!Q16,INDIRECT("'数据-取费表'!q"&amp;$G$1))</f>
        <v>0.05</v>
      </c>
      <c r="G27" s="253" t="s">
        <v>2195</v>
      </c>
    </row>
    <row r="28" spans="1:7" s="220" customFormat="1" ht="13.5" customHeight="1">
      <c r="A28" s="888" t="s">
        <v>791</v>
      </c>
      <c r="B28" s="254" t="s">
        <v>2196</v>
      </c>
      <c r="C28" s="255">
        <f ca="1">ROUND((C5+C19+C20)*F27,0)</f>
        <v>282475</v>
      </c>
      <c r="D28" s="241"/>
      <c r="E28" s="242"/>
      <c r="F28" s="252"/>
      <c r="G28" s="253"/>
    </row>
    <row r="29" spans="1:7" s="220" customFormat="1" ht="13.5" customHeight="1">
      <c r="A29" s="888" t="s">
        <v>792</v>
      </c>
      <c r="B29" s="254" t="s">
        <v>2197</v>
      </c>
      <c r="C29" s="244">
        <f ca="1">ROUND(C21*F27,4)</f>
        <v>1E-3</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6804393</v>
      </c>
      <c r="D31" s="236"/>
      <c r="E31" s="217"/>
      <c r="F31" s="256"/>
      <c r="G31" s="240" t="s">
        <v>2202</v>
      </c>
    </row>
    <row r="32" spans="1:7" s="214" customFormat="1" ht="16.2">
      <c r="A32" s="258" t="s">
        <v>2269</v>
      </c>
      <c r="B32" s="259"/>
      <c r="C32" s="259"/>
      <c r="D32" s="259"/>
      <c r="E32" s="259"/>
      <c r="F32" s="259"/>
      <c r="G32" s="260"/>
    </row>
    <row r="33" spans="1:7" s="220" customFormat="1" ht="13.5" customHeight="1">
      <c r="A33" s="261" t="s">
        <v>782</v>
      </c>
      <c r="B33" s="216" t="s">
        <v>2270</v>
      </c>
      <c r="C33" s="262">
        <f ca="1">SUM(C34:C38)</f>
        <v>31986108</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27693600</v>
      </c>
      <c r="D34" s="223"/>
      <c r="E34" s="226"/>
      <c r="F34" s="263"/>
      <c r="G34" s="225"/>
    </row>
    <row r="35" spans="1:7" ht="13.5" customHeight="1">
      <c r="A35" s="888" t="s">
        <v>796</v>
      </c>
      <c r="B35" s="221" t="s">
        <v>2207</v>
      </c>
      <c r="C35" s="226">
        <f ca="1">ROUND(C34*F35,0)</f>
        <v>1107744</v>
      </c>
      <c r="D35" s="226"/>
      <c r="E35" s="226"/>
      <c r="F35" s="265">
        <f>'数据-取费表'!B33</f>
        <v>0.04</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2769360</v>
      </c>
      <c r="D37" s="223">
        <f ca="1">D19</f>
        <v>13846.800000000001</v>
      </c>
      <c r="E37" s="255">
        <f>'数据-取费表'!B35</f>
        <v>200</v>
      </c>
      <c r="F37" s="265"/>
      <c r="G37" s="267"/>
    </row>
    <row r="38" spans="1:7" ht="13.5" customHeight="1">
      <c r="A38" s="888" t="s">
        <v>799</v>
      </c>
      <c r="B38" s="221" t="s">
        <v>2213</v>
      </c>
      <c r="C38" s="226">
        <f ca="1">ROUND(C34*F38,0)</f>
        <v>415404</v>
      </c>
      <c r="D38" s="226"/>
      <c r="E38" s="226"/>
      <c r="F38" s="265">
        <f>'数据-取费表'!B36</f>
        <v>1.4999999999999999E-2</v>
      </c>
      <c r="G38" s="225" t="s">
        <v>2208</v>
      </c>
    </row>
    <row r="39" spans="1:7" s="220" customFormat="1" ht="13.5" customHeight="1">
      <c r="A39" s="261" t="s">
        <v>2214</v>
      </c>
      <c r="B39" s="216" t="s">
        <v>2215</v>
      </c>
      <c r="C39" s="238">
        <f ca="1">ROUND(C33*F20,0)</f>
        <v>639722</v>
      </c>
      <c r="D39" s="238"/>
      <c r="E39" s="238"/>
      <c r="F39" s="2535">
        <f>F20</f>
        <v>0.02</v>
      </c>
      <c r="G39" s="240" t="s">
        <v>2216</v>
      </c>
    </row>
    <row r="40" spans="1:7" s="220" customFormat="1" ht="13.5" customHeight="1">
      <c r="A40" s="261" t="s">
        <v>2217</v>
      </c>
      <c r="B40" s="216" t="s">
        <v>2218</v>
      </c>
      <c r="C40" s="1495">
        <f>F21</f>
        <v>0.02</v>
      </c>
      <c r="D40" s="242" t="s">
        <v>2219</v>
      </c>
      <c r="E40" s="238"/>
      <c r="F40" s="2535">
        <f>F21</f>
        <v>0.02</v>
      </c>
      <c r="G40" s="240" t="s">
        <v>2220</v>
      </c>
    </row>
    <row r="41" spans="1:7" s="220" customFormat="1" ht="13.5" customHeight="1">
      <c r="A41" s="261" t="s">
        <v>2221</v>
      </c>
      <c r="B41" s="216" t="s">
        <v>2222</v>
      </c>
      <c r="C41" s="238">
        <f ca="1">ROUND(SUM(C42:C43),0)</f>
        <v>1058732</v>
      </c>
      <c r="D41" s="241">
        <f ca="1">C44</f>
        <v>5.9999999999999995E-4</v>
      </c>
      <c r="E41" s="242" t="s">
        <v>2219</v>
      </c>
      <c r="F41" s="2536">
        <f ca="1">F22</f>
        <v>4.3499999999999997E-2</v>
      </c>
      <c r="G41" s="240" t="str">
        <f>IF('数据-取费表'!B22&lt;=1,"单利计息","复利计息")</f>
        <v>复利计息</v>
      </c>
    </row>
    <row r="42" spans="1:7" ht="13.5" customHeight="1">
      <c r="A42" s="888" t="s">
        <v>791</v>
      </c>
      <c r="B42" s="221" t="s">
        <v>2223</v>
      </c>
      <c r="C42" s="244">
        <f ca="1">ROUND(IF('数据-取费表'!B22&lt;=1,C33*F22*'数据-取费表'!B20/2,C33*(POWER((1+F22),'数据-取费表'!B20/2)-1)),0)</f>
        <v>1037973</v>
      </c>
      <c r="D42" s="244"/>
      <c r="E42" s="244"/>
      <c r="F42" s="245"/>
      <c r="G42" s="3265" t="s">
        <v>2271</v>
      </c>
    </row>
    <row r="43" spans="1:7" ht="13.5" customHeight="1">
      <c r="A43" s="888" t="s">
        <v>792</v>
      </c>
      <c r="B43" s="221" t="s">
        <v>2225</v>
      </c>
      <c r="C43" s="244">
        <f ca="1">ROUND(IF('数据-取费表'!B22&lt;=1,C39*F22*'数据-取费表'!B20/2,C39*(POWER((1+F22),'数据-取费表'!B20/2)-1)),0)</f>
        <v>20759</v>
      </c>
      <c r="D43" s="244"/>
      <c r="E43" s="244"/>
      <c r="F43" s="245"/>
      <c r="G43" s="3266"/>
    </row>
    <row r="44" spans="1:7" ht="13.5" customHeight="1">
      <c r="A44" s="888" t="s">
        <v>793</v>
      </c>
      <c r="B44" s="221" t="s">
        <v>2226</v>
      </c>
      <c r="C44" s="244">
        <f ca="1">ROUND(IF('数据-取费表'!B22&lt;=1,C40*F22*'数据-取费表'!B20/2,C40*(POWER((1+F22),'数据-取费表'!B20/2)-1)),4)</f>
        <v>5.9999999999999995E-4</v>
      </c>
      <c r="D44" s="244"/>
      <c r="E44" s="244"/>
      <c r="F44" s="245"/>
      <c r="G44" s="3267"/>
    </row>
    <row r="45" spans="1:7" s="220" customFormat="1" ht="13.5" customHeight="1">
      <c r="A45" s="261" t="s">
        <v>2227</v>
      </c>
      <c r="B45" s="250" t="s">
        <v>2193</v>
      </c>
      <c r="C45" s="251">
        <f ca="1">C46</f>
        <v>1631292</v>
      </c>
      <c r="D45" s="241">
        <f ca="1">C47</f>
        <v>1E-3</v>
      </c>
      <c r="E45" s="242" t="s">
        <v>2219</v>
      </c>
      <c r="F45" s="2537">
        <f ca="1">F27</f>
        <v>0.05</v>
      </c>
      <c r="G45" s="253" t="s">
        <v>2228</v>
      </c>
    </row>
    <row r="46" spans="1:7" s="220" customFormat="1" ht="13.5" customHeight="1">
      <c r="A46" s="888" t="s">
        <v>791</v>
      </c>
      <c r="B46" s="254" t="s">
        <v>2229</v>
      </c>
      <c r="C46" s="255">
        <f ca="1">ROUND((C33+C39)*F27,0)</f>
        <v>1631292</v>
      </c>
      <c r="D46" s="269"/>
      <c r="E46" s="242"/>
      <c r="F46" s="252"/>
      <c r="G46" s="253"/>
    </row>
    <row r="47" spans="1:7" s="220" customFormat="1" ht="13.5" customHeight="1">
      <c r="A47" s="888" t="s">
        <v>792</v>
      </c>
      <c r="B47" s="254" t="s">
        <v>2230</v>
      </c>
      <c r="C47" s="244">
        <f ca="1">ROUND(C40*F27,4)</f>
        <v>1E-3</v>
      </c>
      <c r="D47" s="269"/>
      <c r="E47" s="242"/>
      <c r="F47" s="252"/>
      <c r="G47" s="253"/>
    </row>
    <row r="48" spans="1:7" s="220" customFormat="1" ht="13.5" customHeight="1">
      <c r="A48" s="261" t="s">
        <v>2192</v>
      </c>
      <c r="B48" s="216" t="s">
        <v>2231</v>
      </c>
      <c r="C48" s="268">
        <f>ROUND(F30/(1+'数据-取费表'!C42),4)</f>
        <v>5.2400000000000002E-2</v>
      </c>
      <c r="D48" s="242" t="s">
        <v>2219</v>
      </c>
      <c r="E48" s="238"/>
      <c r="F48" s="2536">
        <f>F30</f>
        <v>5.5000000000000007E-2</v>
      </c>
      <c r="G48" s="240" t="s">
        <v>2232</v>
      </c>
    </row>
    <row r="49" spans="1:7" ht="16.5" customHeight="1">
      <c r="A49" s="261" t="s">
        <v>2198</v>
      </c>
      <c r="B49" s="216" t="s">
        <v>2272</v>
      </c>
      <c r="C49" s="238">
        <f ca="1">ROUND((C33+C39+C41+C45)/(1-C40-D41-D45-C48),0)</f>
        <v>38138071</v>
      </c>
      <c r="D49" s="238"/>
      <c r="E49" s="238"/>
      <c r="F49" s="270"/>
      <c r="G49" s="240" t="s">
        <v>2234</v>
      </c>
    </row>
    <row r="50" spans="1:7" s="264" customFormat="1">
      <c r="A50" s="261" t="s">
        <v>2235</v>
      </c>
      <c r="B50" s="216" t="s">
        <v>2236</v>
      </c>
      <c r="C50" s="238"/>
      <c r="D50" s="238"/>
      <c r="E50" s="238"/>
      <c r="F50" s="270">
        <f>IF('数据-取费表'!B24=0,'数据-取费表'!N16,1)</f>
        <v>0.96</v>
      </c>
      <c r="G50" s="253"/>
    </row>
    <row r="51" spans="1:7" ht="16.5" customHeight="1">
      <c r="A51" s="261" t="s">
        <v>2238</v>
      </c>
      <c r="B51" s="216" t="s">
        <v>2273</v>
      </c>
      <c r="C51" s="238">
        <f ca="1">ROUND(C49*F50,0)</f>
        <v>36612548</v>
      </c>
      <c r="D51" s="238"/>
      <c r="E51" s="238"/>
      <c r="F51" s="270"/>
      <c r="G51" s="240" t="s">
        <v>2240</v>
      </c>
    </row>
    <row r="52" spans="1:7" s="214" customFormat="1" ht="16.8" thickBot="1">
      <c r="A52" s="271" t="s">
        <v>2241</v>
      </c>
      <c r="B52" s="272"/>
      <c r="C52" s="273">
        <f ca="1">C31+C51</f>
        <v>43416941</v>
      </c>
      <c r="D52" s="272"/>
      <c r="E52" s="272"/>
      <c r="F52" s="272"/>
      <c r="G52" s="274"/>
    </row>
    <row r="55" spans="1:7" ht="15">
      <c r="B55" s="276" t="s">
        <v>2242</v>
      </c>
      <c r="C55" s="277"/>
    </row>
    <row r="56" spans="1:7">
      <c r="B56" s="279" t="s">
        <v>1478</v>
      </c>
      <c r="C56" s="281">
        <f ca="1">1-C57</f>
        <v>0.15700000000000003</v>
      </c>
    </row>
    <row r="57" spans="1:7">
      <c r="B57" s="279" t="s">
        <v>1479</v>
      </c>
      <c r="C57" s="280">
        <f ca="1">ROUND(C51/C52,3)</f>
        <v>0.84299999999999997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U518" sqref="U518"/>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2274</v>
      </c>
      <c r="B1" s="1353"/>
      <c r="C1" s="1354"/>
      <c r="D1" s="1352"/>
      <c r="E1" s="3037"/>
      <c r="F1" s="3037"/>
      <c r="G1" s="2900"/>
      <c r="H1" s="3037"/>
      <c r="I1" s="3037"/>
      <c r="J1" s="3037"/>
      <c r="K1" s="3038">
        <f>MATCH(C1,'数据-取费表'!A6:A16,0)+5</f>
        <v>8</v>
      </c>
    </row>
    <row r="2" spans="1:33" ht="18" customHeight="1">
      <c r="A2" s="207" t="s">
        <v>2142</v>
      </c>
      <c r="B2" s="210">
        <f ca="1">C32</f>
        <v>0</v>
      </c>
      <c r="C2" s="282" t="s">
        <v>2275</v>
      </c>
      <c r="D2" s="282"/>
      <c r="E2" s="3037"/>
      <c r="F2" s="3037"/>
      <c r="G2" s="3037"/>
      <c r="H2" s="3037"/>
      <c r="I2" s="3037"/>
      <c r="J2" s="3037"/>
      <c r="K2" s="3037"/>
    </row>
    <row r="3" spans="1:33" ht="18" customHeight="1" thickBot="1">
      <c r="A3" s="209" t="s">
        <v>2144</v>
      </c>
      <c r="B3" s="210">
        <f ca="1">ROUND(B2*10000/IF(C1="",'数据-汇总表'!E3,INDIRECT("'数据-取费表'!K"&amp;$K$1)),0)</f>
        <v>0</v>
      </c>
      <c r="C3" s="282" t="s">
        <v>2276</v>
      </c>
      <c r="D3" s="282"/>
      <c r="E3" s="3037"/>
      <c r="F3" s="3037"/>
      <c r="G3" s="3037"/>
      <c r="H3" s="3037"/>
      <c r="I3" s="3037"/>
      <c r="J3" s="3037"/>
      <c r="K3" s="3037"/>
    </row>
    <row r="4" spans="1:33" s="893" customFormat="1" ht="16.5" customHeight="1">
      <c r="A4" s="890" t="s">
        <v>2277</v>
      </c>
      <c r="B4" s="891"/>
      <c r="C4" s="933">
        <f>SUM(C8:K8)</f>
        <v>0</v>
      </c>
      <c r="D4" s="891"/>
      <c r="E4" s="891"/>
      <c r="F4" s="891"/>
      <c r="G4" s="891"/>
      <c r="H4" s="891"/>
      <c r="I4" s="891"/>
      <c r="J4" s="891"/>
      <c r="K4" s="892"/>
    </row>
    <row r="5" spans="1:33" s="897" customFormat="1" ht="25.2">
      <c r="A5" s="894" t="s">
        <v>2278</v>
      </c>
      <c r="B5" s="895" t="s">
        <v>2279</v>
      </c>
      <c r="C5" s="2046" t="s">
        <v>2280</v>
      </c>
      <c r="D5" s="2046" t="s">
        <v>2281</v>
      </c>
      <c r="E5" s="2046" t="s">
        <v>2282</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0.04</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13846.800000000001</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13846.800000000001</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0</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2310</v>
      </c>
      <c r="C20" s="24">
        <f ca="1">ROUND(D20*E20/10000,0)</f>
        <v>277</v>
      </c>
      <c r="D20" s="955">
        <f ca="1">IF(C1="",'数据-汇总表'!E6,IF(INDIRECT("'数据-取费表'!c"&amp;$K$1)="住宅",INDIRECT("'数据-取费表'!s"&amp;$K$1),INDIRECT("'数据-取费表'!k"&amp;$K$1)+INDIRECT("'数据-取费表'!s"&amp;$K$1)))</f>
        <v>13846.800000000001</v>
      </c>
      <c r="E20" s="24">
        <f>'数据-取费表'!B28</f>
        <v>200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2324</v>
      </c>
      <c r="B28" s="2051" t="s">
        <v>2325</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2"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zoomScaleSheetLayoutView="100" workbookViewId="0">
      <selection activeCell="U518" sqref="U518"/>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2341</v>
      </c>
      <c r="B1" s="2054"/>
      <c r="C1" s="2054"/>
      <c r="D1" s="2054"/>
      <c r="E1" s="2055"/>
      <c r="F1" s="2936"/>
      <c r="G1" s="1674"/>
      <c r="H1" s="1674"/>
      <c r="I1" s="1674"/>
      <c r="J1" s="1674"/>
      <c r="K1" s="1674"/>
      <c r="L1" s="1674"/>
      <c r="M1" s="1674"/>
      <c r="N1" s="1674"/>
      <c r="O1" s="1674"/>
      <c r="P1" s="1674"/>
      <c r="Q1" s="1674"/>
      <c r="R1" s="1674"/>
      <c r="S1" s="1674"/>
    </row>
    <row r="2" spans="1:22" ht="15.6">
      <c r="A2" s="2056" t="s">
        <v>2142</v>
      </c>
      <c r="B2" s="2057">
        <f ca="1">SUMIF(B6:B13,"&lt;&gt;#ref!",B6:B13)</f>
        <v>19628</v>
      </c>
      <c r="C2" s="2058" t="s">
        <v>2334</v>
      </c>
      <c r="D2" s="2059" t="s">
        <v>2335</v>
      </c>
      <c r="E2" s="2833">
        <f>SUM(E6:E13)</f>
        <v>13846.800000000001</v>
      </c>
      <c r="F2" s="2936"/>
      <c r="G2" s="1674"/>
      <c r="H2" s="1674"/>
      <c r="I2" s="1674"/>
      <c r="J2" s="1674"/>
      <c r="K2" s="1674"/>
      <c r="L2" s="1674"/>
      <c r="M2" s="1674"/>
      <c r="N2" s="1674"/>
      <c r="O2" s="1674"/>
      <c r="P2" s="1674"/>
      <c r="Q2" s="1674"/>
      <c r="R2" s="1674"/>
      <c r="S2" s="1674"/>
    </row>
    <row r="3" spans="1:22" ht="15.6">
      <c r="A3" s="2056" t="s">
        <v>1360</v>
      </c>
      <c r="B3" s="2827">
        <f ca="1">ROUND(B2*10000/E2,0)</f>
        <v>14175</v>
      </c>
      <c r="C3" s="2058" t="s">
        <v>2342</v>
      </c>
      <c r="D3" s="2938"/>
      <c r="E3" s="2940"/>
      <c r="F3" s="2936"/>
      <c r="G3" s="1674"/>
      <c r="H3" s="1674"/>
      <c r="I3" s="1674"/>
      <c r="J3" s="1674"/>
      <c r="K3" s="1674"/>
      <c r="L3" s="1674"/>
      <c r="M3" s="1674"/>
      <c r="N3" s="1674"/>
      <c r="O3" s="1674"/>
      <c r="P3" s="1674"/>
      <c r="Q3" s="1674"/>
      <c r="R3" s="1674"/>
      <c r="S3" s="1674"/>
    </row>
    <row r="4" spans="1:22" ht="15.6">
      <c r="A4" s="2941"/>
      <c r="B4" s="2938"/>
      <c r="C4" s="2938"/>
      <c r="D4" s="2938"/>
      <c r="E4" s="2940"/>
      <c r="F4" s="2936"/>
      <c r="G4" s="1674"/>
      <c r="H4" s="1674"/>
      <c r="I4" s="1674"/>
      <c r="J4" s="1674"/>
      <c r="K4" s="1674"/>
      <c r="L4" s="1674"/>
      <c r="M4" s="1674"/>
      <c r="N4" s="1674"/>
      <c r="O4" s="1674"/>
      <c r="P4" s="1674"/>
      <c r="Q4" s="1674"/>
      <c r="R4" s="1674"/>
      <c r="S4" s="1674"/>
    </row>
    <row r="5" spans="1:22" ht="14.4">
      <c r="A5" s="2829" t="s">
        <v>2336</v>
      </c>
      <c r="B5" s="3268" t="s">
        <v>2337</v>
      </c>
      <c r="C5" s="3269"/>
      <c r="D5" s="2937"/>
      <c r="E5" s="2060" t="s">
        <v>2338</v>
      </c>
      <c r="F5" s="2061" t="s">
        <v>2339</v>
      </c>
      <c r="G5" s="1674"/>
      <c r="H5" s="1674"/>
      <c r="I5" s="1674"/>
      <c r="J5" s="1674"/>
      <c r="K5" s="1674"/>
      <c r="L5" s="1674"/>
      <c r="M5" s="1674"/>
      <c r="N5" s="1674"/>
      <c r="O5" s="1674"/>
      <c r="P5" s="1674"/>
      <c r="Q5" s="1674"/>
      <c r="R5" s="1674"/>
      <c r="S5" s="1674"/>
    </row>
    <row r="6" spans="1:22" ht="14.4">
      <c r="A6" s="2830" t="str">
        <f>'数据-取费表'!AN6</f>
        <v>收益法-厂房</v>
      </c>
      <c r="B6" s="2828">
        <f ca="1">IF(F6="是",'数据-取费表'!AO6,0)</f>
        <v>10009</v>
      </c>
      <c r="C6" s="2058" t="s">
        <v>2334</v>
      </c>
      <c r="D6" s="2938"/>
      <c r="E6" s="2832">
        <f>IF(OR(A6=0,F6="否"),0,'数据-取费表'!K6+'数据-取费表'!S6)</f>
        <v>10013.540000000001</v>
      </c>
      <c r="F6" s="2062" t="s">
        <v>2340</v>
      </c>
      <c r="G6" s="1674"/>
      <c r="H6" s="1674"/>
      <c r="I6" s="1674"/>
      <c r="J6" s="1674"/>
      <c r="K6" s="1674"/>
      <c r="L6" s="1674"/>
      <c r="M6" s="1674"/>
      <c r="N6" s="1674"/>
      <c r="O6" s="1674"/>
      <c r="P6" s="1674"/>
      <c r="Q6" s="1674"/>
      <c r="R6" s="1674"/>
      <c r="S6" s="1674"/>
    </row>
    <row r="7" spans="1:22" ht="14.4">
      <c r="A7" s="2830" t="str">
        <f>'数据-取费表'!AN7</f>
        <v>收益法-办公</v>
      </c>
      <c r="B7" s="2828">
        <f ca="1">IF(F7="是",'数据-取费表'!AO7,0)</f>
        <v>9619</v>
      </c>
      <c r="C7" s="2058" t="s">
        <v>2334</v>
      </c>
      <c r="D7" s="2938"/>
      <c r="E7" s="2832">
        <f>IF(OR(A7=0,F7="否"),0,'数据-取费表'!K7+'数据-取费表'!S7)</f>
        <v>3833.26</v>
      </c>
      <c r="F7" s="2062" t="s">
        <v>2340</v>
      </c>
      <c r="G7" s="1674"/>
      <c r="H7" s="1674"/>
      <c r="I7" s="1674"/>
      <c r="J7" s="1674"/>
      <c r="K7" s="1674"/>
      <c r="L7" s="1674"/>
      <c r="M7" s="1674"/>
      <c r="N7" s="1674"/>
      <c r="O7" s="1674"/>
      <c r="P7" s="1674"/>
      <c r="Q7" s="1674"/>
      <c r="R7" s="1674"/>
      <c r="S7" s="1674"/>
    </row>
    <row r="8" spans="1:22" ht="14.4">
      <c r="A8" s="2830">
        <f>'数据-取费表'!AN8</f>
        <v>0</v>
      </c>
      <c r="B8" s="2828" t="e">
        <f ca="1">IF(F8="是",'数据-取费表'!AO8,0)</f>
        <v>#REF!</v>
      </c>
      <c r="C8" s="2058" t="s">
        <v>2334</v>
      </c>
      <c r="D8" s="2938"/>
      <c r="E8" s="2832">
        <f>IF(OR(A8=0,F8="否"),0,'数据-取费表'!K8+'数据-取费表'!S8)</f>
        <v>0</v>
      </c>
      <c r="F8" s="2062" t="s">
        <v>2340</v>
      </c>
      <c r="G8" s="1674"/>
      <c r="H8" s="1674"/>
      <c r="I8" s="1674"/>
      <c r="J8" s="1674"/>
      <c r="K8" s="1674"/>
      <c r="L8" s="1674"/>
      <c r="M8" s="1674"/>
      <c r="N8" s="1674"/>
      <c r="O8" s="1674"/>
      <c r="P8" s="1674"/>
      <c r="Q8" s="1674"/>
      <c r="R8" s="1674"/>
      <c r="S8" s="1674"/>
    </row>
    <row r="9" spans="1:22" ht="14.4">
      <c r="A9" s="2830">
        <f>'数据-取费表'!AN9</f>
        <v>0</v>
      </c>
      <c r="B9" s="2828" t="e">
        <f ca="1">IF(F9="是",'数据-取费表'!AO9,0)</f>
        <v>#REF!</v>
      </c>
      <c r="C9" s="2058" t="s">
        <v>2334</v>
      </c>
      <c r="D9" s="2938"/>
      <c r="E9" s="2832">
        <f>IF(OR(A9=0,F9="否"),0,'数据-取费表'!K9+'数据-取费表'!S9)</f>
        <v>0</v>
      </c>
      <c r="F9" s="2062" t="s">
        <v>2340</v>
      </c>
      <c r="G9" s="1674"/>
      <c r="H9" s="1674"/>
      <c r="I9" s="1674"/>
      <c r="J9" s="1674"/>
      <c r="K9" s="1674"/>
      <c r="L9" s="1674"/>
      <c r="M9" s="1674"/>
      <c r="N9" s="1674"/>
      <c r="O9" s="1674"/>
      <c r="P9" s="1674"/>
      <c r="Q9" s="1674"/>
      <c r="R9" s="1674"/>
      <c r="S9" s="1674"/>
    </row>
    <row r="10" spans="1:22" ht="14.4">
      <c r="A10" s="2830">
        <f>'数据-取费表'!AN10</f>
        <v>0</v>
      </c>
      <c r="B10" s="2828" t="e">
        <f ca="1">IF(F10="是",'数据-取费表'!AO10,0)</f>
        <v>#REF!</v>
      </c>
      <c r="C10" s="2058" t="s">
        <v>2334</v>
      </c>
      <c r="D10" s="2938"/>
      <c r="E10" s="2832">
        <f>IF(OR(A10=0,F10="否"),0,'数据-取费表'!K10+'数据-取费表'!S10)</f>
        <v>0</v>
      </c>
      <c r="F10" s="2062" t="s">
        <v>2340</v>
      </c>
      <c r="G10" s="1674"/>
      <c r="H10" s="1674"/>
      <c r="I10" s="1674"/>
      <c r="J10" s="1674"/>
      <c r="K10" s="1674"/>
      <c r="L10" s="1674"/>
      <c r="M10" s="1674"/>
      <c r="N10" s="1674"/>
      <c r="O10" s="1674"/>
      <c r="P10" s="1674"/>
      <c r="Q10" s="1674"/>
      <c r="R10" s="1674"/>
      <c r="S10" s="1674"/>
    </row>
    <row r="11" spans="1:22" ht="14.4">
      <c r="A11" s="2830">
        <f>'数据-取费表'!AN11</f>
        <v>0</v>
      </c>
      <c r="B11" s="2828" t="e">
        <f ca="1">IF(F11="是",'数据-取费表'!AO11,0)</f>
        <v>#REF!</v>
      </c>
      <c r="C11" s="2058" t="s">
        <v>2334</v>
      </c>
      <c r="D11" s="2938"/>
      <c r="E11" s="2832">
        <f>IF(OR(A11=0,F11="否"),0,'数据-取费表'!K11+'数据-取费表'!S11)</f>
        <v>0</v>
      </c>
      <c r="F11" s="2062" t="s">
        <v>2340</v>
      </c>
      <c r="G11" s="1674"/>
      <c r="H11" s="1674"/>
      <c r="I11" s="1674"/>
      <c r="J11" s="1674"/>
      <c r="K11" s="1674"/>
      <c r="L11" s="1674"/>
      <c r="M11" s="1674"/>
      <c r="N11" s="1674"/>
      <c r="O11" s="1674"/>
      <c r="P11" s="1674"/>
      <c r="Q11" s="1674"/>
      <c r="R11" s="1674"/>
      <c r="S11" s="1674"/>
    </row>
    <row r="12" spans="1:22" ht="14.4">
      <c r="A12" s="2830">
        <f>'数据-取费表'!AN12</f>
        <v>0</v>
      </c>
      <c r="B12" s="2828" t="e">
        <f ca="1">IF(F12="是",'数据-取费表'!AO12,0)</f>
        <v>#REF!</v>
      </c>
      <c r="C12" s="2058" t="s">
        <v>2334</v>
      </c>
      <c r="D12" s="2938"/>
      <c r="E12" s="2832">
        <f>IF(OR(A12=0,F12="否"),0,'数据-取费表'!K12+'数据-取费表'!S12)</f>
        <v>0</v>
      </c>
      <c r="F12" s="2062" t="s">
        <v>2340</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2334</v>
      </c>
      <c r="D13" s="2939"/>
      <c r="E13" s="2832">
        <f>IF(OR(A13=0,F13="否"),0,'数据-取费表'!K13+'数据-取费表'!S13)</f>
        <v>0</v>
      </c>
      <c r="F13" s="2062" t="s">
        <v>2340</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500-000000000000}">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52" zoomScale="70" zoomScaleNormal="70" zoomScaleSheetLayoutView="70" workbookViewId="0">
      <selection activeCell="K44" sqref="K44"/>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27</v>
      </c>
      <c r="D1" s="1546" t="s">
        <v>70</v>
      </c>
      <c r="E1" s="1547" t="s">
        <v>1352</v>
      </c>
      <c r="F1" s="1193">
        <f ca="1">J53</f>
        <v>42.02</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9619</v>
      </c>
      <c r="C2" s="1571" t="s">
        <v>1481</v>
      </c>
      <c r="D2" s="1571"/>
      <c r="E2" s="1572"/>
      <c r="F2" s="1573"/>
      <c r="G2" s="2935"/>
      <c r="H2" s="2924"/>
      <c r="I2" s="2924"/>
      <c r="J2" s="2924"/>
      <c r="K2" s="2925"/>
      <c r="L2" s="2924"/>
      <c r="M2" s="2924"/>
    </row>
    <row r="3" spans="1:37" ht="18" customHeight="1" thickBot="1">
      <c r="A3" s="1574" t="s">
        <v>1482</v>
      </c>
      <c r="B3" s="1575">
        <f ca="1">IF(ISERROR(B2*10000/F43),0,ROUND(B2*10000/F43,0))</f>
        <v>25094</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442</v>
      </c>
      <c r="D5" s="1548" t="s">
        <v>1367</v>
      </c>
      <c r="E5" s="1203"/>
      <c r="F5" s="1204"/>
      <c r="G5" s="1568"/>
      <c r="H5" s="305">
        <v>1</v>
      </c>
      <c r="I5" s="306" t="s">
        <v>1366</v>
      </c>
      <c r="J5" s="1202">
        <f ca="1">J6+J10+J12</f>
        <v>0</v>
      </c>
      <c r="K5" s="1548" t="s">
        <v>1367</v>
      </c>
      <c r="L5" s="1203"/>
      <c r="M5" s="1204"/>
    </row>
    <row r="6" spans="1:37" ht="18" customHeight="1">
      <c r="A6" s="1201" t="s">
        <v>1003</v>
      </c>
      <c r="B6" s="3270" t="s">
        <v>1368</v>
      </c>
      <c r="C6" s="1206">
        <f ca="1">ROUND(F6*F8*F7*(1-F9)/10000,0)</f>
        <v>441</v>
      </c>
      <c r="D6" s="160" t="s">
        <v>2843</v>
      </c>
      <c r="E6" s="308" t="s">
        <v>1370</v>
      </c>
      <c r="F6" s="309">
        <f ca="1">INDIRECT("'数据-取费表'!u"&amp;$G$1)</f>
        <v>3.5</v>
      </c>
      <c r="G6" s="1568"/>
      <c r="H6" s="1201" t="s">
        <v>1003</v>
      </c>
      <c r="I6" s="3270" t="s">
        <v>1368</v>
      </c>
      <c r="J6" s="307">
        <f ca="1">ROUND(M6*M8*M7*(1-M9)/10000,0)</f>
        <v>0</v>
      </c>
      <c r="K6" s="160" t="s">
        <v>2842</v>
      </c>
      <c r="L6" s="308" t="s">
        <v>1370</v>
      </c>
      <c r="M6" s="309">
        <f ca="1">INDIRECT("'数据-取费表'!z"&amp;$G$1)</f>
        <v>0</v>
      </c>
    </row>
    <row r="7" spans="1:37" ht="18" customHeight="1">
      <c r="A7" s="1205"/>
      <c r="B7" s="3271"/>
      <c r="C7" s="1207"/>
      <c r="D7" s="313"/>
      <c r="E7" s="3069" t="s">
        <v>1371</v>
      </c>
      <c r="F7" s="309">
        <f ca="1">IF(INDIRECT("'数据-取费表'!ah"&amp;$G$1)="",INDIRECT("'数据-取费表'!k"&amp;$G$1),INDIRECT("'数据-取费表'!ah"&amp;$G$1))</f>
        <v>3833.26</v>
      </c>
      <c r="G7" s="1568"/>
      <c r="H7" s="310"/>
      <c r="I7" s="3271"/>
      <c r="J7" s="312"/>
      <c r="K7" s="313"/>
      <c r="L7" s="308" t="s">
        <v>1371</v>
      </c>
      <c r="M7" s="309">
        <f ca="1">F7</f>
        <v>3833.26</v>
      </c>
    </row>
    <row r="8" spans="1:37" ht="18" customHeight="1">
      <c r="A8" s="310"/>
      <c r="B8" s="3271"/>
      <c r="C8" s="312"/>
      <c r="D8" s="313"/>
      <c r="E8" s="308" t="s">
        <v>1372</v>
      </c>
      <c r="F8" s="309">
        <f ca="1">INDIRECT("'数据-取费表'!ai"&amp;$G$1)</f>
        <v>365</v>
      </c>
      <c r="G8" s="1568"/>
      <c r="H8" s="310"/>
      <c r="I8" s="3271"/>
      <c r="J8" s="312"/>
      <c r="K8" s="313"/>
      <c r="L8" s="308" t="s">
        <v>1372</v>
      </c>
      <c r="M8" s="309">
        <f ca="1">INDIRECT("'数据-取费表'!ai"&amp;$G$1)</f>
        <v>365</v>
      </c>
    </row>
    <row r="9" spans="1:37" ht="18" customHeight="1">
      <c r="A9" s="310"/>
      <c r="B9" s="3272"/>
      <c r="C9" s="312"/>
      <c r="D9" s="313"/>
      <c r="E9" s="308" t="s">
        <v>1373</v>
      </c>
      <c r="F9" s="318">
        <f ca="1">INDIRECT("'数据-取费表'!w"&amp;$G$1)</f>
        <v>0.1</v>
      </c>
      <c r="G9" s="1568"/>
      <c r="H9" s="310"/>
      <c r="I9" s="3272"/>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2851</v>
      </c>
      <c r="E10" s="319" t="s">
        <v>1375</v>
      </c>
      <c r="F10" s="1276" t="s">
        <v>3086</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1016</v>
      </c>
      <c r="D13" s="3061" t="s">
        <v>1380</v>
      </c>
      <c r="E13" s="3061"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767</v>
      </c>
      <c r="D14" s="3065" t="s">
        <v>1383</v>
      </c>
      <c r="E14" s="3063"/>
      <c r="F14" s="325"/>
      <c r="G14" s="1568"/>
      <c r="H14" s="1113" t="s">
        <v>1003</v>
      </c>
      <c r="I14" s="308" t="s">
        <v>1384</v>
      </c>
      <c r="J14" s="24">
        <f ca="1">C29</f>
        <v>1058</v>
      </c>
      <c r="K14" s="3068"/>
      <c r="L14" s="916"/>
      <c r="M14" s="917"/>
    </row>
    <row r="15" spans="1:37" s="1581" customFormat="1" ht="18" customHeight="1" thickBot="1">
      <c r="A15" s="1113" t="s">
        <v>1004</v>
      </c>
      <c r="B15" s="308" t="s">
        <v>1385</v>
      </c>
      <c r="C15" s="24">
        <f ca="1">ROUND(C14*F15,0)</f>
        <v>31</v>
      </c>
      <c r="D15" s="3062" t="s">
        <v>1386</v>
      </c>
      <c r="E15" s="3062"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26</v>
      </c>
      <c r="K16" s="1247" t="s">
        <v>1390</v>
      </c>
      <c r="L16" s="3066"/>
      <c r="M16" s="1204"/>
    </row>
    <row r="17" spans="1:37" s="1581" customFormat="1" ht="18" customHeight="1">
      <c r="A17" s="1113" t="s">
        <v>1355</v>
      </c>
      <c r="B17" s="308" t="s">
        <v>1391</v>
      </c>
      <c r="C17" s="24">
        <f ca="1">ROUND(F17*(F43+INDIRECT("'数据-取费表'!S"&amp;$G$1))/10000,0)</f>
        <v>77</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10</v>
      </c>
      <c r="K17" s="3065" t="s">
        <v>1395</v>
      </c>
      <c r="L17" s="3064"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12</v>
      </c>
      <c r="D18" s="308" t="s">
        <v>1386</v>
      </c>
      <c r="E18" s="308" t="s">
        <v>1387</v>
      </c>
      <c r="F18" s="328">
        <f>'数据-取费表'!B36</f>
        <v>1.4999999999999999E-2</v>
      </c>
      <c r="G18" s="1580"/>
      <c r="H18" s="1113" t="s">
        <v>1002</v>
      </c>
      <c r="I18" s="308" t="s">
        <v>1398</v>
      </c>
      <c r="J18" s="24">
        <f ca="1">ROUND(J6*M18/(1+'数据-取费表'!C42),2)</f>
        <v>0</v>
      </c>
      <c r="K18" s="3064"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887</v>
      </c>
      <c r="D19" s="136" t="s">
        <v>1401</v>
      </c>
      <c r="E19" s="3071"/>
      <c r="F19" s="26"/>
      <c r="G19" s="1568"/>
      <c r="H19" s="1113" t="s">
        <v>1004</v>
      </c>
      <c r="I19" s="308" t="s">
        <v>1402</v>
      </c>
      <c r="J19" s="24">
        <f ca="1">IF(K19="按租金收入计税",ROUND(J6*M19/(1+'数据-取费表'!C42),2),ROUND(C29*M19*0.7,2))</f>
        <v>8.89</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18</v>
      </c>
      <c r="D20" s="329" t="s">
        <v>1405</v>
      </c>
      <c r="E20" s="308" t="s">
        <v>1387</v>
      </c>
      <c r="F20" s="328">
        <f>'数据-取费表'!B37</f>
        <v>0.02</v>
      </c>
      <c r="G20" s="1580"/>
      <c r="H20" s="1113" t="s">
        <v>1354</v>
      </c>
      <c r="I20" s="160" t="s">
        <v>1406</v>
      </c>
      <c r="J20" s="25">
        <f ca="1">ROUND(M20*M21/10000,2)</f>
        <v>0.75</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2506.34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1"/>
      <c r="F22" s="26"/>
      <c r="G22" s="1568"/>
      <c r="H22" s="1113" t="s">
        <v>1007</v>
      </c>
      <c r="I22" s="308" t="s">
        <v>1414</v>
      </c>
      <c r="J22" s="24">
        <f ca="1">ROUND(J14*M22,1)</f>
        <v>15.9</v>
      </c>
      <c r="K22" s="3064"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3064"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71"/>
      <c r="F25" s="26"/>
      <c r="G25" s="1568"/>
      <c r="H25" s="1239" t="s">
        <v>999</v>
      </c>
      <c r="I25" s="1254" t="s">
        <v>1428</v>
      </c>
      <c r="J25" s="316">
        <f ca="1">J5-J16</f>
        <v>-26</v>
      </c>
      <c r="K25" s="1255" t="s">
        <v>1429</v>
      </c>
      <c r="L25" s="1256"/>
      <c r="M25" s="1257"/>
    </row>
    <row r="26" spans="1:37">
      <c r="A26" s="1113" t="s">
        <v>1002</v>
      </c>
      <c r="B26" s="308" t="s">
        <v>1430</v>
      </c>
      <c r="C26" s="24">
        <f ca="1">ROUND((C19+C20)*F26,0)</f>
        <v>45</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1058</v>
      </c>
      <c r="D29" s="1252"/>
      <c r="E29" s="1250"/>
      <c r="F29" s="1253"/>
      <c r="G29" s="1580"/>
      <c r="H29" s="340" t="s">
        <v>1001</v>
      </c>
      <c r="I29" s="341" t="s">
        <v>1444</v>
      </c>
      <c r="J29" s="342">
        <f ca="1">ROUND(J26/(1+F40)^F41,0)</f>
        <v>0</v>
      </c>
      <c r="K29" s="343" t="s">
        <v>1445</v>
      </c>
      <c r="L29" s="344"/>
      <c r="M29" s="345">
        <f ca="1">INDIRECT("'数据-取费表'!k"&amp;$G$1)</f>
        <v>3833.26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96</v>
      </c>
      <c r="D30" s="1247" t="s">
        <v>1390</v>
      </c>
      <c r="E30" s="3066"/>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74</v>
      </c>
      <c r="D31" s="3065" t="s">
        <v>1395</v>
      </c>
      <c r="E31" s="3064"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23.1</v>
      </c>
      <c r="D32" s="3064"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50.4</v>
      </c>
      <c r="D33" s="1554" t="s">
        <v>3085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0.75</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2506.34</v>
      </c>
      <c r="G35" s="1568"/>
      <c r="H35" s="2926"/>
      <c r="I35" s="1582"/>
      <c r="J35" s="1583"/>
      <c r="K35" s="2930"/>
      <c r="L35" s="2929"/>
      <c r="M35" s="2929"/>
    </row>
    <row r="36" spans="1:18" ht="18" customHeight="1">
      <c r="A36" s="1262" t="s">
        <v>1007</v>
      </c>
      <c r="B36" s="308" t="s">
        <v>1414</v>
      </c>
      <c r="C36" s="24">
        <f ca="1">ROUND(C29*F36,1)</f>
        <v>15.9</v>
      </c>
      <c r="D36" s="3064"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1.5</v>
      </c>
      <c r="D37" s="3064" t="s">
        <v>1419</v>
      </c>
      <c r="E37" s="308" t="s">
        <v>1387</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4.4000000000000004</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346</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9619</v>
      </c>
      <c r="D40" s="330" t="s">
        <v>1434</v>
      </c>
      <c r="E40" s="308" t="s">
        <v>1435</v>
      </c>
      <c r="F40" s="318">
        <f ca="1">INDIRECT("'数据-取费表'!I"&amp;$G$1)</f>
        <v>4.4999999999999998E-2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25094</v>
      </c>
      <c r="D43" s="343" t="s">
        <v>1453</v>
      </c>
      <c r="E43" s="344" t="s">
        <v>1454</v>
      </c>
      <c r="F43" s="345">
        <f ca="1">INDIRECT("'数据-取费表'!k"&amp;$G$1)</f>
        <v>3833.26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-11623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3083</v>
      </c>
      <c r="K47" s="1600" t="s">
        <v>1492</v>
      </c>
      <c r="L47" s="1601">
        <f ca="1">INDIRECT("'数据-取费表'!d"&amp;$G$1)</f>
        <v>50</v>
      </c>
      <c r="M47" s="1564" t="str">
        <f>IF(ISNUMBER(FIND("住宅",C1)),"住宅","非住宅")</f>
        <v>非住宅</v>
      </c>
      <c r="O47" s="1602" t="s">
        <v>1008</v>
      </c>
      <c r="P47" s="1603" t="s">
        <v>1493</v>
      </c>
      <c r="Q47" s="1604">
        <f ca="1">C40+J29</f>
        <v>9619</v>
      </c>
      <c r="R47" s="1604" t="s">
        <v>1494</v>
      </c>
    </row>
    <row r="48" spans="1:18" s="1568" customFormat="1" ht="40.200000000000003" thickBot="1">
      <c r="A48" s="1270" t="s">
        <v>1103</v>
      </c>
      <c r="B48" s="306" t="s">
        <v>1366</v>
      </c>
      <c r="C48" s="3070">
        <f ca="1">C49+C53+C55</f>
        <v>0</v>
      </c>
      <c r="D48" s="1272"/>
      <c r="E48" s="1273"/>
      <c r="F48" s="1093"/>
      <c r="G48" s="731"/>
      <c r="H48" s="732"/>
      <c r="I48" s="1605" t="s">
        <v>1495</v>
      </c>
      <c r="J48" s="1606" t="s">
        <v>3084</v>
      </c>
      <c r="K48" s="1607" t="s">
        <v>1496</v>
      </c>
      <c r="L48" s="1608">
        <f ca="1">INDIRECT("'数据-取费表'!f"&amp;$G$1)</f>
        <v>42.02</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2842</v>
      </c>
      <c r="E49" s="1556" t="s">
        <v>1456</v>
      </c>
      <c r="F49" s="1191"/>
      <c r="G49" s="1609"/>
      <c r="H49" s="732"/>
      <c r="I49" s="1605" t="s">
        <v>1499</v>
      </c>
      <c r="J49" s="1610">
        <v>2018</v>
      </c>
      <c r="K49" s="1607" t="s">
        <v>1500</v>
      </c>
      <c r="L49" s="1611"/>
      <c r="O49" s="1612" t="s">
        <v>1010</v>
      </c>
      <c r="P49" s="1603" t="s">
        <v>1501</v>
      </c>
      <c r="Q49" s="1604">
        <f ca="1">C29</f>
        <v>1058</v>
      </c>
      <c r="R49" s="1604" t="s">
        <v>1494</v>
      </c>
    </row>
    <row r="50" spans="1:18" s="1568" customFormat="1" ht="13.8" thickBot="1">
      <c r="A50" s="1107"/>
      <c r="B50" s="1110"/>
      <c r="C50" s="1278"/>
      <c r="D50" s="1084"/>
      <c r="E50" s="1187" t="s">
        <v>1371</v>
      </c>
      <c r="F50" s="1188">
        <f ca="1">F7</f>
        <v>3833.26</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6022</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36.6"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73" t="s">
        <v>1513</v>
      </c>
      <c r="L53" s="3274"/>
      <c r="O53" s="1602" t="s">
        <v>1014</v>
      </c>
      <c r="P53" s="1603" t="s">
        <v>1514</v>
      </c>
      <c r="Q53" s="1604">
        <f ca="1">Q47+Q48</f>
        <v>9619</v>
      </c>
      <c r="R53" s="1604" t="s">
        <v>1015</v>
      </c>
    </row>
    <row r="54" spans="1:18" s="1568" customFormat="1" ht="24.6" thickBot="1">
      <c r="A54" s="1315"/>
      <c r="B54" s="1551" t="s">
        <v>1353</v>
      </c>
      <c r="C54" s="1090"/>
      <c r="D54" s="1550"/>
      <c r="E54" s="306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3067"/>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1016</v>
      </c>
      <c r="D56" s="1631"/>
      <c r="E56" s="1632"/>
      <c r="F56" s="1624"/>
      <c r="I56" s="1633" t="s">
        <v>1519</v>
      </c>
      <c r="J56" s="1634" t="s">
        <v>3075</v>
      </c>
      <c r="K56" s="1605" t="s">
        <v>1520</v>
      </c>
      <c r="L56" s="1608" t="str">
        <f ca="1">IF(L48&lt;J51,"——",L48-J53)</f>
        <v>——</v>
      </c>
      <c r="O56" s="1602" t="s">
        <v>1008</v>
      </c>
      <c r="P56" s="1603" t="s">
        <v>1493</v>
      </c>
      <c r="Q56" s="1604">
        <f ca="1">C40+J29</f>
        <v>9619</v>
      </c>
      <c r="R56" s="1604" t="s">
        <v>1494</v>
      </c>
    </row>
    <row r="57" spans="1:18" s="1568" customFormat="1" ht="24.6" thickBot="1">
      <c r="A57" s="1635"/>
      <c r="B57" s="1081" t="s">
        <v>1443</v>
      </c>
      <c r="C57" s="244">
        <f ca="1">C29</f>
        <v>1058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107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90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1402</v>
      </c>
      <c r="C61" s="24">
        <f ca="1">IF(项目基本情况!B11="自然人","——",IF(D61="按租金收入计税",ROUND(C49*F61/(1+'数据-取费表'!C42),2),IF(D61="按房产原值计税",ROUND(C57*F61*0.7,2),INDIRECT("'数据-取费表'!Aj"&amp;$G$1))))</f>
        <v>88.87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0.75</v>
      </c>
      <c r="D62" s="1096" t="s">
        <v>1462</v>
      </c>
      <c r="E62" s="1081" t="s">
        <v>1408</v>
      </c>
      <c r="F62" s="331">
        <f t="shared" si="0"/>
        <v>3</v>
      </c>
      <c r="I62" s="1646" t="s">
        <v>1535</v>
      </c>
      <c r="J62" s="1647" t="s">
        <v>1536</v>
      </c>
      <c r="K62" s="1647" t="s">
        <v>1537</v>
      </c>
      <c r="L62" s="1647" t="s">
        <v>1538</v>
      </c>
      <c r="M62" s="1648" t="s">
        <v>1539</v>
      </c>
      <c r="O62" s="1602" t="s">
        <v>1014</v>
      </c>
      <c r="P62" s="1603" t="s">
        <v>1540</v>
      </c>
      <c r="Q62" s="1604">
        <f ca="1">Q56+Q57</f>
        <v>9619</v>
      </c>
      <c r="R62" s="1604" t="s">
        <v>1015</v>
      </c>
    </row>
    <row r="63" spans="1:18" s="1568" customFormat="1" ht="13.8" thickBot="1">
      <c r="A63" s="332"/>
      <c r="B63" s="1087"/>
      <c r="C63" s="29"/>
      <c r="D63" s="1097"/>
      <c r="E63" s="1081" t="s">
        <v>1412</v>
      </c>
      <c r="F63" s="309">
        <f t="shared" ca="1" si="0"/>
        <v>2506.34</v>
      </c>
      <c r="I63" s="1646" t="s">
        <v>1541</v>
      </c>
      <c r="J63" s="1647">
        <v>70</v>
      </c>
      <c r="K63" s="1647">
        <v>50</v>
      </c>
      <c r="L63" s="1647">
        <v>80</v>
      </c>
      <c r="M63" s="1649">
        <v>0.02</v>
      </c>
      <c r="O63" s="1587" t="s">
        <v>1542</v>
      </c>
      <c r="P63" s="1565"/>
      <c r="Q63" s="1565"/>
      <c r="R63" s="1565"/>
    </row>
    <row r="64" spans="1:18" s="1568" customFormat="1" ht="13.8" thickBot="1">
      <c r="A64" s="1113" t="s">
        <v>1465</v>
      </c>
      <c r="B64" s="1081" t="s">
        <v>1414</v>
      </c>
      <c r="C64" s="24">
        <f ca="1">ROUND(C57*F64,1)</f>
        <v>15.9</v>
      </c>
      <c r="D64" s="1095" t="s">
        <v>1447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1.5</v>
      </c>
      <c r="D65" s="1095" t="s">
        <v>1419</v>
      </c>
      <c r="E65" s="1081" t="s">
        <v>1387</v>
      </c>
      <c r="F65" s="336">
        <f t="shared" ca="1" si="0"/>
        <v>1.5E-3</v>
      </c>
      <c r="I65" s="1646" t="s">
        <v>1544</v>
      </c>
      <c r="J65" s="1647">
        <v>40</v>
      </c>
      <c r="K65" s="1647">
        <v>30</v>
      </c>
      <c r="L65" s="1647">
        <v>50</v>
      </c>
      <c r="M65" s="1649">
        <v>0.02</v>
      </c>
      <c r="O65" s="1602" t="s">
        <v>1008</v>
      </c>
      <c r="P65" s="1603" t="s">
        <v>1545</v>
      </c>
      <c r="Q65" s="1604">
        <f ca="1">C40+J29</f>
        <v>9619</v>
      </c>
      <c r="R65" s="1604" t="s">
        <v>1494</v>
      </c>
    </row>
    <row r="66" spans="1:18" s="1568" customFormat="1" ht="16.2"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24.6" thickBot="1">
      <c r="A67" s="1088" t="s">
        <v>999</v>
      </c>
      <c r="B67" s="1098" t="s">
        <v>1428</v>
      </c>
      <c r="C67" s="322">
        <f ca="1">C48-C58</f>
        <v>-107</v>
      </c>
      <c r="D67" s="1094" t="s">
        <v>1429</v>
      </c>
      <c r="E67" s="1099"/>
      <c r="F67" s="1100"/>
      <c r="O67" s="1612" t="s">
        <v>1010</v>
      </c>
      <c r="P67" s="1603" t="s">
        <v>1527</v>
      </c>
      <c r="Q67" s="1650">
        <f ca="1">L51</f>
        <v>6022</v>
      </c>
      <c r="R67" s="1604" t="s">
        <v>1547</v>
      </c>
    </row>
    <row r="68" spans="1:18" s="1568" customFormat="1" ht="16.2" thickBot="1">
      <c r="A68" s="1078" t="s">
        <v>1000</v>
      </c>
      <c r="B68" s="1079" t="s">
        <v>1450</v>
      </c>
      <c r="C68" s="307">
        <f ca="1">ROUND(C67*(1-((1+F70)/(1+F68))^F69)/(F68-F70),0)</f>
        <v>-2004</v>
      </c>
      <c r="D68" s="1096" t="s">
        <v>1434</v>
      </c>
      <c r="E68" s="1081" t="s">
        <v>1435</v>
      </c>
      <c r="F68" s="318">
        <f ca="1">F40</f>
        <v>4.4999999999999998E-2</v>
      </c>
      <c r="O68" s="1612" t="s">
        <v>1011</v>
      </c>
      <c r="P68" s="1651" t="s">
        <v>1548</v>
      </c>
      <c r="Q68" s="1604">
        <f ca="1">ROUND(Q69-Q70*Q71,0)</f>
        <v>260</v>
      </c>
      <c r="R68" s="1604" t="s">
        <v>1019</v>
      </c>
    </row>
    <row r="69" spans="1:18" s="1568" customFormat="1" ht="13.8" thickBot="1">
      <c r="A69" s="1082"/>
      <c r="B69" s="1083"/>
      <c r="C69" s="312"/>
      <c r="D69" s="1101" t="s">
        <v>1438</v>
      </c>
      <c r="E69" s="1081" t="s">
        <v>1439</v>
      </c>
      <c r="F69" s="339">
        <f ca="1">F41</f>
        <v>42.02</v>
      </c>
      <c r="O69" s="1612" t="s">
        <v>1016</v>
      </c>
      <c r="P69" s="1651" t="s">
        <v>1549</v>
      </c>
      <c r="Q69" s="1604">
        <f ca="1">C39</f>
        <v>346</v>
      </c>
      <c r="R69" s="1604" t="s">
        <v>1494</v>
      </c>
    </row>
    <row r="70" spans="1:18" s="1568" customFormat="1" ht="13.8" thickBot="1">
      <c r="A70" s="1085"/>
      <c r="B70" s="1086"/>
      <c r="C70" s="316"/>
      <c r="D70" s="1097"/>
      <c r="E70" s="1081" t="s">
        <v>1442</v>
      </c>
      <c r="F70" s="1185"/>
      <c r="O70" s="1612" t="s">
        <v>1017</v>
      </c>
      <c r="P70" s="1651" t="s">
        <v>1550</v>
      </c>
      <c r="Q70" s="1604">
        <f ca="1">C13</f>
        <v>1016</v>
      </c>
      <c r="R70" s="1604" t="s">
        <v>1494</v>
      </c>
    </row>
    <row r="71" spans="1:18" s="1568" customFormat="1" ht="13.8" thickBot="1">
      <c r="A71" s="1102" t="s">
        <v>1001</v>
      </c>
      <c r="B71" s="1103" t="s">
        <v>1452</v>
      </c>
      <c r="C71" s="342">
        <f ca="1">ROUND(C68*10000/F71,0)</f>
        <v>-5228</v>
      </c>
      <c r="D71" s="1104" t="s">
        <v>1453</v>
      </c>
      <c r="E71" s="1105" t="s">
        <v>1454</v>
      </c>
      <c r="F71" s="345">
        <f ca="1">F43</f>
        <v>3833.26</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86</v>
      </c>
      <c r="D75" s="1568"/>
      <c r="E75" s="1568"/>
      <c r="F75" s="1568"/>
      <c r="K75" s="1586"/>
      <c r="L75" s="1568"/>
      <c r="O75" s="1602" t="s">
        <v>1014</v>
      </c>
      <c r="P75" s="1603" t="s">
        <v>1514</v>
      </c>
      <c r="Q75" s="1604">
        <f ca="1">Q65+Q66</f>
        <v>9619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0.751</v>
      </c>
    </row>
    <row r="80" spans="1:18">
      <c r="B80" s="346" t="s">
        <v>1476</v>
      </c>
      <c r="C80" s="280">
        <f ca="1">ROUND(C75/C39,3)</f>
        <v>0.249</v>
      </c>
    </row>
    <row r="81" spans="2:3">
      <c r="B81" s="276" t="s">
        <v>1477</v>
      </c>
      <c r="C81" s="244"/>
    </row>
    <row r="82" spans="2:3">
      <c r="B82" s="279" t="s">
        <v>1478</v>
      </c>
      <c r="C82" s="281">
        <f ca="1">1-C83</f>
        <v>0.89400000000000002</v>
      </c>
    </row>
    <row r="83" spans="2:3">
      <c r="B83" s="279" t="s">
        <v>1479</v>
      </c>
      <c r="C83" s="280">
        <f ca="1">ROUND(C13/C40,3)</f>
        <v>0.106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xr:uid="{00000000-0002-0000-1600-000000000000}">
      <formula1>"在建（套用方法）,土地（套用方法）,——"</formula1>
    </dataValidation>
    <dataValidation type="list" allowBlank="1" showInputMessage="1" showErrorMessage="1" sqref="M10 F10 F53" xr:uid="{00000000-0002-0000-1600-000001000000}">
      <formula1>"押一,押二,押三,自定义"</formula1>
    </dataValidation>
    <dataValidation type="list" allowBlank="1" showInputMessage="1" showErrorMessage="1" sqref="L55" xr:uid="{00000000-0002-0000-1600-000002000000}">
      <formula1>"比较法,基准地价,收益还原"</formula1>
    </dataValidation>
    <dataValidation type="list" allowBlank="1" showInputMessage="1" showErrorMessage="1" sqref="J56" xr:uid="{00000000-0002-0000-1600-000003000000}">
      <formula1>判定</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47" xr:uid="{00000000-0002-0000-1600-000005000000}">
      <formula1>"钢,钢混,砖混"</formula1>
    </dataValidation>
    <dataValidation type="list" allowBlank="1" showInputMessage="1" showErrorMessage="1" sqref="C1" xr:uid="{00000000-0002-0000-1600-000006000000}">
      <formula1>项目类型</formula1>
    </dataValidation>
    <dataValidation type="list" allowBlank="1" showInputMessage="1" showErrorMessage="1" sqref="D33 D61" xr:uid="{00000000-0002-0000-1600-000007000000}">
      <formula1>"按租金收入计税,按房产原值计税,按票据"</formula1>
    </dataValidation>
    <dataValidation type="list" allowBlank="1" showInputMessage="1" showErrorMessage="1" sqref="K19" xr:uid="{00000000-0002-0000-16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t="s">
        <v>6</v>
      </c>
      <c r="D1" s="1546" t="s">
        <v>70</v>
      </c>
      <c r="E1" s="1547" t="s">
        <v>1352</v>
      </c>
      <c r="F1" s="1193">
        <f ca="1">J53</f>
        <v>42.02</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10009</v>
      </c>
      <c r="C2" s="1571" t="s">
        <v>1481</v>
      </c>
      <c r="D2" s="1571"/>
      <c r="E2" s="1572"/>
      <c r="F2" s="1573"/>
      <c r="G2" s="2935"/>
      <c r="H2" s="2924"/>
      <c r="I2" s="2924"/>
      <c r="J2" s="2924"/>
      <c r="K2" s="2925"/>
      <c r="L2" s="2924"/>
      <c r="M2" s="2924"/>
    </row>
    <row r="3" spans="1:37" ht="18" customHeight="1" thickBot="1">
      <c r="A3" s="1574" t="s">
        <v>1482</v>
      </c>
      <c r="B3" s="1575">
        <f ca="1">IF(ISERROR(B2*10000/F43),0,ROUND(B2*10000/F43,0))</f>
        <v>9995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494</v>
      </c>
      <c r="D5" s="1548" t="s">
        <v>1367</v>
      </c>
      <c r="E5" s="1203"/>
      <c r="F5" s="1204"/>
      <c r="G5" s="1568"/>
      <c r="H5" s="305">
        <v>1</v>
      </c>
      <c r="I5" s="306" t="s">
        <v>1366</v>
      </c>
      <c r="J5" s="1202">
        <f ca="1">J6+J10+J12</f>
        <v>0</v>
      </c>
      <c r="K5" s="1548" t="s">
        <v>1367</v>
      </c>
      <c r="L5" s="1203"/>
      <c r="M5" s="1204"/>
    </row>
    <row r="6" spans="1:37" ht="18" customHeight="1">
      <c r="A6" s="1201" t="s">
        <v>1003</v>
      </c>
      <c r="B6" s="3270" t="s">
        <v>1368</v>
      </c>
      <c r="C6" s="1206">
        <f ca="1">ROUND(F6*F8*F7*(1-F9)/10000,0)</f>
        <v>493</v>
      </c>
      <c r="D6" s="160" t="s">
        <v>2843</v>
      </c>
      <c r="E6" s="308" t="s">
        <v>1370</v>
      </c>
      <c r="F6" s="309">
        <f ca="1">INDIRECT("'数据-取费表'!u"&amp;$G$1)</f>
        <v>1.5</v>
      </c>
      <c r="G6" s="1568"/>
      <c r="H6" s="1201" t="s">
        <v>1003</v>
      </c>
      <c r="I6" s="3270" t="s">
        <v>1368</v>
      </c>
      <c r="J6" s="307">
        <f ca="1">ROUND(M6*M8*M7*(1-M9)/10000,0)</f>
        <v>0</v>
      </c>
      <c r="K6" s="160" t="s">
        <v>2842</v>
      </c>
      <c r="L6" s="308" t="s">
        <v>1370</v>
      </c>
      <c r="M6" s="309">
        <f ca="1">INDIRECT("'数据-取费表'!z"&amp;$G$1)</f>
        <v>0</v>
      </c>
    </row>
    <row r="7" spans="1:37" ht="18" customHeight="1">
      <c r="A7" s="1205"/>
      <c r="B7" s="3271"/>
      <c r="C7" s="1207"/>
      <c r="D7" s="313"/>
      <c r="E7" s="1208" t="s">
        <v>1371</v>
      </c>
      <c r="F7" s="309">
        <f ca="1">IF(INDIRECT("'数据-取费表'!ah"&amp;$G$1)="",INDIRECT("'数据-取费表'!k"&amp;$G$1),INDIRECT("'数据-取费表'!ah"&amp;$G$1))</f>
        <v>10013.540000000001</v>
      </c>
      <c r="G7" s="1568"/>
      <c r="H7" s="310"/>
      <c r="I7" s="3271"/>
      <c r="J7" s="312"/>
      <c r="K7" s="313"/>
      <c r="L7" s="308" t="s">
        <v>1371</v>
      </c>
      <c r="M7" s="309">
        <f ca="1">F7</f>
        <v>10013.540000000001</v>
      </c>
    </row>
    <row r="8" spans="1:37" ht="18" customHeight="1">
      <c r="A8" s="310"/>
      <c r="B8" s="3271"/>
      <c r="C8" s="312"/>
      <c r="D8" s="313"/>
      <c r="E8" s="308" t="s">
        <v>1372</v>
      </c>
      <c r="F8" s="309">
        <f ca="1">INDIRECT("'数据-取费表'!ai"&amp;$G$1)</f>
        <v>365</v>
      </c>
      <c r="G8" s="1568"/>
      <c r="H8" s="310"/>
      <c r="I8" s="3271"/>
      <c r="J8" s="312"/>
      <c r="K8" s="313"/>
      <c r="L8" s="308" t="s">
        <v>1372</v>
      </c>
      <c r="M8" s="309">
        <f ca="1">INDIRECT("'数据-取费表'!ai"&amp;$G$1)</f>
        <v>365</v>
      </c>
    </row>
    <row r="9" spans="1:37" ht="18" customHeight="1">
      <c r="A9" s="310"/>
      <c r="B9" s="3272"/>
      <c r="C9" s="312"/>
      <c r="D9" s="313"/>
      <c r="E9" s="308" t="s">
        <v>1373</v>
      </c>
      <c r="F9" s="318">
        <f ca="1">INDIRECT("'数据-取费表'!w"&amp;$G$1)</f>
        <v>0.1</v>
      </c>
      <c r="G9" s="1568"/>
      <c r="H9" s="310"/>
      <c r="I9" s="3272"/>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2851</v>
      </c>
      <c r="E10" s="319" t="s">
        <v>1375</v>
      </c>
      <c r="F10" s="1276" t="s">
        <v>3086</v>
      </c>
      <c r="G10" s="1568"/>
      <c r="H10" s="1201" t="s">
        <v>1007</v>
      </c>
      <c r="I10" s="1549" t="s">
        <v>1374</v>
      </c>
      <c r="J10" s="307">
        <f ca="1">ROUND(IF(M10="押一",J6/12*M11,IF(M10="押二",J6/12*2*M11,IF(M10="押三",J6/12*3*M11,J11*M11))),0)</f>
        <v>0</v>
      </c>
      <c r="K10" s="1550" t="s">
        <v>2850</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2647</v>
      </c>
      <c r="D13" s="1241" t="s">
        <v>1380</v>
      </c>
      <c r="E13" s="1241"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2003</v>
      </c>
      <c r="D14" s="1529" t="s">
        <v>1383</v>
      </c>
      <c r="E14" s="1526"/>
      <c r="F14" s="325"/>
      <c r="G14" s="1568"/>
      <c r="H14" s="1113" t="s">
        <v>1003</v>
      </c>
      <c r="I14" s="308" t="s">
        <v>1384</v>
      </c>
      <c r="J14" s="24">
        <f ca="1">C29</f>
        <v>2757</v>
      </c>
      <c r="K14" s="15"/>
      <c r="L14" s="916"/>
      <c r="M14" s="917"/>
    </row>
    <row r="15" spans="1:37" s="1581" customFormat="1" ht="18" customHeight="1" thickBot="1">
      <c r="A15" s="1113" t="s">
        <v>1004</v>
      </c>
      <c r="B15" s="308" t="s">
        <v>1385</v>
      </c>
      <c r="C15" s="24">
        <f ca="1">ROUND(C14*F15,0)</f>
        <v>80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66</v>
      </c>
      <c r="K16" s="1247" t="s">
        <v>1390</v>
      </c>
      <c r="L16" s="1248"/>
      <c r="M16" s="1204"/>
    </row>
    <row r="17" spans="1:37" s="1581" customFormat="1" ht="18" customHeight="1">
      <c r="A17" s="1113" t="s">
        <v>1355</v>
      </c>
      <c r="B17" s="308" t="s">
        <v>1391</v>
      </c>
      <c r="C17" s="24">
        <f ca="1">ROUND(F17*(F43+INDIRECT("'数据-取费表'!S"&amp;$G$1))/10000,0)</f>
        <v>200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2313</v>
      </c>
      <c r="D19" s="136" t="s">
        <v>1401</v>
      </c>
      <c r="E19" s="1544"/>
      <c r="F19" s="26"/>
      <c r="G19" s="1568"/>
      <c r="H19" s="1113" t="s">
        <v>1004</v>
      </c>
      <c r="I19" s="308" t="s">
        <v>1402</v>
      </c>
      <c r="J19" s="24">
        <f ca="1">IF(K19="按租金收入计税",ROUND(J6*M19/(1+'数据-取费表'!C42),2),ROUND(C29*M19*0.7,2))</f>
        <v>23.16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46</v>
      </c>
      <c r="D20" s="329" t="s">
        <v>1405</v>
      </c>
      <c r="E20" s="308" t="s">
        <v>1387</v>
      </c>
      <c r="F20" s="328">
        <f>'数据-取费表'!B37</f>
        <v>0.02</v>
      </c>
      <c r="G20" s="1580"/>
      <c r="H20" s="1113" t="s">
        <v>1354</v>
      </c>
      <c r="I20" s="160" t="s">
        <v>1406</v>
      </c>
      <c r="J20" s="25">
        <f ca="1">ROUND(M20*M21/10000,2)</f>
        <v>1.96</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6547.26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41.4</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76</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-66</v>
      </c>
      <c r="K25" s="1255" t="s">
        <v>1429</v>
      </c>
      <c r="L25" s="1256"/>
      <c r="M25" s="1257"/>
    </row>
    <row r="26" spans="1:37">
      <c r="A26" s="1113" t="s">
        <v>1002</v>
      </c>
      <c r="B26" s="308" t="s">
        <v>1430</v>
      </c>
      <c r="C26" s="24">
        <f ca="1">ROUND((C19+C20)*F26,0)</f>
        <v>118</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2757</v>
      </c>
      <c r="D29" s="1252"/>
      <c r="E29" s="1250"/>
      <c r="F29" s="1253"/>
      <c r="G29" s="1580"/>
      <c r="H29" s="340" t="s">
        <v>1001</v>
      </c>
      <c r="I29" s="341" t="s">
        <v>1444</v>
      </c>
      <c r="J29" s="342">
        <f ca="1">ROUND(J26/(1+F40)^F41,0)</f>
        <v>0</v>
      </c>
      <c r="K29" s="343" t="s">
        <v>1445</v>
      </c>
      <c r="L29" s="344"/>
      <c r="M29" s="345">
        <f ca="1">INDIRECT("'数据-取费表'!k"&amp;$G$1)</f>
        <v>10013.540000000001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84</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IF(项目基本情况!B11="自然人","——",ROUND(C6*F32/(1+'数据-取费表'!C42),2))</f>
        <v>25.82</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56.34</v>
      </c>
      <c r="D33" s="1554" t="s">
        <v>3085</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1.96</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6547.26</v>
      </c>
      <c r="G35" s="1568"/>
      <c r="H35" s="2926"/>
      <c r="I35" s="1582"/>
      <c r="J35" s="1583"/>
      <c r="K35" s="2930"/>
      <c r="L35" s="2929"/>
      <c r="M35" s="2929"/>
    </row>
    <row r="36" spans="1:18" ht="18" customHeight="1">
      <c r="A36" s="1262" t="s">
        <v>1007</v>
      </c>
      <c r="B36" s="308" t="s">
        <v>1414</v>
      </c>
      <c r="C36" s="24">
        <f ca="1">ROUND(C29*F36,1)</f>
        <v>41.4</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4.9000000000000004</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360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10009</v>
      </c>
      <c r="D40" s="330" t="s">
        <v>1434</v>
      </c>
      <c r="E40" s="308" t="s">
        <v>1435</v>
      </c>
      <c r="F40" s="318">
        <f ca="1">INDIRECT("'数据-取费表'!I"&amp;$G$1)</f>
        <v>4.4999999999999998E-2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42.02</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ROUND(C40*10000/F43,0)</f>
        <v>9995</v>
      </c>
      <c r="D43" s="343" t="s">
        <v>1453</v>
      </c>
      <c r="E43" s="344" t="s">
        <v>1454</v>
      </c>
      <c r="F43" s="345">
        <f ca="1">INDIRECT("'数据-取费表'!k"&amp;$G$1)</f>
        <v>10013.540000000001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8" thickBot="1">
      <c r="A46" s="1588" t="s">
        <v>1485</v>
      </c>
      <c r="C46" s="1589">
        <f ca="1">C68-C40</f>
        <v>-15234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8" thickBot="1">
      <c r="A47" s="1077" t="s">
        <v>1361</v>
      </c>
      <c r="B47" s="1109" t="s">
        <v>1362</v>
      </c>
      <c r="C47" s="1277" t="s">
        <v>1363</v>
      </c>
      <c r="D47" s="1109" t="s">
        <v>1364</v>
      </c>
      <c r="E47" s="1189" t="s">
        <v>1365</v>
      </c>
      <c r="F47" s="1190"/>
      <c r="G47" s="731"/>
      <c r="I47" s="1598" t="s">
        <v>1491</v>
      </c>
      <c r="J47" s="1599" t="s">
        <v>3083</v>
      </c>
      <c r="K47" s="1600" t="s">
        <v>1492</v>
      </c>
      <c r="L47" s="1601">
        <f ca="1">INDIRECT("'数据-取费表'!d"&amp;$G$1)</f>
        <v>50</v>
      </c>
      <c r="M47" s="1564" t="str">
        <f>IF(ISNUMBER(FIND("住宅",C1)),"住宅","非住宅")</f>
        <v>非住宅</v>
      </c>
      <c r="O47" s="1602" t="s">
        <v>1008</v>
      </c>
      <c r="P47" s="1603" t="s">
        <v>1493</v>
      </c>
      <c r="Q47" s="1604">
        <f ca="1">C40+J29</f>
        <v>10009</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t="s">
        <v>3084</v>
      </c>
      <c r="K48" s="1607" t="s">
        <v>1496</v>
      </c>
      <c r="L48" s="1608">
        <f ca="1">INDIRECT("'数据-取费表'!f"&amp;$G$1)</f>
        <v>42.02</v>
      </c>
      <c r="O48" s="1602" t="s">
        <v>1009</v>
      </c>
      <c r="P48" s="1603" t="s">
        <v>1497</v>
      </c>
      <c r="Q48" s="1604" t="str">
        <f ca="1">J60</f>
        <v>0</v>
      </c>
      <c r="R48" s="1604" t="s">
        <v>1498</v>
      </c>
    </row>
    <row r="49" spans="1:18" s="1568" customFormat="1" ht="13.8" thickBot="1">
      <c r="A49" s="1106" t="s">
        <v>1104</v>
      </c>
      <c r="B49" s="1555" t="s">
        <v>1455</v>
      </c>
      <c r="C49" s="1274">
        <f ca="1">ROUND(F49*F51*F50*(1-F52)/10000,0)</f>
        <v>0</v>
      </c>
      <c r="D49" s="1186" t="s">
        <v>2844</v>
      </c>
      <c r="E49" s="1556" t="s">
        <v>1456</v>
      </c>
      <c r="F49" s="1191"/>
      <c r="G49" s="1609"/>
      <c r="H49" s="732"/>
      <c r="I49" s="1605" t="s">
        <v>1499</v>
      </c>
      <c r="J49" s="1610">
        <v>2018</v>
      </c>
      <c r="K49" s="1607" t="s">
        <v>1500</v>
      </c>
      <c r="L49" s="1611"/>
      <c r="O49" s="1612" t="s">
        <v>1010</v>
      </c>
      <c r="P49" s="1603" t="s">
        <v>1501</v>
      </c>
      <c r="Q49" s="1604">
        <f ca="1">C29</f>
        <v>2757</v>
      </c>
      <c r="R49" s="1604" t="s">
        <v>1494</v>
      </c>
    </row>
    <row r="50" spans="1:18" s="1568" customFormat="1" ht="13.8" thickBot="1">
      <c r="A50" s="1107"/>
      <c r="B50" s="1110"/>
      <c r="C50" s="1278"/>
      <c r="D50" s="1084"/>
      <c r="E50" s="1187" t="s">
        <v>1371</v>
      </c>
      <c r="F50" s="1188">
        <f ca="1">F7</f>
        <v>10013.540000000001</v>
      </c>
      <c r="H50" s="732"/>
      <c r="I50" s="1605" t="s">
        <v>1502</v>
      </c>
      <c r="J50" s="1613">
        <f>SUMPRODUCT((I63:I65=J47)*(J62:L62=J48)*(J63:L65))</f>
        <v>70</v>
      </c>
      <c r="K50" s="1607" t="s">
        <v>1503</v>
      </c>
      <c r="L50" s="1611"/>
      <c r="M50" s="1614"/>
      <c r="O50" s="1612" t="s">
        <v>1011</v>
      </c>
      <c r="P50" s="1603" t="s">
        <v>1504</v>
      </c>
      <c r="Q50" s="1615" t="e">
        <f ca="1">J58</f>
        <v>#VALUE!</v>
      </c>
      <c r="R50" s="1604"/>
    </row>
    <row r="51" spans="1:18" s="1568" customFormat="1" ht="13.8" thickBot="1">
      <c r="A51" s="1108"/>
      <c r="B51" s="1110"/>
      <c r="C51" s="1111"/>
      <c r="D51" s="1084"/>
      <c r="E51" s="1112" t="s">
        <v>1372</v>
      </c>
      <c r="F51" s="309">
        <f ca="1">F8</f>
        <v>365</v>
      </c>
      <c r="I51" s="1616" t="s">
        <v>1505</v>
      </c>
      <c r="J51" s="1617">
        <f>IF(J49="",J50,J49+J50-YEAR('数据-取费表'!B2))</f>
        <v>67</v>
      </c>
      <c r="K51" s="1618" t="s">
        <v>1506</v>
      </c>
      <c r="L51" s="1619">
        <f ca="1">ROUND(-PV(INDIRECT("'数据-取费表'!h"&amp;$G$1),J51,(C39-C13*C76),0),0)</f>
        <v>3131</v>
      </c>
      <c r="M51" s="1620"/>
      <c r="O51" s="1612" t="s">
        <v>1012</v>
      </c>
      <c r="P51" s="1603" t="s">
        <v>1507</v>
      </c>
      <c r="Q51" s="1615">
        <f>J52</f>
        <v>0.09</v>
      </c>
      <c r="R51" s="1604"/>
    </row>
    <row r="52" spans="1:18" s="1568" customFormat="1" ht="13.8" thickBot="1">
      <c r="A52" s="1108"/>
      <c r="B52" s="1110"/>
      <c r="C52" s="1111"/>
      <c r="D52" s="1084"/>
      <c r="E52" s="1112" t="s">
        <v>1373</v>
      </c>
      <c r="F52" s="1185"/>
      <c r="I52" s="1621" t="s">
        <v>1508</v>
      </c>
      <c r="J52" s="1622">
        <v>0.09</v>
      </c>
      <c r="K52" s="1621" t="s">
        <v>1509</v>
      </c>
      <c r="L52" s="1622"/>
      <c r="O52" s="1612" t="s">
        <v>1013</v>
      </c>
      <c r="P52" s="1603" t="s">
        <v>1510</v>
      </c>
      <c r="Q52" s="1604">
        <f ca="1">J53</f>
        <v>42.02</v>
      </c>
      <c r="R52" s="1604" t="s">
        <v>1511</v>
      </c>
    </row>
    <row r="53" spans="1:18" s="1568" customFormat="1" ht="36.6" thickBot="1">
      <c r="A53" s="1314" t="s">
        <v>1105</v>
      </c>
      <c r="B53" s="1557" t="s">
        <v>1374</v>
      </c>
      <c r="C53" s="322">
        <f ca="1">ROUND(IF(F53="押一",C49/12*F11,IF(F53="押二",C49/12*2*F11,IF(F53="押三",C49/12*3*F11,C54*F11))),0)</f>
        <v>0</v>
      </c>
      <c r="D53" s="1550" t="s">
        <v>2850</v>
      </c>
      <c r="E53" s="319" t="s">
        <v>1375</v>
      </c>
      <c r="F53" s="1276"/>
      <c r="I53" s="1623" t="s">
        <v>1512</v>
      </c>
      <c r="J53" s="2386">
        <f ca="1">IF(M47="住宅",IF(D1="——",MAX(J51,L48),MAX(J51,L48-'数据-取费表'!B24)),IF(D1="——",MIN(J51,L48),MIN(J51,L48-'数据-取费表'!B24)))</f>
        <v>42.02</v>
      </c>
      <c r="K53" s="3273" t="s">
        <v>1513</v>
      </c>
      <c r="L53" s="3274"/>
      <c r="O53" s="1602" t="s">
        <v>1014</v>
      </c>
      <c r="P53" s="1603" t="s">
        <v>1514</v>
      </c>
      <c r="Q53" s="1604">
        <f ca="1">Q47+Q48</f>
        <v>10009</v>
      </c>
      <c r="R53" s="1604" t="s">
        <v>1015</v>
      </c>
    </row>
    <row r="54" spans="1:18" s="1568" customFormat="1" ht="24.6"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37.200000000000003" thickTop="1" thickBot="1">
      <c r="A56" s="1088">
        <v>2</v>
      </c>
      <c r="B56" s="1089" t="s">
        <v>1379</v>
      </c>
      <c r="C56" s="238">
        <f ca="1">C13</f>
        <v>2647</v>
      </c>
      <c r="D56" s="1631"/>
      <c r="E56" s="1632"/>
      <c r="F56" s="1624"/>
      <c r="I56" s="1633" t="s">
        <v>1519</v>
      </c>
      <c r="J56" s="1634" t="s">
        <v>3075</v>
      </c>
      <c r="K56" s="1605" t="s">
        <v>1520</v>
      </c>
      <c r="L56" s="1608" t="str">
        <f ca="1">IF(L48&lt;J51,"——",L48-J53)</f>
        <v>——</v>
      </c>
      <c r="O56" s="1602" t="s">
        <v>1008</v>
      </c>
      <c r="P56" s="1603" t="s">
        <v>1493</v>
      </c>
      <c r="Q56" s="1604">
        <f ca="1">C40+J29</f>
        <v>10009</v>
      </c>
      <c r="R56" s="1604" t="s">
        <v>1494</v>
      </c>
    </row>
    <row r="57" spans="1:18" s="1568" customFormat="1" ht="24.6" thickBot="1">
      <c r="A57" s="1635"/>
      <c r="B57" s="1081" t="s">
        <v>1443</v>
      </c>
      <c r="C57" s="244">
        <f ca="1">C29</f>
        <v>2757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6" thickBot="1">
      <c r="A58" s="321" t="s">
        <v>998</v>
      </c>
      <c r="B58" s="1089" t="s">
        <v>1389</v>
      </c>
      <c r="C58" s="322">
        <f ca="1">ROUND(C59+C64+C65+C66,0)</f>
        <v>279</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234</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IF(项目基本情况!B11="自然人","——",IF(D61="按租金收入计税",ROUND(C49*F61/(1+'数据-取费表'!C42),2),IF(D61="按房产原值计税",ROUND(C57*F61*0.7,2),INDIRECT("'数据-取费表'!Aj"&amp;$G$1))))</f>
        <v>231.59</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8" thickBot="1">
      <c r="A62" s="1113" t="s">
        <v>1460</v>
      </c>
      <c r="B62" s="1080" t="s">
        <v>1461</v>
      </c>
      <c r="C62" s="25">
        <f ca="1">IF(项目基本情况!B11="自然人","——",ROUND(F62*F63/10000,2))</f>
        <v>1.96</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10009</v>
      </c>
      <c r="R62" s="1604" t="s">
        <v>1015</v>
      </c>
    </row>
    <row r="63" spans="1:18" s="1568" customFormat="1" ht="13.8" thickBot="1">
      <c r="A63" s="332"/>
      <c r="B63" s="1087"/>
      <c r="C63" s="29"/>
      <c r="D63" s="1097"/>
      <c r="E63" s="1081" t="s">
        <v>1464</v>
      </c>
      <c r="F63" s="309">
        <f t="shared" ca="1" si="0"/>
        <v>6547.26</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ROUND(C57*F64,1)</f>
        <v>41.4</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ROUND(C56*F65,1)</f>
        <v>4</v>
      </c>
      <c r="D65" s="1095" t="s">
        <v>1419</v>
      </c>
      <c r="E65" s="1081" t="s">
        <v>1420</v>
      </c>
      <c r="F65" s="336">
        <f t="shared" ca="1" si="0"/>
        <v>1.5E-3</v>
      </c>
      <c r="I65" s="1646" t="s">
        <v>1544</v>
      </c>
      <c r="J65" s="1647">
        <v>40</v>
      </c>
      <c r="K65" s="1647">
        <v>30</v>
      </c>
      <c r="L65" s="1647">
        <v>50</v>
      </c>
      <c r="M65" s="1649">
        <v>0.02</v>
      </c>
      <c r="O65" s="1602" t="s">
        <v>1008</v>
      </c>
      <c r="P65" s="1603" t="s">
        <v>1545</v>
      </c>
      <c r="Q65" s="1604">
        <f ca="1">C40+J29</f>
        <v>10009</v>
      </c>
      <c r="R65" s="1604" t="s">
        <v>1494</v>
      </c>
    </row>
    <row r="66" spans="1:18" s="1568" customFormat="1" ht="16.2"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24.6" thickBot="1">
      <c r="A67" s="1088" t="s">
        <v>999</v>
      </c>
      <c r="B67" s="1098" t="s">
        <v>1428</v>
      </c>
      <c r="C67" s="322">
        <f ca="1">C48-C58</f>
        <v>-279</v>
      </c>
      <c r="D67" s="1094" t="s">
        <v>1429</v>
      </c>
      <c r="E67" s="1099"/>
      <c r="F67" s="1100"/>
      <c r="O67" s="1612" t="s">
        <v>1010</v>
      </c>
      <c r="P67" s="1603" t="s">
        <v>1527</v>
      </c>
      <c r="Q67" s="1650">
        <f ca="1">L51</f>
        <v>3131</v>
      </c>
      <c r="R67" s="1604" t="s">
        <v>1547</v>
      </c>
    </row>
    <row r="68" spans="1:18" s="1568" customFormat="1" ht="16.2" thickBot="1">
      <c r="A68" s="1078" t="s">
        <v>1000</v>
      </c>
      <c r="B68" s="1079" t="s">
        <v>1450</v>
      </c>
      <c r="C68" s="307">
        <f ca="1">ROUND(C67*(1-((1+F70)/(1+F68))^F69)/(F68-F70),0)</f>
        <v>-5225</v>
      </c>
      <c r="D68" s="1096" t="s">
        <v>1434</v>
      </c>
      <c r="E68" s="1081" t="s">
        <v>1435</v>
      </c>
      <c r="F68" s="318">
        <f ca="1">F40</f>
        <v>4.4999999999999998E-2</v>
      </c>
      <c r="O68" s="1612" t="s">
        <v>1011</v>
      </c>
      <c r="P68" s="1651" t="s">
        <v>1548</v>
      </c>
      <c r="Q68" s="1604">
        <f ca="1">ROUND(Q69-Q70*Q71,0)</f>
        <v>135</v>
      </c>
      <c r="R68" s="1604" t="s">
        <v>1019</v>
      </c>
    </row>
    <row r="69" spans="1:18" s="1568" customFormat="1" ht="13.8" thickBot="1">
      <c r="A69" s="1082"/>
      <c r="B69" s="1083"/>
      <c r="C69" s="312"/>
      <c r="D69" s="1101" t="s">
        <v>1438</v>
      </c>
      <c r="E69" s="1081" t="s">
        <v>1439</v>
      </c>
      <c r="F69" s="339">
        <f ca="1">F41</f>
        <v>42.02</v>
      </c>
      <c r="O69" s="1612" t="s">
        <v>1016</v>
      </c>
      <c r="P69" s="1651" t="s">
        <v>1549</v>
      </c>
      <c r="Q69" s="1604">
        <f ca="1">C39</f>
        <v>360</v>
      </c>
      <c r="R69" s="1604" t="s">
        <v>1494</v>
      </c>
    </row>
    <row r="70" spans="1:18" s="1568" customFormat="1" ht="13.8" thickBot="1">
      <c r="A70" s="1085"/>
      <c r="B70" s="1086"/>
      <c r="C70" s="316"/>
      <c r="D70" s="1097"/>
      <c r="E70" s="1081" t="s">
        <v>1442</v>
      </c>
      <c r="F70" s="1185"/>
      <c r="O70" s="1612" t="s">
        <v>1017</v>
      </c>
      <c r="P70" s="1651" t="s">
        <v>1550</v>
      </c>
      <c r="Q70" s="1604">
        <f ca="1">C13</f>
        <v>2647</v>
      </c>
      <c r="R70" s="1604" t="s">
        <v>1494</v>
      </c>
    </row>
    <row r="71" spans="1:18" s="1568" customFormat="1" ht="13.8" thickBot="1">
      <c r="A71" s="1102" t="s">
        <v>1001</v>
      </c>
      <c r="B71" s="1103" t="s">
        <v>1452</v>
      </c>
      <c r="C71" s="342">
        <f ca="1">ROUND(C68*10000/F71,0)</f>
        <v>-5218</v>
      </c>
      <c r="D71" s="1104" t="s">
        <v>1453</v>
      </c>
      <c r="E71" s="1105" t="s">
        <v>1454</v>
      </c>
      <c r="F71" s="345">
        <f ca="1">F43</f>
        <v>10013.540000000001</v>
      </c>
      <c r="O71" s="1612" t="s">
        <v>1018</v>
      </c>
      <c r="P71" s="1651" t="s">
        <v>1551</v>
      </c>
      <c r="Q71" s="1615">
        <f ca="1">C76</f>
        <v>8.5000000000000006E-2</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8" thickBot="1">
      <c r="A75" s="1568"/>
      <c r="B75" s="346" t="s">
        <v>1471</v>
      </c>
      <c r="C75" s="347">
        <f ca="1">ROUND(C13*C76,0)</f>
        <v>225</v>
      </c>
      <c r="D75" s="1568"/>
      <c r="E75" s="1568"/>
      <c r="F75" s="1568"/>
      <c r="K75" s="1586"/>
      <c r="L75" s="1568"/>
      <c r="O75" s="1602" t="s">
        <v>1014</v>
      </c>
      <c r="P75" s="1603" t="s">
        <v>1514</v>
      </c>
      <c r="Q75" s="1604">
        <f ca="1">Q65+Q66</f>
        <v>10009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0.375</v>
      </c>
    </row>
    <row r="80" spans="1:18">
      <c r="B80" s="346" t="s">
        <v>1476</v>
      </c>
      <c r="C80" s="280">
        <f ca="1">ROUND(C75/C39,3)</f>
        <v>0.625</v>
      </c>
    </row>
    <row r="81" spans="2:3">
      <c r="B81" s="276" t="s">
        <v>1477</v>
      </c>
      <c r="C81" s="244"/>
    </row>
    <row r="82" spans="2:3">
      <c r="B82" s="279" t="s">
        <v>1478</v>
      </c>
      <c r="C82" s="281">
        <f ca="1">1-C83</f>
        <v>0.73599999999999999</v>
      </c>
    </row>
    <row r="83" spans="2:3">
      <c r="B83" s="279" t="s">
        <v>1479</v>
      </c>
      <c r="C83" s="280">
        <f ca="1">ROUND(C13/C40,3)</f>
        <v>0.26400000000000001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0" zoomScale="70" zoomScaleNormal="70" zoomScaleSheetLayoutView="70" workbookViewId="0">
      <selection activeCell="U518" sqref="U51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1554</v>
      </c>
      <c r="B1" s="722"/>
      <c r="C1" s="1563"/>
      <c r="D1" s="1546"/>
      <c r="E1" s="1547" t="s">
        <v>1352</v>
      </c>
      <c r="F1" s="1193">
        <f ca="1">J53</f>
        <v>0</v>
      </c>
      <c r="G1" s="1562">
        <f>MATCH(C1,'数据-取费表'!A6:A16,0)+5</f>
        <v>8</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0" t="s">
        <v>1368</v>
      </c>
      <c r="C6" s="1206">
        <f ca="1">ROUND(F6*F8*F7*(1-F9),0)</f>
        <v>0</v>
      </c>
      <c r="D6" s="160" t="s">
        <v>2840</v>
      </c>
      <c r="E6" s="308" t="s">
        <v>1370</v>
      </c>
      <c r="F6" s="309">
        <f ca="1">INDIRECT("'数据-取费表'!u"&amp;$G$1)</f>
        <v>0</v>
      </c>
      <c r="G6" s="1568"/>
      <c r="H6" s="1201" t="s">
        <v>1003</v>
      </c>
      <c r="I6" s="3270" t="s">
        <v>1368</v>
      </c>
      <c r="J6" s="307">
        <f ca="1">ROUND(M6*M8*M7*(1-M9),0)</f>
        <v>0</v>
      </c>
      <c r="K6" s="1560" t="s">
        <v>2841</v>
      </c>
      <c r="L6" s="308" t="s">
        <v>1370</v>
      </c>
      <c r="M6" s="309">
        <f ca="1">INDIRECT("'数据-取费表'!z"&amp;$G$1)</f>
        <v>0</v>
      </c>
    </row>
    <row r="7" spans="1:37" ht="18" customHeight="1">
      <c r="A7" s="1205"/>
      <c r="B7" s="3271"/>
      <c r="C7" s="1207"/>
      <c r="D7" s="313"/>
      <c r="E7" s="1208" t="s">
        <v>1371</v>
      </c>
      <c r="F7" s="309">
        <f ca="1">IF(INDIRECT("'数据-取费表'!ah"&amp;$G$1)="",INDIRECT("'数据-取费表'!k"&amp;$G$1),INDIRECT("'数据-取费表'!ah"&amp;$G$1))</f>
        <v>0</v>
      </c>
      <c r="G7" s="1568"/>
      <c r="H7" s="310"/>
      <c r="I7" s="3271"/>
      <c r="J7" s="312"/>
      <c r="K7" s="313"/>
      <c r="L7" s="308" t="s">
        <v>1371</v>
      </c>
      <c r="M7" s="309">
        <f ca="1">F7</f>
        <v>0</v>
      </c>
    </row>
    <row r="8" spans="1:37" ht="18" customHeight="1">
      <c r="A8" s="310"/>
      <c r="B8" s="3271"/>
      <c r="C8" s="312"/>
      <c r="D8" s="313"/>
      <c r="E8" s="308" t="s">
        <v>1372</v>
      </c>
      <c r="F8" s="309">
        <f ca="1">INDIRECT("'数据-取费表'!ai"&amp;$G$1)</f>
        <v>0</v>
      </c>
      <c r="G8" s="1568"/>
      <c r="H8" s="310"/>
      <c r="I8" s="3271"/>
      <c r="J8" s="312"/>
      <c r="K8" s="313"/>
      <c r="L8" s="308" t="s">
        <v>1372</v>
      </c>
      <c r="M8" s="309">
        <f ca="1">INDIRECT("'数据-取费表'!ai"&amp;$G$1)</f>
        <v>0</v>
      </c>
    </row>
    <row r="9" spans="1:37" ht="18" customHeight="1">
      <c r="A9" s="310"/>
      <c r="B9" s="3272"/>
      <c r="C9" s="312"/>
      <c r="D9" s="313"/>
      <c r="E9" s="308" t="s">
        <v>1373</v>
      </c>
      <c r="F9" s="318">
        <f ca="1">INDIRECT("'数据-取费表'!w"&amp;$G$1)</f>
        <v>0</v>
      </c>
      <c r="G9" s="1568"/>
      <c r="H9" s="310"/>
      <c r="I9" s="327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2850</v>
      </c>
      <c r="E10" s="319" t="s">
        <v>1375</v>
      </c>
      <c r="F10" s="1276"/>
      <c r="G10" s="1568"/>
      <c r="H10" s="1201" t="s">
        <v>1007</v>
      </c>
      <c r="I10" s="1549" t="s">
        <v>1374</v>
      </c>
      <c r="J10" s="307">
        <f ca="1">ROUND(IF(M10="押一",J6/12*M11,IF(M10="押二",J6/12*2*M11,IF(M10="押三",J6/12*3*M11,J11*M11))),0)</f>
        <v>0</v>
      </c>
      <c r="K10" s="1561" t="s">
        <v>2852</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3048</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8"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8"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40.200000000000003"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8"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8"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8"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8"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2853</v>
      </c>
      <c r="E53" s="319" t="s">
        <v>1375</v>
      </c>
      <c r="F53" s="1276"/>
      <c r="I53" s="1623" t="s">
        <v>1512</v>
      </c>
      <c r="J53" s="2386">
        <f ca="1">IF(M47="住宅",IF(D1="——",MAX(J51,L48),MAX(J51,L48-'数据-取费表'!B24)),IF(D1="——",MIN(J51,L48),MIN(J51,L48-'数据-取费表'!B24)))</f>
        <v>0</v>
      </c>
      <c r="K53" s="3273" t="s">
        <v>1513</v>
      </c>
      <c r="L53" s="3274"/>
      <c r="O53" s="1602" t="s">
        <v>1014</v>
      </c>
      <c r="P53" s="1603" t="s">
        <v>1514</v>
      </c>
      <c r="Q53" s="1604" t="e">
        <f ca="1">Q47+Q48</f>
        <v>#DIV/0!</v>
      </c>
      <c r="R53" s="1604" t="s">
        <v>1015</v>
      </c>
    </row>
    <row r="54" spans="1:18" s="1568" customFormat="1" ht="13.8"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8"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6"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6"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6"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2"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8"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8"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8"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8"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8"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2"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24.6"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2"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8" thickBot="1">
      <c r="A69" s="1082"/>
      <c r="B69" s="1083"/>
      <c r="C69" s="312"/>
      <c r="D69" s="1101" t="s">
        <v>1438</v>
      </c>
      <c r="E69" s="1081" t="s">
        <v>1439</v>
      </c>
      <c r="F69" s="339">
        <f ca="1">F41</f>
        <v>0</v>
      </c>
      <c r="O69" s="1612" t="s">
        <v>1016</v>
      </c>
      <c r="P69" s="1651" t="s">
        <v>1549</v>
      </c>
      <c r="Q69" s="1604">
        <f ca="1">C39</f>
        <v>0</v>
      </c>
      <c r="R69" s="1604" t="s">
        <v>1494</v>
      </c>
    </row>
    <row r="70" spans="1:18" s="1568" customFormat="1" ht="13.8" thickBot="1">
      <c r="A70" s="1085"/>
      <c r="B70" s="1086"/>
      <c r="C70" s="316"/>
      <c r="D70" s="1097"/>
      <c r="E70" s="1081" t="s">
        <v>1442</v>
      </c>
      <c r="F70" s="1185">
        <f ca="1">F42</f>
        <v>0</v>
      </c>
      <c r="O70" s="1612" t="s">
        <v>1017</v>
      </c>
      <c r="P70" s="1651" t="s">
        <v>1550</v>
      </c>
      <c r="Q70" s="1604">
        <f ca="1">C13</f>
        <v>0</v>
      </c>
      <c r="R70" s="1604" t="s">
        <v>1494</v>
      </c>
    </row>
    <row r="71" spans="1:18" s="1568" customFormat="1" ht="13.8"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8" thickBot="1">
      <c r="B72" s="735"/>
      <c r="C72" s="735"/>
      <c r="O72" s="1612" t="s">
        <v>1012</v>
      </c>
      <c r="P72" s="1603" t="s">
        <v>1529</v>
      </c>
      <c r="Q72" s="1615">
        <f>L52</f>
        <v>0</v>
      </c>
      <c r="R72" s="1604"/>
    </row>
    <row r="73" spans="1:18" ht="16.2" thickBot="1">
      <c r="A73" s="1568"/>
      <c r="B73" s="735"/>
      <c r="C73" s="735"/>
      <c r="D73" s="1568"/>
      <c r="E73" s="1568"/>
      <c r="F73" s="1568"/>
      <c r="O73" s="1612" t="s">
        <v>1013</v>
      </c>
      <c r="P73" s="1603" t="s">
        <v>1532</v>
      </c>
      <c r="Q73" s="1604" t="e">
        <f ca="1">L58</f>
        <v>#DIV/0!</v>
      </c>
      <c r="R73" s="1604" t="s">
        <v>1533</v>
      </c>
    </row>
    <row r="74" spans="1:18" ht="13.8"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8"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U518" sqref="U518"/>
    </sheetView>
  </sheetViews>
  <sheetFormatPr defaultRowHeight="14.4"/>
  <cols>
    <col min="1" max="1" width="10.44140625" customWidth="1"/>
    <col min="2" max="2" width="12.88671875" customWidth="1"/>
    <col min="3" max="3" width="8.77734375" customWidth="1"/>
  </cols>
  <sheetData>
    <row r="1" spans="1:9" ht="15.6">
      <c r="A1" s="3291" t="s">
        <v>1044</v>
      </c>
      <c r="B1" s="3292"/>
      <c r="C1" s="3293"/>
      <c r="D1" s="3294">
        <f>SUM(I10,I15,I20,I21,I23)</f>
        <v>0</v>
      </c>
      <c r="E1" s="3294"/>
      <c r="F1" s="3294"/>
      <c r="G1" s="3294"/>
      <c r="H1" s="3294"/>
      <c r="I1" s="3295"/>
    </row>
    <row r="2" spans="1:9">
      <c r="A2" s="3281" t="s">
        <v>1045</v>
      </c>
      <c r="B2" s="3282" t="s">
        <v>1046</v>
      </c>
      <c r="C2" s="3282"/>
      <c r="D2" s="1211" t="s">
        <v>1047</v>
      </c>
      <c r="E2" s="1211" t="s">
        <v>1048</v>
      </c>
      <c r="F2" s="1211" t="s">
        <v>1049</v>
      </c>
      <c r="G2" s="1211" t="s">
        <v>1050</v>
      </c>
      <c r="H2" s="1211" t="s">
        <v>1051</v>
      </c>
      <c r="I2" s="1212" t="s">
        <v>1052</v>
      </c>
    </row>
    <row r="3" spans="1:9">
      <c r="A3" s="3281"/>
      <c r="B3" s="3282" t="s">
        <v>1053</v>
      </c>
      <c r="C3" s="3282"/>
      <c r="D3" s="1213"/>
      <c r="E3" s="1211"/>
      <c r="F3" s="1214"/>
      <c r="G3" s="1214"/>
      <c r="H3" s="1215"/>
      <c r="I3" s="1216">
        <f>ROUND(D3*E3*F3*G3*H3/10000,0)</f>
        <v>0</v>
      </c>
    </row>
    <row r="4" spans="1:9">
      <c r="A4" s="3281"/>
      <c r="B4" s="3282" t="s">
        <v>1054</v>
      </c>
      <c r="C4" s="3282"/>
      <c r="D4" s="1213"/>
      <c r="E4" s="1211"/>
      <c r="F4" s="1214"/>
      <c r="G4" s="1214"/>
      <c r="H4" s="1215"/>
      <c r="I4" s="1216">
        <f t="shared" ref="I4:I9" si="0">ROUND(D4*E4*F4*G4*H4/10000,0)</f>
        <v>0</v>
      </c>
    </row>
    <row r="5" spans="1:9">
      <c r="A5" s="3281"/>
      <c r="B5" s="3282" t="s">
        <v>1055</v>
      </c>
      <c r="C5" s="3282"/>
      <c r="D5" s="1213"/>
      <c r="E5" s="1211"/>
      <c r="F5" s="1214"/>
      <c r="G5" s="1214"/>
      <c r="H5" s="1215"/>
      <c r="I5" s="1216">
        <f t="shared" si="0"/>
        <v>0</v>
      </c>
    </row>
    <row r="6" spans="1:9">
      <c r="A6" s="3281"/>
      <c r="B6" s="3282" t="s">
        <v>1056</v>
      </c>
      <c r="C6" s="3282"/>
      <c r="D6" s="1213"/>
      <c r="E6" s="1211"/>
      <c r="F6" s="1214"/>
      <c r="G6" s="1214"/>
      <c r="H6" s="1215"/>
      <c r="I6" s="1216">
        <f t="shared" si="0"/>
        <v>0</v>
      </c>
    </row>
    <row r="7" spans="1:9">
      <c r="A7" s="3281"/>
      <c r="B7" s="3282" t="s">
        <v>1057</v>
      </c>
      <c r="C7" s="3282"/>
      <c r="D7" s="1213"/>
      <c r="E7" s="1211"/>
      <c r="F7" s="1214"/>
      <c r="G7" s="1214"/>
      <c r="H7" s="1215"/>
      <c r="I7" s="1216">
        <f t="shared" si="0"/>
        <v>0</v>
      </c>
    </row>
    <row r="8" spans="1:9">
      <c r="A8" s="3281"/>
      <c r="B8" s="3282" t="s">
        <v>1058</v>
      </c>
      <c r="C8" s="3282"/>
      <c r="D8" s="1213"/>
      <c r="E8" s="1211"/>
      <c r="F8" s="1214"/>
      <c r="G8" s="1214"/>
      <c r="H8" s="1215"/>
      <c r="I8" s="1216">
        <f t="shared" si="0"/>
        <v>0</v>
      </c>
    </row>
    <row r="9" spans="1:9">
      <c r="A9" s="3281"/>
      <c r="B9" s="3282" t="s">
        <v>1059</v>
      </c>
      <c r="C9" s="3282"/>
      <c r="D9" s="1213"/>
      <c r="E9" s="1211"/>
      <c r="F9" s="1214"/>
      <c r="G9" s="1214"/>
      <c r="H9" s="1215"/>
      <c r="I9" s="1216">
        <f t="shared" si="0"/>
        <v>0</v>
      </c>
    </row>
    <row r="10" spans="1:9">
      <c r="A10" s="3281"/>
      <c r="B10" s="3283" t="s">
        <v>1060</v>
      </c>
      <c r="C10" s="3283"/>
      <c r="D10" s="1217"/>
      <c r="E10" s="1217" t="e">
        <f>ROUND(D1*10000/D10/H9,0)</f>
        <v>#DIV/0!</v>
      </c>
      <c r="F10" s="1218"/>
      <c r="G10" s="1218"/>
      <c r="H10" s="1219"/>
      <c r="I10" s="1220">
        <f>SUM(I3:I9)</f>
        <v>0</v>
      </c>
    </row>
    <row r="11" spans="1:9" ht="15.6">
      <c r="A11" s="3281" t="s">
        <v>1061</v>
      </c>
      <c r="B11" s="3282" t="s">
        <v>1062</v>
      </c>
      <c r="C11" s="3282"/>
      <c r="D11" s="1213" t="s">
        <v>1063</v>
      </c>
      <c r="E11" s="1213" t="s">
        <v>1064</v>
      </c>
      <c r="F11" s="1214" t="s">
        <v>1065</v>
      </c>
      <c r="G11" s="1214" t="s">
        <v>1051</v>
      </c>
      <c r="H11" s="1221" t="s">
        <v>1066</v>
      </c>
      <c r="I11" s="1212" t="s">
        <v>1052</v>
      </c>
    </row>
    <row r="12" spans="1:9">
      <c r="A12" s="3281"/>
      <c r="B12" s="3282" t="s">
        <v>1067</v>
      </c>
      <c r="C12" s="3282"/>
      <c r="D12" s="1213"/>
      <c r="E12" s="1213"/>
      <c r="F12" s="1214"/>
      <c r="G12" s="1215"/>
      <c r="H12" s="1222"/>
      <c r="I12" s="1212">
        <f>ROUND(D12*E12*F12*G12/10000,0)</f>
        <v>0</v>
      </c>
    </row>
    <row r="13" spans="1:9">
      <c r="A13" s="3281"/>
      <c r="B13" s="3282" t="s">
        <v>1068</v>
      </c>
      <c r="C13" s="3282"/>
      <c r="D13" s="1213"/>
      <c r="E13" s="1213"/>
      <c r="F13" s="1214"/>
      <c r="G13" s="1215"/>
      <c r="H13" s="1222"/>
      <c r="I13" s="1212">
        <f>ROUND(D13*E13*F13*G13/10000,0)</f>
        <v>0</v>
      </c>
    </row>
    <row r="14" spans="1:9">
      <c r="A14" s="3281"/>
      <c r="B14" s="3282" t="s">
        <v>1069</v>
      </c>
      <c r="C14" s="3282"/>
      <c r="D14" s="1213"/>
      <c r="E14" s="1213"/>
      <c r="F14" s="1214"/>
      <c r="G14" s="1215"/>
      <c r="H14" s="1222"/>
      <c r="I14" s="1212">
        <f>ROUND(D14*E14*F14*G14/10000,0)</f>
        <v>0</v>
      </c>
    </row>
    <row r="15" spans="1:9">
      <c r="A15" s="3281"/>
      <c r="B15" s="3283" t="s">
        <v>1060</v>
      </c>
      <c r="C15" s="3283"/>
      <c r="D15" s="1217"/>
      <c r="E15" s="1217">
        <f>SUM(E12:E14)</f>
        <v>0</v>
      </c>
      <c r="F15" s="1218"/>
      <c r="G15" s="1215"/>
      <c r="H15" s="1222"/>
      <c r="I15" s="1223">
        <f>SUM(I12:I14)</f>
        <v>0</v>
      </c>
    </row>
    <row r="16" spans="1:9" ht="24">
      <c r="A16" s="3281" t="s">
        <v>1070</v>
      </c>
      <c r="B16" s="3282" t="s">
        <v>1071</v>
      </c>
      <c r="C16" s="3282"/>
      <c r="D16" s="1213" t="s">
        <v>1047</v>
      </c>
      <c r="E16" s="1224" t="s">
        <v>1072</v>
      </c>
      <c r="F16" s="1214" t="s">
        <v>1073</v>
      </c>
      <c r="G16" s="1215" t="s">
        <v>1051</v>
      </c>
      <c r="H16" s="1221" t="s">
        <v>1066</v>
      </c>
      <c r="I16" s="1212" t="s">
        <v>1052</v>
      </c>
    </row>
    <row r="17" spans="1:9" ht="15.6">
      <c r="A17" s="3281"/>
      <c r="B17" s="3282" t="s">
        <v>1074</v>
      </c>
      <c r="C17" s="3282"/>
      <c r="D17" s="1213"/>
      <c r="E17" s="1213"/>
      <c r="F17" s="1214"/>
      <c r="G17" s="1215"/>
      <c r="H17" s="1225"/>
      <c r="I17" s="1226">
        <f>ROUND(D17*E17*F17*G17/10000,0)</f>
        <v>0</v>
      </c>
    </row>
    <row r="18" spans="1:9" ht="15.6">
      <c r="A18" s="3281"/>
      <c r="B18" s="3282" t="s">
        <v>1075</v>
      </c>
      <c r="C18" s="3282"/>
      <c r="D18" s="1213"/>
      <c r="E18" s="1213"/>
      <c r="F18" s="1214"/>
      <c r="G18" s="1215"/>
      <c r="H18" s="1225"/>
      <c r="I18" s="1226">
        <f>ROUND(D18*E18*F18*G18/10000,0)</f>
        <v>0</v>
      </c>
    </row>
    <row r="19" spans="1:9" ht="15.6">
      <c r="A19" s="3281"/>
      <c r="B19" s="3282" t="s">
        <v>1076</v>
      </c>
      <c r="C19" s="3282"/>
      <c r="D19" s="1213"/>
      <c r="E19" s="1213"/>
      <c r="F19" s="1214"/>
      <c r="G19" s="1215"/>
      <c r="H19" s="1225"/>
      <c r="I19" s="1226">
        <f>ROUND(D19*E19*F19*G19/10000,0)</f>
        <v>0</v>
      </c>
    </row>
    <row r="20" spans="1:9">
      <c r="A20" s="3281"/>
      <c r="B20" s="3283" t="s">
        <v>1060</v>
      </c>
      <c r="C20" s="3283"/>
      <c r="D20" s="1217">
        <f>SUM(D17:D19)</f>
        <v>0</v>
      </c>
      <c r="E20" s="1217"/>
      <c r="F20" s="1218"/>
      <c r="G20" s="1215"/>
      <c r="H20" s="1222"/>
      <c r="I20" s="1223">
        <f>SUM(I17:I19)</f>
        <v>0</v>
      </c>
    </row>
    <row r="21" spans="1:9">
      <c r="A21" s="3281" t="s">
        <v>1077</v>
      </c>
      <c r="B21" s="3284"/>
      <c r="C21" s="3284"/>
      <c r="D21" s="3284"/>
      <c r="E21" s="3284"/>
      <c r="F21" s="3284"/>
      <c r="G21" s="3284"/>
      <c r="H21" s="1502">
        <v>0.1</v>
      </c>
      <c r="I21" s="1220">
        <f>ROUND(I10*H21,0)</f>
        <v>0</v>
      </c>
    </row>
    <row r="22" spans="1:9" ht="15.6">
      <c r="A22" s="3285" t="s">
        <v>1078</v>
      </c>
      <c r="B22" s="3286"/>
      <c r="C22" s="3287"/>
      <c r="D22" s="1227" t="s">
        <v>1079</v>
      </c>
      <c r="E22" s="1227" t="s">
        <v>1080</v>
      </c>
      <c r="F22" s="1228" t="s">
        <v>1081</v>
      </c>
      <c r="G22" s="1228" t="s">
        <v>1082</v>
      </c>
      <c r="H22" s="1221" t="s">
        <v>1083</v>
      </c>
      <c r="I22" s="1212" t="s">
        <v>1084</v>
      </c>
    </row>
    <row r="23" spans="1:9" ht="15" thickBot="1">
      <c r="A23" s="3288"/>
      <c r="B23" s="3289"/>
      <c r="C23" s="3290"/>
      <c r="D23" s="1229"/>
      <c r="E23" s="1229"/>
      <c r="F23" s="1229"/>
      <c r="G23" s="1230"/>
      <c r="H23" s="1231"/>
      <c r="I23" s="1232">
        <f>ROUND(E23*D23*F23*(1-G23)/10000,0)</f>
        <v>0</v>
      </c>
    </row>
    <row r="26" spans="1:9">
      <c r="A26" s="1233" t="s">
        <v>1085</v>
      </c>
      <c r="B26" s="1233"/>
      <c r="C26" s="1233"/>
      <c r="D26" s="1233"/>
      <c r="E26" s="3278">
        <f>C27-C30-C31-C32</f>
        <v>0</v>
      </c>
      <c r="F26" s="3278"/>
      <c r="G26" s="3278"/>
      <c r="H26" s="1499" t="s">
        <v>1306</v>
      </c>
    </row>
    <row r="27" spans="1:9">
      <c r="A27" s="1234">
        <v>1</v>
      </c>
      <c r="B27" s="1235" t="s">
        <v>1086</v>
      </c>
      <c r="C27" s="1235">
        <f>C28+C29</f>
        <v>0</v>
      </c>
      <c r="D27" s="1235"/>
      <c r="E27" s="3279"/>
      <c r="F27" s="3279"/>
      <c r="G27" s="3279"/>
    </row>
    <row r="28" spans="1:9">
      <c r="A28" s="1236" t="s">
        <v>1087</v>
      </c>
      <c r="B28" s="1235" t="s">
        <v>1088</v>
      </c>
      <c r="C28" s="1235"/>
      <c r="D28" s="1235"/>
      <c r="E28" s="3279"/>
      <c r="F28" s="3279"/>
      <c r="G28" s="327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0"/>
      <c r="F32" s="3280"/>
      <c r="G32" s="3280"/>
    </row>
    <row r="33" spans="1:7" hidden="1">
      <c r="A33" s="3275" t="s">
        <v>1097</v>
      </c>
      <c r="B33" s="3276"/>
      <c r="C33" s="3276"/>
      <c r="D33" s="3277"/>
      <c r="E33" s="3278"/>
      <c r="F33" s="3278"/>
      <c r="G33" s="3278"/>
    </row>
    <row r="34" spans="1:7" hidden="1">
      <c r="A34" s="1238">
        <v>1</v>
      </c>
      <c r="B34" s="1235" t="s">
        <v>1098</v>
      </c>
      <c r="C34" s="1235"/>
      <c r="D34" s="1235"/>
      <c r="E34" s="3279"/>
      <c r="F34" s="3279"/>
      <c r="G34" s="3279"/>
    </row>
    <row r="35" spans="1:7" hidden="1">
      <c r="A35" s="1238">
        <v>2</v>
      </c>
      <c r="B35" s="1235" t="s">
        <v>1099</v>
      </c>
      <c r="C35" s="1235"/>
      <c r="D35" s="1235"/>
      <c r="E35" s="3279"/>
      <c r="F35" s="3279"/>
      <c r="G35" s="3279"/>
    </row>
    <row r="36" spans="1:7" hidden="1">
      <c r="A36" s="1238">
        <v>3</v>
      </c>
      <c r="B36" s="1235" t="s">
        <v>1100</v>
      </c>
      <c r="C36" s="1235"/>
      <c r="D36" s="1235"/>
      <c r="E36" s="3279"/>
      <c r="F36" s="3279"/>
      <c r="G36" s="3279"/>
    </row>
    <row r="37" spans="1:7" hidden="1">
      <c r="A37" s="1238">
        <v>4</v>
      </c>
      <c r="B37" s="1235" t="s">
        <v>1101</v>
      </c>
      <c r="C37" s="1235"/>
      <c r="D37" s="1235"/>
      <c r="E37" s="3279"/>
      <c r="F37" s="3279"/>
      <c r="G37" s="3279"/>
    </row>
    <row r="38" spans="1:7" hidden="1">
      <c r="A38" s="3275" t="s">
        <v>1102</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13846.800000000001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4.4">
      <c r="A4" s="361" t="s">
        <v>2350</v>
      </c>
      <c r="B4" s="362"/>
      <c r="C4" s="3314" t="s">
        <v>2351</v>
      </c>
      <c r="D4" s="3315"/>
      <c r="E4" s="3316" t="s">
        <v>2352</v>
      </c>
      <c r="F4" s="3317"/>
      <c r="G4" s="3314" t="s">
        <v>2353</v>
      </c>
      <c r="H4" s="3315"/>
      <c r="I4" s="3314" t="s">
        <v>2354</v>
      </c>
      <c r="J4" s="3315"/>
      <c r="K4" s="2075" t="s">
        <v>2355</v>
      </c>
      <c r="L4" s="2944"/>
      <c r="M4" s="2945"/>
      <c r="N4" s="2945"/>
      <c r="O4" s="2945"/>
      <c r="P4" s="3318" t="s">
        <v>2356</v>
      </c>
      <c r="Q4" s="3319"/>
      <c r="R4" s="3324" t="s">
        <v>2352</v>
      </c>
      <c r="S4" s="3325"/>
      <c r="T4" s="3324" t="s">
        <v>2353</v>
      </c>
      <c r="U4" s="3325"/>
      <c r="V4" s="3330" t="s">
        <v>2354</v>
      </c>
      <c r="W4" s="3330"/>
      <c r="X4" s="1539"/>
      <c r="Y4" s="3324" t="s">
        <v>2356</v>
      </c>
      <c r="Z4" s="3325"/>
      <c r="AA4" s="3311" t="s">
        <v>2352</v>
      </c>
      <c r="AB4" s="3311" t="s">
        <v>2353</v>
      </c>
      <c r="AC4" s="3311" t="s">
        <v>2354</v>
      </c>
    </row>
    <row r="5" spans="1:29">
      <c r="A5" s="364"/>
      <c r="B5" s="365"/>
      <c r="C5" s="3333" t="s">
        <v>2357</v>
      </c>
      <c r="D5" s="3334"/>
      <c r="E5" s="3340" t="s">
        <v>2358</v>
      </c>
      <c r="F5" s="3341"/>
      <c r="G5" s="3333" t="s">
        <v>2359</v>
      </c>
      <c r="H5" s="3334"/>
      <c r="I5" s="3333" t="s">
        <v>2360</v>
      </c>
      <c r="J5" s="3334"/>
      <c r="K5" s="2076"/>
      <c r="L5" s="2944"/>
      <c r="M5" s="2945"/>
      <c r="N5" s="2945"/>
      <c r="O5" s="2945"/>
      <c r="P5" s="3320"/>
      <c r="Q5" s="3321"/>
      <c r="R5" s="3326"/>
      <c r="S5" s="3327"/>
      <c r="T5" s="3326"/>
      <c r="U5" s="3327"/>
      <c r="V5" s="3330"/>
      <c r="W5" s="3330"/>
      <c r="X5" s="1539"/>
      <c r="Y5" s="3326"/>
      <c r="Z5" s="3327"/>
      <c r="AA5" s="3312"/>
      <c r="AB5" s="3312"/>
      <c r="AC5" s="3312"/>
    </row>
    <row r="6" spans="1:29" ht="15" thickBot="1">
      <c r="A6" s="366"/>
      <c r="B6" s="367"/>
      <c r="C6" s="3331" t="s">
        <v>2361</v>
      </c>
      <c r="D6" s="3332"/>
      <c r="E6" s="3338" t="s">
        <v>2361</v>
      </c>
      <c r="F6" s="3339"/>
      <c r="G6" s="3331" t="s">
        <v>2361</v>
      </c>
      <c r="H6" s="3332"/>
      <c r="I6" s="3331" t="s">
        <v>2361</v>
      </c>
      <c r="J6" s="3332"/>
      <c r="K6" s="2076" t="s">
        <v>2362</v>
      </c>
      <c r="L6" s="2944"/>
      <c r="M6" s="2945"/>
      <c r="N6" s="2945"/>
      <c r="O6" s="2945"/>
      <c r="P6" s="3322"/>
      <c r="Q6" s="3323"/>
      <c r="R6" s="3326"/>
      <c r="S6" s="3327"/>
      <c r="T6" s="3328"/>
      <c r="U6" s="3329"/>
      <c r="V6" s="3330"/>
      <c r="W6" s="3330"/>
      <c r="X6" s="1539"/>
      <c r="Y6" s="3328"/>
      <c r="Z6" s="3329"/>
      <c r="AA6" s="3313"/>
      <c r="AB6" s="3313"/>
      <c r="AC6" s="3313"/>
    </row>
    <row r="7" spans="1:29" s="113" customFormat="1" ht="1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35" t="s">
        <v>2364</v>
      </c>
      <c r="Q7" s="3337"/>
      <c r="R7" s="710" t="s">
        <v>23</v>
      </c>
      <c r="S7" s="711">
        <f t="shared" ref="S7:S15" si="0">F7</f>
        <v>0</v>
      </c>
      <c r="T7" s="710" t="s">
        <v>23</v>
      </c>
      <c r="U7" s="711">
        <f t="shared" ref="U7:U15" si="1">H7</f>
        <v>0</v>
      </c>
      <c r="V7" s="710" t="s">
        <v>23</v>
      </c>
      <c r="W7" s="711">
        <f t="shared" ref="W7:W15" si="2">J7</f>
        <v>0</v>
      </c>
      <c r="X7" s="712"/>
      <c r="Y7" s="3335" t="s">
        <v>2364</v>
      </c>
      <c r="Z7" s="3336"/>
      <c r="AA7" s="713" t="e">
        <f>D7/F7</f>
        <v>#DIV/0!</v>
      </c>
      <c r="AB7" s="713" t="e">
        <f>D7/H7</f>
        <v>#DIV/0!</v>
      </c>
      <c r="AC7" s="713" t="e">
        <f>D7/J7</f>
        <v>#DIV/0!</v>
      </c>
    </row>
    <row r="8" spans="1:29" s="113" customFormat="1" ht="1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35" t="s">
        <v>2367</v>
      </c>
      <c r="Q8" s="3336"/>
      <c r="R8" s="710" t="s">
        <v>23</v>
      </c>
      <c r="S8" s="711">
        <f t="shared" si="0"/>
        <v>0</v>
      </c>
      <c r="T8" s="710" t="s">
        <v>23</v>
      </c>
      <c r="U8" s="711">
        <f t="shared" si="1"/>
        <v>0</v>
      </c>
      <c r="V8" s="710" t="s">
        <v>23</v>
      </c>
      <c r="W8" s="711">
        <f t="shared" si="2"/>
        <v>0</v>
      </c>
      <c r="X8" s="712"/>
      <c r="Y8" s="3335" t="s">
        <v>2367</v>
      </c>
      <c r="Z8" s="3336"/>
      <c r="AA8" s="713" t="e">
        <f t="shared" ref="AA8:AA19" si="3">D8/F8</f>
        <v>#DIV/0!</v>
      </c>
      <c r="AB8" s="713" t="e">
        <f t="shared" ref="AB8:AB19" si="4">D8/H8</f>
        <v>#DIV/0!</v>
      </c>
      <c r="AC8" s="713" t="e">
        <f t="shared" ref="AC8:AC19" si="5">D8/J8</f>
        <v>#DIV/0!</v>
      </c>
    </row>
    <row r="9" spans="1:29" s="113" customFormat="1" ht="14.4">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0"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0"/>
      <c r="Q11" s="1527" t="str">
        <f t="shared" si="6"/>
        <v>容积率</v>
      </c>
      <c r="R11" s="710" t="s">
        <v>21</v>
      </c>
      <c r="S11" s="711" t="e">
        <f t="shared" si="0"/>
        <v>#N/A</v>
      </c>
      <c r="T11" s="710" t="s">
        <v>21</v>
      </c>
      <c r="U11" s="711" t="e">
        <f t="shared" si="1"/>
        <v>#N/A</v>
      </c>
      <c r="V11" s="710" t="s">
        <v>21</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0"/>
      <c r="Q12" s="1527">
        <f t="shared" si="6"/>
        <v>111</v>
      </c>
      <c r="R12" s="710" t="s">
        <v>21</v>
      </c>
      <c r="S12" s="711">
        <f t="shared" si="0"/>
        <v>100</v>
      </c>
      <c r="T12" s="710" t="s">
        <v>21</v>
      </c>
      <c r="U12" s="711">
        <f t="shared" si="1"/>
        <v>100</v>
      </c>
      <c r="V12" s="710" t="s">
        <v>21</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0"/>
      <c r="Q13" s="1527">
        <f t="shared" si="6"/>
        <v>111</v>
      </c>
      <c r="R13" s="710" t="s">
        <v>21</v>
      </c>
      <c r="S13" s="711">
        <f t="shared" si="0"/>
        <v>100</v>
      </c>
      <c r="T13" s="710" t="s">
        <v>21</v>
      </c>
      <c r="U13" s="711">
        <f t="shared" si="1"/>
        <v>100</v>
      </c>
      <c r="V13" s="710" t="s">
        <v>21</v>
      </c>
      <c r="W13" s="711">
        <f t="shared" si="2"/>
        <v>100</v>
      </c>
      <c r="X13" s="712"/>
      <c r="Y13" s="3169"/>
      <c r="Z13" s="55">
        <f t="shared" si="7"/>
        <v>111</v>
      </c>
      <c r="AA13" s="713">
        <f t="shared" si="3"/>
        <v>1</v>
      </c>
      <c r="AB13" s="713">
        <f t="shared" si="4"/>
        <v>1</v>
      </c>
      <c r="AC13" s="713">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0"/>
      <c r="Q14" s="1527">
        <f t="shared" si="6"/>
        <v>111</v>
      </c>
      <c r="R14" s="710" t="s">
        <v>21</v>
      </c>
      <c r="S14" s="711">
        <f t="shared" si="0"/>
        <v>100</v>
      </c>
      <c r="T14" s="710" t="s">
        <v>21</v>
      </c>
      <c r="U14" s="711">
        <f t="shared" si="1"/>
        <v>100</v>
      </c>
      <c r="V14" s="710" t="s">
        <v>21</v>
      </c>
      <c r="W14" s="711">
        <f t="shared" si="2"/>
        <v>100</v>
      </c>
      <c r="X14" s="712"/>
      <c r="Y14" s="3169"/>
      <c r="Z14" s="55">
        <f t="shared" si="7"/>
        <v>111</v>
      </c>
      <c r="AA14" s="713">
        <f t="shared" si="3"/>
        <v>1</v>
      </c>
      <c r="AB14" s="713">
        <f t="shared" si="4"/>
        <v>1</v>
      </c>
      <c r="AC14" s="713">
        <f t="shared" si="5"/>
        <v>1</v>
      </c>
    </row>
    <row r="15" spans="1:29" ht="96.6">
      <c r="A15" s="399" t="s">
        <v>2374</v>
      </c>
      <c r="B15" s="65" t="s">
        <v>1940</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08" t="s">
        <v>2375</v>
      </c>
      <c r="Q15" s="1536" t="str">
        <f t="shared" si="6"/>
        <v>居住社区成熟度</v>
      </c>
      <c r="R15" s="714" t="s">
        <v>21</v>
      </c>
      <c r="S15" s="715">
        <f t="shared" si="0"/>
        <v>100</v>
      </c>
      <c r="T15" s="714" t="s">
        <v>21</v>
      </c>
      <c r="U15" s="715">
        <f t="shared" si="1"/>
        <v>100</v>
      </c>
      <c r="V15" s="714" t="s">
        <v>21</v>
      </c>
      <c r="W15" s="715">
        <f t="shared" si="2"/>
        <v>100</v>
      </c>
      <c r="X15" s="1539"/>
      <c r="Y15" s="3301" t="s">
        <v>2375</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09"/>
      <c r="Q16" s="1536"/>
      <c r="R16" s="714"/>
      <c r="S16" s="715"/>
      <c r="T16" s="714"/>
      <c r="U16" s="715"/>
      <c r="V16" s="714"/>
      <c r="W16" s="715"/>
      <c r="X16" s="1539"/>
      <c r="Y16" s="3302"/>
      <c r="Z16" s="1540"/>
      <c r="AA16" s="1537">
        <v>1</v>
      </c>
      <c r="AB16" s="1537">
        <v>1</v>
      </c>
      <c r="AC16" s="1537">
        <v>1</v>
      </c>
    </row>
    <row r="17" spans="1:29" ht="82.8">
      <c r="A17" s="387"/>
      <c r="B17" s="410" t="s">
        <v>1942</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09"/>
      <c r="Q17" s="1536" t="str">
        <f>B17</f>
        <v>交通便捷度</v>
      </c>
      <c r="R17" s="714" t="s">
        <v>21</v>
      </c>
      <c r="S17" s="715">
        <f>F17</f>
        <v>100</v>
      </c>
      <c r="T17" s="714" t="s">
        <v>21</v>
      </c>
      <c r="U17" s="715">
        <f>H17</f>
        <v>100</v>
      </c>
      <c r="V17" s="714" t="s">
        <v>21</v>
      </c>
      <c r="W17" s="715">
        <f>J17</f>
        <v>100</v>
      </c>
      <c r="X17" s="1539"/>
      <c r="Y17" s="330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09"/>
      <c r="Q18" s="1536"/>
      <c r="R18" s="714"/>
      <c r="S18" s="715"/>
      <c r="T18" s="714"/>
      <c r="U18" s="715"/>
      <c r="V18" s="714"/>
      <c r="W18" s="715"/>
      <c r="X18" s="1539"/>
      <c r="Y18" s="3302"/>
      <c r="Z18" s="1540"/>
      <c r="AA18" s="1537">
        <v>1</v>
      </c>
      <c r="AB18" s="1537">
        <v>1</v>
      </c>
      <c r="AC18" s="1537">
        <v>1</v>
      </c>
    </row>
    <row r="19" spans="1:29" ht="41.4">
      <c r="A19" s="387"/>
      <c r="B19" s="410" t="s">
        <v>1941</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09"/>
      <c r="Q19" s="1536" t="str">
        <f>B19</f>
        <v>公共配套设施</v>
      </c>
      <c r="R19" s="714" t="s">
        <v>21</v>
      </c>
      <c r="S19" s="715">
        <f>F19</f>
        <v>100</v>
      </c>
      <c r="T19" s="714" t="s">
        <v>21</v>
      </c>
      <c r="U19" s="715">
        <f>H19</f>
        <v>100</v>
      </c>
      <c r="V19" s="714" t="s">
        <v>21</v>
      </c>
      <c r="W19" s="715">
        <f>J19</f>
        <v>100</v>
      </c>
      <c r="X19" s="1539"/>
      <c r="Y19" s="330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09"/>
      <c r="Q20" s="1536"/>
      <c r="R20" s="714"/>
      <c r="S20" s="715"/>
      <c r="T20" s="714"/>
      <c r="U20" s="715"/>
      <c r="V20" s="714"/>
      <c r="W20" s="715"/>
      <c r="X20" s="1539"/>
      <c r="Y20" s="3302"/>
      <c r="Z20" s="1540"/>
      <c r="AA20" s="1537">
        <v>1</v>
      </c>
      <c r="AB20" s="1537">
        <v>1</v>
      </c>
      <c r="AC20" s="1537">
        <v>1</v>
      </c>
    </row>
    <row r="21" spans="1:29" ht="27.6">
      <c r="A21" s="387"/>
      <c r="B21" s="1293" t="s">
        <v>1943</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09"/>
      <c r="Q21" s="1536" t="str">
        <f>B21</f>
        <v>基础设施水平</v>
      </c>
      <c r="R21" s="714" t="s">
        <v>17</v>
      </c>
      <c r="S21" s="715">
        <f>F21</f>
        <v>100</v>
      </c>
      <c r="T21" s="714" t="s">
        <v>17</v>
      </c>
      <c r="U21" s="715">
        <f>H21</f>
        <v>100</v>
      </c>
      <c r="V21" s="714" t="s">
        <v>17</v>
      </c>
      <c r="W21" s="715">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09"/>
      <c r="Q22" s="1536"/>
      <c r="R22" s="714"/>
      <c r="S22" s="715"/>
      <c r="T22" s="714"/>
      <c r="U22" s="715"/>
      <c r="V22" s="714"/>
      <c r="W22" s="715"/>
      <c r="X22" s="1539"/>
      <c r="Y22" s="3302"/>
      <c r="Z22" s="1540"/>
      <c r="AA22" s="1537">
        <v>1</v>
      </c>
      <c r="AB22" s="1537">
        <v>1</v>
      </c>
      <c r="AC22" s="1537">
        <v>1</v>
      </c>
    </row>
    <row r="23" spans="1:29" ht="55.2">
      <c r="A23" s="387"/>
      <c r="B23" s="410" t="s">
        <v>1944</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09"/>
      <c r="Q23" s="1536" t="str">
        <f>B23</f>
        <v>自然及人文环境</v>
      </c>
      <c r="R23" s="714" t="s">
        <v>21</v>
      </c>
      <c r="S23" s="715">
        <f>F23</f>
        <v>100</v>
      </c>
      <c r="T23" s="714" t="s">
        <v>21</v>
      </c>
      <c r="U23" s="715">
        <f>H23</f>
        <v>100</v>
      </c>
      <c r="V23" s="714" t="s">
        <v>21</v>
      </c>
      <c r="W23" s="715">
        <f>J23</f>
        <v>100</v>
      </c>
      <c r="X23" s="1539"/>
      <c r="Y23" s="330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09"/>
      <c r="Q24" s="1536"/>
      <c r="R24" s="714"/>
      <c r="S24" s="715"/>
      <c r="T24" s="714"/>
      <c r="U24" s="715"/>
      <c r="V24" s="714"/>
      <c r="W24" s="715"/>
      <c r="X24" s="1539"/>
      <c r="Y24" s="3302"/>
      <c r="Z24" s="1540"/>
      <c r="AA24" s="1537">
        <v>1</v>
      </c>
      <c r="AB24" s="1537">
        <v>1</v>
      </c>
      <c r="AC24" s="1537">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0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2"/>
      <c r="Z25" s="1540" t="str">
        <f>Q25</f>
        <v>楼层-1</v>
      </c>
      <c r="AA25" s="1537">
        <f t="shared" ref="AA25:AA46" si="15">D25/F25</f>
        <v>1</v>
      </c>
      <c r="AB25" s="1537">
        <f t="shared" ref="AB25:AB46" si="16">D25/H25</f>
        <v>1</v>
      </c>
      <c r="AC25" s="1537">
        <f t="shared" ref="AC25:AC46" si="17">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09"/>
      <c r="Q26" s="1536" t="str">
        <f t="shared" si="11"/>
        <v>朝向</v>
      </c>
      <c r="R26" s="714" t="s">
        <v>21</v>
      </c>
      <c r="S26" s="715">
        <f t="shared" si="12"/>
        <v>100</v>
      </c>
      <c r="T26" s="714" t="s">
        <v>21</v>
      </c>
      <c r="U26" s="715">
        <f t="shared" si="13"/>
        <v>100</v>
      </c>
      <c r="V26" s="714" t="s">
        <v>21</v>
      </c>
      <c r="W26" s="715">
        <f t="shared" si="14"/>
        <v>100</v>
      </c>
      <c r="X26" s="1539"/>
      <c r="Y26" s="330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09"/>
      <c r="Q27" s="1527">
        <f t="shared" si="11"/>
        <v>111</v>
      </c>
      <c r="R27" s="710" t="s">
        <v>21</v>
      </c>
      <c r="S27" s="711">
        <f t="shared" si="12"/>
        <v>100</v>
      </c>
      <c r="T27" s="710" t="s">
        <v>21</v>
      </c>
      <c r="U27" s="711">
        <f t="shared" si="13"/>
        <v>100</v>
      </c>
      <c r="V27" s="710" t="s">
        <v>21</v>
      </c>
      <c r="W27" s="711">
        <f t="shared" si="14"/>
        <v>100</v>
      </c>
      <c r="X27" s="712"/>
      <c r="Y27" s="330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09"/>
      <c r="Q28" s="1536">
        <f t="shared" si="11"/>
        <v>111</v>
      </c>
      <c r="R28" s="714" t="s">
        <v>21</v>
      </c>
      <c r="S28" s="715">
        <f t="shared" si="12"/>
        <v>100</v>
      </c>
      <c r="T28" s="714" t="s">
        <v>21</v>
      </c>
      <c r="U28" s="715">
        <f t="shared" si="13"/>
        <v>100</v>
      </c>
      <c r="V28" s="714" t="s">
        <v>21</v>
      </c>
      <c r="W28" s="715">
        <f t="shared" si="14"/>
        <v>100</v>
      </c>
      <c r="X28" s="1539"/>
      <c r="Y28" s="330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09"/>
      <c r="Q29" s="1536">
        <f t="shared" si="11"/>
        <v>111</v>
      </c>
      <c r="R29" s="714" t="s">
        <v>21</v>
      </c>
      <c r="S29" s="715">
        <f t="shared" si="12"/>
        <v>100</v>
      </c>
      <c r="T29" s="714" t="s">
        <v>21</v>
      </c>
      <c r="U29" s="715">
        <f t="shared" si="13"/>
        <v>100</v>
      </c>
      <c r="V29" s="714" t="s">
        <v>21</v>
      </c>
      <c r="W29" s="715">
        <f t="shared" si="14"/>
        <v>100</v>
      </c>
      <c r="X29" s="1539"/>
      <c r="Y29" s="330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09"/>
      <c r="Q30" s="1536">
        <f t="shared" si="11"/>
        <v>111</v>
      </c>
      <c r="R30" s="714" t="s">
        <v>21</v>
      </c>
      <c r="S30" s="715">
        <f t="shared" si="12"/>
        <v>100</v>
      </c>
      <c r="T30" s="714" t="s">
        <v>21</v>
      </c>
      <c r="U30" s="715">
        <f t="shared" si="13"/>
        <v>100</v>
      </c>
      <c r="V30" s="714" t="s">
        <v>21</v>
      </c>
      <c r="W30" s="715">
        <f t="shared" si="14"/>
        <v>100</v>
      </c>
      <c r="X30" s="1539"/>
      <c r="Y30" s="3302"/>
      <c r="Z30" s="1540">
        <f t="shared" si="18"/>
        <v>111</v>
      </c>
      <c r="AA30" s="1537">
        <f t="shared" si="15"/>
        <v>1</v>
      </c>
      <c r="AB30" s="1537">
        <f t="shared" si="16"/>
        <v>1</v>
      </c>
      <c r="AC30" s="1537">
        <f t="shared" si="17"/>
        <v>1</v>
      </c>
    </row>
    <row r="31" spans="1:29" ht="15.6"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09"/>
      <c r="Q31" s="1536">
        <f t="shared" si="11"/>
        <v>111</v>
      </c>
      <c r="R31" s="714" t="s">
        <v>21</v>
      </c>
      <c r="S31" s="715">
        <f t="shared" si="12"/>
        <v>100</v>
      </c>
      <c r="T31" s="714" t="s">
        <v>21</v>
      </c>
      <c r="U31" s="715">
        <f t="shared" si="13"/>
        <v>100</v>
      </c>
      <c r="V31" s="714" t="s">
        <v>21</v>
      </c>
      <c r="W31" s="715">
        <f t="shared" si="14"/>
        <v>100</v>
      </c>
      <c r="X31" s="1539"/>
      <c r="Y31" s="3302"/>
      <c r="Z31" s="1540">
        <f t="shared" si="18"/>
        <v>111</v>
      </c>
      <c r="AA31" s="1537">
        <f t="shared" si="15"/>
        <v>1</v>
      </c>
      <c r="AB31" s="1537">
        <f t="shared" si="16"/>
        <v>1</v>
      </c>
      <c r="AC31" s="1537">
        <f t="shared" si="17"/>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03" t="s">
        <v>2380</v>
      </c>
      <c r="Q32" s="1536" t="str">
        <f t="shared" si="11"/>
        <v>建筑类型</v>
      </c>
      <c r="R32" s="714" t="s">
        <v>21</v>
      </c>
      <c r="S32" s="715">
        <f t="shared" si="12"/>
        <v>100</v>
      </c>
      <c r="T32" s="714" t="s">
        <v>21</v>
      </c>
      <c r="U32" s="715">
        <f t="shared" si="13"/>
        <v>100</v>
      </c>
      <c r="V32" s="714" t="s">
        <v>21</v>
      </c>
      <c r="W32" s="715">
        <f t="shared" si="14"/>
        <v>100</v>
      </c>
      <c r="X32" s="1539"/>
      <c r="Y32" s="3306" t="s">
        <v>2380</v>
      </c>
      <c r="Z32" s="1540" t="str">
        <f t="shared" si="18"/>
        <v>建筑类型</v>
      </c>
      <c r="AA32" s="1537">
        <f t="shared" si="15"/>
        <v>1</v>
      </c>
      <c r="AB32" s="1537">
        <f t="shared" si="16"/>
        <v>1</v>
      </c>
      <c r="AC32" s="1537">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04"/>
      <c r="Q33" s="716" t="str">
        <f t="shared" si="11"/>
        <v>项目建筑规模</v>
      </c>
      <c r="R33" s="717" t="s">
        <v>21</v>
      </c>
      <c r="S33" s="718" t="e">
        <f t="shared" si="12"/>
        <v>#N/A</v>
      </c>
      <c r="T33" s="717" t="s">
        <v>21</v>
      </c>
      <c r="U33" s="718" t="e">
        <f t="shared" si="13"/>
        <v>#N/A</v>
      </c>
      <c r="V33" s="717" t="s">
        <v>21</v>
      </c>
      <c r="W33" s="718" t="e">
        <f t="shared" si="14"/>
        <v>#N/A</v>
      </c>
      <c r="X33" s="719"/>
      <c r="Y33" s="3306"/>
      <c r="Z33" s="720" t="str">
        <f t="shared" si="18"/>
        <v>项目建筑规模</v>
      </c>
      <c r="AA33" s="1537" t="e">
        <f t="shared" si="15"/>
        <v>#N/A</v>
      </c>
      <c r="AB33" s="1537" t="e">
        <f t="shared" si="16"/>
        <v>#N/A</v>
      </c>
      <c r="AC33" s="1537" t="e">
        <f t="shared" si="17"/>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04"/>
      <c r="Q34" s="1536" t="str">
        <f t="shared" si="11"/>
        <v>建筑结构</v>
      </c>
      <c r="R34" s="714" t="s">
        <v>21</v>
      </c>
      <c r="S34" s="715">
        <f t="shared" si="12"/>
        <v>100</v>
      </c>
      <c r="T34" s="714" t="s">
        <v>21</v>
      </c>
      <c r="U34" s="715">
        <f t="shared" si="13"/>
        <v>100</v>
      </c>
      <c r="V34" s="714" t="s">
        <v>21</v>
      </c>
      <c r="W34" s="715">
        <f t="shared" si="14"/>
        <v>100</v>
      </c>
      <c r="X34" s="1539"/>
      <c r="Y34" s="3306"/>
      <c r="Z34" s="1540" t="str">
        <f t="shared" si="18"/>
        <v>建筑结构</v>
      </c>
      <c r="AA34" s="1537">
        <f t="shared" si="15"/>
        <v>1</v>
      </c>
      <c r="AB34" s="1537">
        <f t="shared" si="16"/>
        <v>1</v>
      </c>
      <c r="AC34" s="1537">
        <f t="shared" si="17"/>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04"/>
      <c r="Q35" s="1536" t="str">
        <f t="shared" si="11"/>
        <v>建筑品质</v>
      </c>
      <c r="R35" s="714" t="s">
        <v>21</v>
      </c>
      <c r="S35" s="715">
        <f t="shared" si="12"/>
        <v>100</v>
      </c>
      <c r="T35" s="714" t="s">
        <v>21</v>
      </c>
      <c r="U35" s="715">
        <f t="shared" si="13"/>
        <v>100</v>
      </c>
      <c r="V35" s="714" t="s">
        <v>21</v>
      </c>
      <c r="W35" s="715">
        <f t="shared" si="14"/>
        <v>100</v>
      </c>
      <c r="X35" s="1539"/>
      <c r="Y35" s="3306"/>
      <c r="Z35" s="1540" t="str">
        <f t="shared" si="18"/>
        <v>建筑品质</v>
      </c>
      <c r="AA35" s="1537">
        <f t="shared" si="15"/>
        <v>1</v>
      </c>
      <c r="AB35" s="1537">
        <f t="shared" si="16"/>
        <v>1</v>
      </c>
      <c r="AC35" s="1537">
        <f t="shared" si="17"/>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04"/>
      <c r="Q36" s="1536" t="str">
        <f t="shared" si="11"/>
        <v>公共部分装修</v>
      </c>
      <c r="R36" s="714" t="s">
        <v>21</v>
      </c>
      <c r="S36" s="715">
        <f t="shared" si="12"/>
        <v>100</v>
      </c>
      <c r="T36" s="714" t="s">
        <v>21</v>
      </c>
      <c r="U36" s="715">
        <f t="shared" si="13"/>
        <v>100</v>
      </c>
      <c r="V36" s="714" t="s">
        <v>21</v>
      </c>
      <c r="W36" s="715">
        <f t="shared" si="14"/>
        <v>100</v>
      </c>
      <c r="X36" s="1539"/>
      <c r="Y36" s="3306"/>
      <c r="Z36" s="1540" t="str">
        <f t="shared" si="18"/>
        <v>公共部分装修</v>
      </c>
      <c r="AA36" s="1537">
        <f t="shared" si="15"/>
        <v>1</v>
      </c>
      <c r="AB36" s="1537">
        <f t="shared" si="16"/>
        <v>1</v>
      </c>
      <c r="AC36" s="1537">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04"/>
      <c r="Q37" s="1527" t="str">
        <f t="shared" si="11"/>
        <v>成新度</v>
      </c>
      <c r="R37" s="710" t="s">
        <v>21</v>
      </c>
      <c r="S37" s="711" t="e">
        <f t="shared" si="12"/>
        <v>#N/A</v>
      </c>
      <c r="T37" s="710" t="s">
        <v>21</v>
      </c>
      <c r="U37" s="711" t="e">
        <f t="shared" si="13"/>
        <v>#N/A</v>
      </c>
      <c r="V37" s="710" t="s">
        <v>21</v>
      </c>
      <c r="W37" s="711" t="e">
        <f t="shared" si="14"/>
        <v>#N/A</v>
      </c>
      <c r="X37" s="712"/>
      <c r="Y37" s="3306"/>
      <c r="Z37" s="55" t="str">
        <f t="shared" si="18"/>
        <v>成新度</v>
      </c>
      <c r="AA37" s="713" t="e">
        <f t="shared" si="15"/>
        <v>#N/A</v>
      </c>
      <c r="AB37" s="713" t="e">
        <f t="shared" si="16"/>
        <v>#N/A</v>
      </c>
      <c r="AC37" s="713" t="e">
        <f t="shared" si="17"/>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04" t="s">
        <v>2380</v>
      </c>
      <c r="Q38" s="1536" t="str">
        <f t="shared" si="11"/>
        <v>物业管理</v>
      </c>
      <c r="R38" s="714" t="s">
        <v>21</v>
      </c>
      <c r="S38" s="715">
        <f t="shared" si="12"/>
        <v>100</v>
      </c>
      <c r="T38" s="714" t="s">
        <v>21</v>
      </c>
      <c r="U38" s="715">
        <f t="shared" si="13"/>
        <v>100</v>
      </c>
      <c r="V38" s="714" t="s">
        <v>21</v>
      </c>
      <c r="W38" s="715">
        <f t="shared" si="14"/>
        <v>100</v>
      </c>
      <c r="X38" s="1539"/>
      <c r="Y38" s="3306" t="s">
        <v>2380</v>
      </c>
      <c r="Z38" s="1540" t="str">
        <f t="shared" si="18"/>
        <v>物业管理</v>
      </c>
      <c r="AA38" s="1537">
        <f t="shared" si="15"/>
        <v>1</v>
      </c>
      <c r="AB38" s="1537">
        <f t="shared" si="16"/>
        <v>1</v>
      </c>
      <c r="AC38" s="1537">
        <f t="shared" si="17"/>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04"/>
      <c r="Q39" s="1536" t="str">
        <f t="shared" si="11"/>
        <v>市政基础设施</v>
      </c>
      <c r="R39" s="714" t="s">
        <v>21</v>
      </c>
      <c r="S39" s="715">
        <f t="shared" si="12"/>
        <v>100</v>
      </c>
      <c r="T39" s="714" t="s">
        <v>21</v>
      </c>
      <c r="U39" s="715">
        <f t="shared" si="13"/>
        <v>100</v>
      </c>
      <c r="V39" s="714" t="s">
        <v>21</v>
      </c>
      <c r="W39" s="715">
        <f t="shared" si="14"/>
        <v>100</v>
      </c>
      <c r="X39" s="1539"/>
      <c r="Y39" s="3306"/>
      <c r="Z39" s="1540" t="str">
        <f t="shared" si="18"/>
        <v>市政基础设施</v>
      </c>
      <c r="AA39" s="1537">
        <f t="shared" si="15"/>
        <v>1</v>
      </c>
      <c r="AB39" s="1537">
        <f t="shared" si="16"/>
        <v>1</v>
      </c>
      <c r="AC39" s="1537">
        <f t="shared" si="17"/>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04"/>
      <c r="Q40" s="1536" t="str">
        <f t="shared" si="11"/>
        <v>房型</v>
      </c>
      <c r="R40" s="714" t="s">
        <v>21</v>
      </c>
      <c r="S40" s="715">
        <f t="shared" si="12"/>
        <v>100</v>
      </c>
      <c r="T40" s="714" t="s">
        <v>21</v>
      </c>
      <c r="U40" s="715">
        <f t="shared" si="13"/>
        <v>100</v>
      </c>
      <c r="V40" s="714" t="s">
        <v>21</v>
      </c>
      <c r="W40" s="715">
        <f t="shared" si="14"/>
        <v>100</v>
      </c>
      <c r="X40" s="1539"/>
      <c r="Y40" s="3306"/>
      <c r="Z40" s="1540" t="str">
        <f t="shared" si="18"/>
        <v>房型</v>
      </c>
      <c r="AA40" s="1537">
        <f t="shared" si="15"/>
        <v>1</v>
      </c>
      <c r="AB40" s="1537">
        <f t="shared" si="16"/>
        <v>1</v>
      </c>
      <c r="AC40" s="1537">
        <f t="shared" si="17"/>
        <v>1</v>
      </c>
    </row>
    <row r="41" spans="1:29" s="430" customFormat="1" ht="28.8">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04"/>
      <c r="Q41" s="716" t="str">
        <f t="shared" si="11"/>
        <v>单套/主力户型建筑面积</v>
      </c>
      <c r="R41" s="717" t="s">
        <v>21</v>
      </c>
      <c r="S41" s="718">
        <f t="shared" si="12"/>
        <v>100</v>
      </c>
      <c r="T41" s="717" t="s">
        <v>21</v>
      </c>
      <c r="U41" s="718">
        <f t="shared" si="13"/>
        <v>100</v>
      </c>
      <c r="V41" s="717" t="s">
        <v>21</v>
      </c>
      <c r="W41" s="718">
        <f t="shared" si="14"/>
        <v>100</v>
      </c>
      <c r="X41" s="719"/>
      <c r="Y41" s="3306"/>
      <c r="Z41" s="720" t="str">
        <f t="shared" si="18"/>
        <v>单套/主力户型建筑面积</v>
      </c>
      <c r="AA41" s="1537">
        <f t="shared" si="15"/>
        <v>1</v>
      </c>
      <c r="AB41" s="1537">
        <f t="shared" si="16"/>
        <v>1</v>
      </c>
      <c r="AC41" s="1537">
        <f t="shared" si="17"/>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04"/>
      <c r="Q42" s="1536" t="str">
        <f t="shared" si="11"/>
        <v>内部装修</v>
      </c>
      <c r="R42" s="714" t="s">
        <v>21</v>
      </c>
      <c r="S42" s="715">
        <f t="shared" si="12"/>
        <v>100</v>
      </c>
      <c r="T42" s="714" t="s">
        <v>21</v>
      </c>
      <c r="U42" s="715">
        <f t="shared" si="13"/>
        <v>100</v>
      </c>
      <c r="V42" s="714" t="s">
        <v>21</v>
      </c>
      <c r="W42" s="715">
        <f t="shared" si="14"/>
        <v>100</v>
      </c>
      <c r="X42" s="1539"/>
      <c r="Y42" s="3306"/>
      <c r="Z42" s="1540" t="str">
        <f t="shared" si="18"/>
        <v>内部装修</v>
      </c>
      <c r="AA42" s="1537">
        <f t="shared" si="15"/>
        <v>1</v>
      </c>
      <c r="AB42" s="1537">
        <f t="shared" si="16"/>
        <v>1</v>
      </c>
      <c r="AC42" s="1537">
        <f t="shared" si="17"/>
        <v>1</v>
      </c>
    </row>
    <row r="43" spans="1:29" ht="28.8">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04"/>
      <c r="Q43" s="1536" t="str">
        <f t="shared" si="11"/>
        <v>内部装修维护情况</v>
      </c>
      <c r="R43" s="714" t="s">
        <v>21</v>
      </c>
      <c r="S43" s="715">
        <f t="shared" si="12"/>
        <v>100</v>
      </c>
      <c r="T43" s="714" t="s">
        <v>21</v>
      </c>
      <c r="U43" s="715">
        <f t="shared" si="13"/>
        <v>100</v>
      </c>
      <c r="V43" s="714" t="s">
        <v>21</v>
      </c>
      <c r="W43" s="715">
        <f t="shared" si="14"/>
        <v>100</v>
      </c>
      <c r="X43" s="1539"/>
      <c r="Y43" s="330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04"/>
      <c r="Q44" s="1527">
        <f t="shared" si="11"/>
        <v>111</v>
      </c>
      <c r="R44" s="710" t="s">
        <v>21</v>
      </c>
      <c r="S44" s="711">
        <f t="shared" si="12"/>
        <v>100</v>
      </c>
      <c r="T44" s="710" t="s">
        <v>21</v>
      </c>
      <c r="U44" s="711">
        <f t="shared" si="13"/>
        <v>100</v>
      </c>
      <c r="V44" s="710" t="s">
        <v>21</v>
      </c>
      <c r="W44" s="711">
        <f t="shared" si="14"/>
        <v>100</v>
      </c>
      <c r="X44" s="712"/>
      <c r="Y44" s="330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04"/>
      <c r="Q45" s="1536">
        <f t="shared" si="11"/>
        <v>111</v>
      </c>
      <c r="R45" s="714" t="s">
        <v>21</v>
      </c>
      <c r="S45" s="715">
        <f t="shared" si="12"/>
        <v>100</v>
      </c>
      <c r="T45" s="714" t="s">
        <v>21</v>
      </c>
      <c r="U45" s="715">
        <f t="shared" si="13"/>
        <v>100</v>
      </c>
      <c r="V45" s="714" t="s">
        <v>21</v>
      </c>
      <c r="W45" s="715">
        <f t="shared" si="14"/>
        <v>100</v>
      </c>
      <c r="X45" s="1539"/>
      <c r="Y45" s="3306"/>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05"/>
      <c r="Q46" s="1536">
        <f t="shared" si="11"/>
        <v>111</v>
      </c>
      <c r="R46" s="714" t="s">
        <v>20</v>
      </c>
      <c r="S46" s="715">
        <f t="shared" si="12"/>
        <v>100</v>
      </c>
      <c r="T46" s="714" t="s">
        <v>20</v>
      </c>
      <c r="U46" s="715">
        <f t="shared" si="13"/>
        <v>100</v>
      </c>
      <c r="V46" s="714" t="s">
        <v>20</v>
      </c>
      <c r="W46" s="715">
        <f t="shared" si="14"/>
        <v>100</v>
      </c>
      <c r="X46" s="1539"/>
      <c r="Y46" s="3307"/>
      <c r="Z46" s="1540">
        <f t="shared" si="18"/>
        <v>111</v>
      </c>
      <c r="AA46" s="1537">
        <f t="shared" si="15"/>
        <v>1</v>
      </c>
      <c r="AB46" s="1537">
        <f t="shared" si="16"/>
        <v>1</v>
      </c>
      <c r="AC46" s="1537">
        <f t="shared" si="17"/>
        <v>1</v>
      </c>
    </row>
    <row r="47" spans="1:29" ht="14.4">
      <c r="A47" s="438" t="s">
        <v>2392</v>
      </c>
      <c r="B47" s="439"/>
      <c r="C47" s="1316" t="s">
        <v>19</v>
      </c>
      <c r="D47" s="1317"/>
      <c r="E47" s="1318"/>
      <c r="F47" s="1319"/>
      <c r="G47" s="1320"/>
      <c r="H47" s="1321"/>
      <c r="I47" s="1318"/>
      <c r="J47" s="1321"/>
      <c r="K47" s="2100"/>
      <c r="L47" s="2953"/>
      <c r="M47" s="2954"/>
      <c r="N47" s="2945"/>
      <c r="O47" s="2954"/>
      <c r="P47" s="3299" t="str">
        <f>A47</f>
        <v>成交单价（元/平方米）</v>
      </c>
      <c r="Q47" s="3299"/>
      <c r="R47" s="3300">
        <f>E47</f>
        <v>0</v>
      </c>
      <c r="S47" s="3300"/>
      <c r="T47" s="3300">
        <f>G47</f>
        <v>0</v>
      </c>
      <c r="U47" s="3300"/>
      <c r="V47" s="3300">
        <f>I47</f>
        <v>0</v>
      </c>
      <c r="W47" s="3300"/>
      <c r="X47" s="699"/>
      <c r="Y47" s="721"/>
      <c r="Z47" s="699"/>
      <c r="AA47" s="699"/>
      <c r="AB47" s="699"/>
      <c r="AC47" s="699"/>
    </row>
    <row r="48" spans="1:29" ht="15" thickBot="1">
      <c r="A48" s="445" t="s">
        <v>2393</v>
      </c>
      <c r="B48" s="446"/>
      <c r="C48" s="1322" t="e">
        <f>R49</f>
        <v>#DIV/0!</v>
      </c>
      <c r="D48" s="2538" t="s">
        <v>2873</v>
      </c>
      <c r="E48" s="1323" t="e">
        <f>R48</f>
        <v>#DIV/0!</v>
      </c>
      <c r="F48" s="2539"/>
      <c r="G48" s="1322" t="e">
        <f>T48</f>
        <v>#DIV/0!</v>
      </c>
      <c r="H48" s="2539"/>
      <c r="I48" s="1323" t="e">
        <f>V48</f>
        <v>#DIV/0!</v>
      </c>
      <c r="J48" s="2539"/>
      <c r="K48" s="2540">
        <f>F48+H48+J48</f>
        <v>0</v>
      </c>
      <c r="L48" s="2953"/>
      <c r="M48" s="2954"/>
      <c r="N48" s="2954"/>
      <c r="O48" s="2954"/>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699"/>
      <c r="Y48" s="699"/>
      <c r="Z48" s="699"/>
      <c r="AA48" s="699"/>
      <c r="AB48" s="699"/>
      <c r="AC48" s="699"/>
    </row>
    <row r="49" spans="1:29" ht="15" thickBot="1">
      <c r="A49" s="449" t="s">
        <v>2394</v>
      </c>
      <c r="B49" s="450"/>
      <c r="C49" s="1324" t="e">
        <f>R49</f>
        <v>#DIV/0!</v>
      </c>
      <c r="D49" s="1325"/>
      <c r="E49" s="1325"/>
      <c r="F49" s="1325"/>
      <c r="G49" s="1325"/>
      <c r="H49" s="1325"/>
      <c r="I49" s="1325"/>
      <c r="J49" s="1325"/>
      <c r="K49" s="2101"/>
      <c r="L49" s="2953"/>
      <c r="M49" s="2954"/>
      <c r="N49" s="2954"/>
      <c r="O49" s="2954"/>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2.2" thickBot="1">
      <c r="A57" s="703" t="s">
        <v>2398</v>
      </c>
      <c r="B57" s="699"/>
      <c r="C57" s="704"/>
      <c r="D57" s="704"/>
      <c r="E57" s="704"/>
      <c r="F57" s="705"/>
      <c r="G57" s="705"/>
      <c r="H57" s="704"/>
      <c r="I57" s="704"/>
      <c r="J57" s="704"/>
      <c r="K57" s="1072"/>
      <c r="L57" s="1073"/>
      <c r="M57" s="1071"/>
      <c r="N57" s="1071"/>
      <c r="O57" s="1071"/>
      <c r="P57" s="2104"/>
      <c r="Q57" s="461"/>
    </row>
    <row r="58" spans="1:29" s="465" customFormat="1" ht="14.4">
      <c r="A58" s="462" t="s">
        <v>2399</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c r="A59" s="466"/>
      <c r="B59" s="2105"/>
      <c r="C59" s="1345">
        <v>100</v>
      </c>
      <c r="D59" s="468"/>
      <c r="E59" s="469"/>
      <c r="F59" s="469"/>
      <c r="G59" s="469"/>
      <c r="H59" s="469"/>
      <c r="I59" s="469"/>
      <c r="J59" s="469"/>
      <c r="K59" s="469"/>
      <c r="L59" s="469"/>
      <c r="M59" s="470"/>
      <c r="N59" s="469"/>
      <c r="O59" s="470"/>
      <c r="P59" s="2106"/>
    </row>
    <row r="60" spans="1:29" s="113" customFormat="1" ht="15" thickBot="1">
      <c r="A60" s="472" t="s">
        <v>2400</v>
      </c>
      <c r="B60" s="473"/>
      <c r="C60" s="474"/>
      <c r="D60" s="475"/>
      <c r="E60" s="475"/>
      <c r="F60" s="475"/>
      <c r="G60" s="475"/>
      <c r="H60" s="475"/>
      <c r="I60" s="475"/>
      <c r="J60" s="475"/>
      <c r="K60" s="475"/>
      <c r="L60" s="475"/>
      <c r="M60" s="476"/>
      <c r="N60" s="475"/>
      <c r="O60" s="476"/>
      <c r="P60" s="2106"/>
      <c r="Q60" s="461"/>
    </row>
    <row r="61" spans="1:29" s="113" customFormat="1" ht="14.4">
      <c r="A61" s="478" t="s">
        <v>2401</v>
      </c>
      <c r="B61" s="467"/>
      <c r="C61" s="479" t="s">
        <v>2402</v>
      </c>
      <c r="D61" s="480"/>
      <c r="E61" s="480"/>
      <c r="F61" s="480"/>
      <c r="G61" s="480"/>
      <c r="H61" s="480"/>
      <c r="I61" s="480"/>
      <c r="J61" s="480"/>
      <c r="K61" s="480"/>
      <c r="L61" s="481"/>
      <c r="M61" s="482"/>
      <c r="N61" s="1063"/>
      <c r="O61" s="1063"/>
      <c r="P61" s="2107"/>
      <c r="Q61" s="461"/>
    </row>
    <row r="62" spans="1:29" s="113" customFormat="1" ht="14.4" thickBot="1">
      <c r="A62" s="478"/>
      <c r="B62" s="467"/>
      <c r="C62" s="468">
        <v>100</v>
      </c>
      <c r="D62" s="469"/>
      <c r="E62" s="469"/>
      <c r="F62" s="469"/>
      <c r="G62" s="469"/>
      <c r="H62" s="469"/>
      <c r="I62" s="469"/>
      <c r="J62" s="469"/>
      <c r="K62" s="469"/>
      <c r="L62" s="469"/>
      <c r="M62" s="471"/>
      <c r="N62" s="1063"/>
      <c r="O62" s="1063"/>
      <c r="P62" s="2106"/>
      <c r="Q62" s="461"/>
    </row>
    <row r="63" spans="1:29" ht="14.4">
      <c r="A63" s="484" t="s">
        <v>2403</v>
      </c>
      <c r="B63" s="485" t="s">
        <v>2369</v>
      </c>
      <c r="C63" s="486">
        <f>C9</f>
        <v>0</v>
      </c>
      <c r="D63" s="487"/>
      <c r="E63" s="487"/>
      <c r="F63" s="487"/>
      <c r="G63" s="487"/>
      <c r="H63" s="487"/>
      <c r="I63" s="487"/>
      <c r="J63" s="487"/>
      <c r="K63" s="488"/>
      <c r="L63" s="489"/>
      <c r="M63" s="490"/>
      <c r="N63" s="1064"/>
      <c r="O63" s="1064"/>
      <c r="P63" s="2108"/>
      <c r="Q63" s="461"/>
    </row>
    <row r="64" spans="1:29" ht="14.4" thickBot="1">
      <c r="A64" s="491"/>
      <c r="B64" s="492"/>
      <c r="C64" s="493">
        <v>100</v>
      </c>
      <c r="D64" s="493"/>
      <c r="E64" s="493"/>
      <c r="F64" s="493"/>
      <c r="G64" s="493"/>
      <c r="H64" s="493"/>
      <c r="I64" s="493"/>
      <c r="J64" s="493"/>
      <c r="K64" s="493"/>
      <c r="L64" s="493"/>
      <c r="M64" s="494"/>
      <c r="N64" s="1065"/>
      <c r="O64" s="1065"/>
      <c r="P64" s="2108"/>
      <c r="Q64" s="461"/>
    </row>
    <row r="65" spans="1:17" ht="29.4"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c r="A68" s="491"/>
      <c r="B68" s="505"/>
      <c r="C68" s="506"/>
      <c r="D68" s="506"/>
      <c r="E68" s="506"/>
      <c r="F68" s="506"/>
      <c r="G68" s="506"/>
      <c r="H68" s="506"/>
      <c r="I68" s="506"/>
      <c r="J68" s="506"/>
      <c r="K68" s="507"/>
      <c r="L68" s="508"/>
      <c r="M68" s="509"/>
      <c r="N68" s="1064"/>
      <c r="O68" s="1064"/>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4.4" thickTop="1">
      <c r="A70" s="510"/>
      <c r="B70" s="495">
        <f>B12</f>
        <v>111</v>
      </c>
      <c r="C70" s="511"/>
      <c r="D70" s="511"/>
      <c r="E70" s="511"/>
      <c r="F70" s="511"/>
      <c r="G70" s="511"/>
      <c r="H70" s="512"/>
      <c r="I70" s="512"/>
      <c r="J70" s="512"/>
      <c r="K70" s="512"/>
      <c r="L70" s="513"/>
      <c r="M70" s="514"/>
      <c r="N70" s="1066"/>
      <c r="O70" s="1066"/>
      <c r="P70" s="2109"/>
      <c r="Q70" s="516"/>
    </row>
    <row r="71" spans="1:17" s="430" customFormat="1" ht="14.4" thickBot="1">
      <c r="A71" s="510"/>
      <c r="B71" s="500"/>
      <c r="C71" s="517"/>
      <c r="D71" s="493"/>
      <c r="E71" s="493"/>
      <c r="F71" s="493"/>
      <c r="G71" s="493"/>
      <c r="H71" s="493"/>
      <c r="I71" s="493"/>
      <c r="J71" s="493"/>
      <c r="K71" s="493"/>
      <c r="L71" s="493"/>
      <c r="M71" s="494"/>
      <c r="N71" s="1065"/>
      <c r="O71" s="1065"/>
      <c r="P71" s="2109"/>
      <c r="Q71" s="516"/>
    </row>
    <row r="72" spans="1:17" s="430" customFormat="1" ht="14.4" thickTop="1">
      <c r="A72" s="510"/>
      <c r="B72" s="495">
        <f>B13</f>
        <v>111</v>
      </c>
      <c r="C72" s="511"/>
      <c r="D72" s="511"/>
      <c r="E72" s="511"/>
      <c r="F72" s="511"/>
      <c r="G72" s="511"/>
      <c r="H72" s="512"/>
      <c r="I72" s="512"/>
      <c r="J72" s="512"/>
      <c r="K72" s="512"/>
      <c r="L72" s="513"/>
      <c r="M72" s="514"/>
      <c r="N72" s="1066"/>
      <c r="O72" s="1066"/>
      <c r="P72" s="2110"/>
      <c r="Q72" s="518"/>
    </row>
    <row r="73" spans="1:17" s="430" customFormat="1" ht="14.4" thickBot="1">
      <c r="A73" s="510"/>
      <c r="B73" s="500"/>
      <c r="C73" s="517"/>
      <c r="D73" s="517"/>
      <c r="E73" s="517"/>
      <c r="F73" s="517"/>
      <c r="G73" s="517"/>
      <c r="H73" s="519"/>
      <c r="I73" s="519"/>
      <c r="J73" s="519"/>
      <c r="K73" s="519"/>
      <c r="L73" s="519"/>
      <c r="M73" s="520"/>
      <c r="N73" s="1066"/>
      <c r="O73" s="1066"/>
      <c r="P73" s="2109"/>
      <c r="Q73" s="516"/>
    </row>
    <row r="74" spans="1:17" s="430" customFormat="1" ht="14.4" thickTop="1">
      <c r="A74" s="510"/>
      <c r="B74" s="503">
        <f>B14</f>
        <v>111</v>
      </c>
      <c r="C74" s="511"/>
      <c r="D74" s="511"/>
      <c r="E74" s="511"/>
      <c r="F74" s="511"/>
      <c r="G74" s="480"/>
      <c r="H74" s="521"/>
      <c r="I74" s="521"/>
      <c r="J74" s="521"/>
      <c r="K74" s="521"/>
      <c r="L74" s="522"/>
      <c r="M74" s="523"/>
      <c r="N74" s="1066"/>
      <c r="O74" s="1066"/>
      <c r="P74" s="2111"/>
      <c r="Q74" s="516"/>
    </row>
    <row r="75" spans="1:17" s="430" customFormat="1" ht="14.4" thickBot="1">
      <c r="A75" s="525"/>
      <c r="B75" s="526"/>
      <c r="C75" s="527"/>
      <c r="D75" s="527"/>
      <c r="E75" s="527"/>
      <c r="F75" s="527"/>
      <c r="G75" s="527"/>
      <c r="H75" s="528"/>
      <c r="I75" s="528"/>
      <c r="J75" s="528"/>
      <c r="K75" s="528"/>
      <c r="L75" s="528"/>
      <c r="M75" s="529"/>
      <c r="N75" s="1066"/>
      <c r="O75" s="1066"/>
      <c r="P75" s="2109"/>
      <c r="Q75" s="516"/>
    </row>
    <row r="76" spans="1:17" ht="14.4">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 thickTop="1">
      <c r="A82" s="491"/>
      <c r="B82" s="503" t="s">
        <v>1943</v>
      </c>
      <c r="C82" s="496" t="s">
        <v>2419</v>
      </c>
      <c r="D82" s="496" t="s">
        <v>2420</v>
      </c>
      <c r="E82" s="496" t="s">
        <v>2421</v>
      </c>
      <c r="F82" s="496" t="s">
        <v>2422</v>
      </c>
      <c r="G82" s="496" t="s">
        <v>2423</v>
      </c>
      <c r="H82" s="496"/>
      <c r="I82" s="496"/>
      <c r="J82" s="496"/>
      <c r="K82" s="496"/>
      <c r="L82" s="496"/>
      <c r="M82" s="1291"/>
      <c r="N82" s="1065"/>
      <c r="O82" s="1065"/>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 thickTop="1">
      <c r="A86" s="536"/>
      <c r="B86" s="495" t="s">
        <v>2425</v>
      </c>
      <c r="C86" s="511"/>
      <c r="D86" s="511"/>
      <c r="E86" s="511"/>
      <c r="F86" s="511"/>
      <c r="G86" s="511"/>
      <c r="H86" s="511"/>
      <c r="I86" s="511"/>
      <c r="J86" s="511"/>
      <c r="K86" s="511"/>
      <c r="L86" s="537"/>
      <c r="M86" s="538"/>
      <c r="N86" s="1063"/>
      <c r="O86" s="1063"/>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 thickTop="1">
      <c r="A88" s="536"/>
      <c r="B88" s="495" t="s">
        <v>2426</v>
      </c>
      <c r="C88" s="511"/>
      <c r="D88" s="511"/>
      <c r="E88" s="511"/>
      <c r="F88" s="2113"/>
      <c r="G88" s="511"/>
      <c r="H88" s="511"/>
      <c r="I88" s="511"/>
      <c r="J88" s="511"/>
      <c r="K88" s="511"/>
      <c r="L88" s="511"/>
      <c r="M88" s="538"/>
      <c r="N88" s="1063"/>
      <c r="O88" s="1063"/>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4.4" thickTop="1">
      <c r="A90" s="510"/>
      <c r="B90" s="495">
        <f>B27</f>
        <v>111</v>
      </c>
      <c r="C90" s="511"/>
      <c r="D90" s="511"/>
      <c r="E90" s="511"/>
      <c r="F90" s="511"/>
      <c r="G90" s="511"/>
      <c r="H90" s="512"/>
      <c r="I90" s="512"/>
      <c r="J90" s="512"/>
      <c r="K90" s="512"/>
      <c r="L90" s="513"/>
      <c r="M90" s="514"/>
      <c r="N90" s="1066"/>
      <c r="O90" s="1066"/>
      <c r="P90" s="2109"/>
      <c r="Q90" s="516"/>
    </row>
    <row r="91" spans="1:17" s="430" customFormat="1" ht="14.4" thickBot="1">
      <c r="A91" s="510"/>
      <c r="B91" s="500"/>
      <c r="C91" s="517"/>
      <c r="D91" s="517"/>
      <c r="E91" s="517"/>
      <c r="F91" s="517"/>
      <c r="G91" s="517"/>
      <c r="H91" s="519"/>
      <c r="I91" s="519"/>
      <c r="J91" s="519"/>
      <c r="K91" s="519"/>
      <c r="L91" s="519"/>
      <c r="M91" s="520"/>
      <c r="N91" s="1066"/>
      <c r="O91" s="1066"/>
      <c r="P91" s="2109"/>
      <c r="Q91" s="516"/>
    </row>
    <row r="92" spans="1:17" ht="14.4" thickTop="1">
      <c r="A92" s="491"/>
      <c r="B92" s="495">
        <f>B28</f>
        <v>111</v>
      </c>
      <c r="C92" s="511"/>
      <c r="D92" s="511"/>
      <c r="E92" s="511"/>
      <c r="F92" s="511"/>
      <c r="G92" s="540"/>
      <c r="H92" s="540"/>
      <c r="I92" s="540"/>
      <c r="J92" s="540"/>
      <c r="K92" s="541"/>
      <c r="L92" s="542"/>
      <c r="M92" s="543"/>
      <c r="N92" s="1064"/>
      <c r="O92" s="1064"/>
      <c r="P92" s="2108"/>
      <c r="Q92" s="461"/>
    </row>
    <row r="93" spans="1:17" ht="14.4" thickBot="1">
      <c r="A93" s="491"/>
      <c r="B93" s="500"/>
      <c r="C93" s="517"/>
      <c r="D93" s="493"/>
      <c r="E93" s="493"/>
      <c r="F93" s="493"/>
      <c r="G93" s="493"/>
      <c r="H93" s="493"/>
      <c r="I93" s="493"/>
      <c r="J93" s="493"/>
      <c r="K93" s="493"/>
      <c r="L93" s="493"/>
      <c r="M93" s="494"/>
      <c r="N93" s="1065"/>
      <c r="O93" s="1065"/>
      <c r="P93" s="2108"/>
      <c r="Q93" s="461"/>
    </row>
    <row r="94" spans="1:17" ht="14.4" thickTop="1">
      <c r="A94" s="491"/>
      <c r="B94" s="495">
        <f>B29</f>
        <v>111</v>
      </c>
      <c r="C94" s="511"/>
      <c r="D94" s="511"/>
      <c r="E94" s="511"/>
      <c r="F94" s="511"/>
      <c r="G94" s="540"/>
      <c r="H94" s="540"/>
      <c r="I94" s="540"/>
      <c r="J94" s="540"/>
      <c r="K94" s="541"/>
      <c r="L94" s="542"/>
      <c r="M94" s="543"/>
      <c r="N94" s="1064"/>
      <c r="O94" s="1064"/>
      <c r="P94" s="2108"/>
      <c r="Q94" s="461"/>
    </row>
    <row r="95" spans="1:17" ht="14.4" thickBot="1">
      <c r="A95" s="491"/>
      <c r="B95" s="500"/>
      <c r="C95" s="517"/>
      <c r="D95" s="517"/>
      <c r="E95" s="517"/>
      <c r="F95" s="517"/>
      <c r="G95" s="493"/>
      <c r="H95" s="493"/>
      <c r="I95" s="493"/>
      <c r="J95" s="493"/>
      <c r="K95" s="493"/>
      <c r="L95" s="493"/>
      <c r="M95" s="494"/>
      <c r="N95" s="1065"/>
      <c r="O95" s="1065"/>
      <c r="P95" s="2108"/>
      <c r="Q95" s="461"/>
    </row>
    <row r="96" spans="1:17" ht="14.4" thickTop="1">
      <c r="A96" s="491"/>
      <c r="B96" s="495">
        <f>B30</f>
        <v>111</v>
      </c>
      <c r="C96" s="511"/>
      <c r="D96" s="511"/>
      <c r="E96" s="511"/>
      <c r="F96" s="511"/>
      <c r="G96" s="540"/>
      <c r="H96" s="540"/>
      <c r="I96" s="540"/>
      <c r="J96" s="540"/>
      <c r="K96" s="541"/>
      <c r="L96" s="542"/>
      <c r="M96" s="543"/>
      <c r="N96" s="1064"/>
      <c r="O96" s="1064"/>
      <c r="P96" s="2108"/>
      <c r="Q96" s="461"/>
    </row>
    <row r="97" spans="1:17" ht="14.4" thickBot="1">
      <c r="A97" s="491"/>
      <c r="B97" s="500"/>
      <c r="C97" s="527"/>
      <c r="D97" s="527"/>
      <c r="E97" s="527"/>
      <c r="F97" s="527"/>
      <c r="G97" s="493"/>
      <c r="H97" s="493"/>
      <c r="I97" s="493"/>
      <c r="J97" s="493"/>
      <c r="K97" s="493"/>
      <c r="L97" s="493"/>
      <c r="M97" s="494"/>
      <c r="N97" s="1065"/>
      <c r="O97" s="1065"/>
      <c r="P97" s="2108"/>
      <c r="Q97" s="461"/>
    </row>
    <row r="98" spans="1:17" ht="14.4" thickTop="1">
      <c r="A98" s="491"/>
      <c r="B98" s="503">
        <f>B31</f>
        <v>111</v>
      </c>
      <c r="C98" s="544"/>
      <c r="D98" s="544"/>
      <c r="E98" s="544"/>
      <c r="F98" s="544"/>
      <c r="G98" s="544"/>
      <c r="H98" s="544"/>
      <c r="I98" s="544"/>
      <c r="J98" s="544"/>
      <c r="K98" s="545"/>
      <c r="L98" s="546"/>
      <c r="M98" s="547"/>
      <c r="N98" s="1064"/>
      <c r="O98" s="1064"/>
      <c r="P98" s="2108"/>
      <c r="Q98" s="461"/>
    </row>
    <row r="99" spans="1:17" ht="14.4" thickBot="1">
      <c r="A99" s="2114"/>
      <c r="B99" s="526"/>
      <c r="C99" s="548"/>
      <c r="D99" s="548"/>
      <c r="E99" s="548"/>
      <c r="F99" s="548"/>
      <c r="G99" s="548"/>
      <c r="H99" s="548"/>
      <c r="I99" s="548"/>
      <c r="J99" s="548"/>
      <c r="K99" s="548"/>
      <c r="L99" s="548"/>
      <c r="M99" s="549"/>
      <c r="N99" s="1065"/>
      <c r="O99" s="1065"/>
      <c r="P99" s="2108"/>
      <c r="Q99" s="461"/>
    </row>
    <row r="100" spans="1:17" ht="14.4">
      <c r="A100" s="484" t="s">
        <v>2378</v>
      </c>
      <c r="B100" s="485" t="s">
        <v>2427</v>
      </c>
      <c r="C100" s="487"/>
      <c r="D100" s="487"/>
      <c r="E100" s="487"/>
      <c r="F100" s="487"/>
      <c r="G100" s="487"/>
      <c r="H100" s="487"/>
      <c r="I100" s="487"/>
      <c r="J100" s="487"/>
      <c r="K100" s="488"/>
      <c r="L100" s="489"/>
      <c r="M100" s="490"/>
      <c r="N100" s="1064"/>
      <c r="O100" s="1064"/>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4.4"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9.4"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4.4"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29.4"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4.4" thickBot="1">
      <c r="A127" s="510"/>
      <c r="B127" s="500"/>
      <c r="C127" s="517"/>
      <c r="D127" s="493"/>
      <c r="E127" s="493"/>
      <c r="F127" s="493"/>
      <c r="G127" s="517"/>
      <c r="H127" s="519"/>
      <c r="I127" s="519"/>
      <c r="J127" s="519"/>
      <c r="K127" s="519"/>
      <c r="L127" s="519"/>
      <c r="M127" s="520"/>
      <c r="N127" s="1066"/>
      <c r="O127" s="1066"/>
      <c r="P127" s="2109"/>
      <c r="Q127" s="516"/>
    </row>
    <row r="128" spans="1:17" ht="14.4" thickTop="1">
      <c r="A128" s="556"/>
      <c r="B128" s="495">
        <f>B45</f>
        <v>111</v>
      </c>
      <c r="C128" s="511"/>
      <c r="D128" s="511"/>
      <c r="E128" s="511"/>
      <c r="F128" s="511"/>
      <c r="G128" s="540"/>
      <c r="H128" s="540"/>
      <c r="I128" s="540"/>
      <c r="J128" s="540"/>
      <c r="K128" s="541"/>
      <c r="L128" s="542"/>
      <c r="M128" s="543"/>
      <c r="N128" s="1064"/>
      <c r="O128" s="1064"/>
      <c r="P128" s="2108"/>
      <c r="Q128" s="461"/>
    </row>
    <row r="129" spans="1:17" ht="14.4" thickBot="1">
      <c r="A129" s="491"/>
      <c r="B129" s="500"/>
      <c r="C129" s="517"/>
      <c r="D129" s="517"/>
      <c r="E129" s="517"/>
      <c r="F129" s="517"/>
      <c r="G129" s="493"/>
      <c r="H129" s="493"/>
      <c r="I129" s="493"/>
      <c r="J129" s="493"/>
      <c r="K129" s="493"/>
      <c r="L129" s="493"/>
      <c r="M129" s="494"/>
      <c r="N129" s="1065"/>
      <c r="O129" s="1065"/>
      <c r="P129" s="2108"/>
      <c r="Q129" s="461"/>
    </row>
    <row r="130" spans="1:17" ht="14.4" thickTop="1">
      <c r="A130" s="556"/>
      <c r="B130" s="503">
        <f>B46</f>
        <v>111</v>
      </c>
      <c r="C130" s="511"/>
      <c r="D130" s="511"/>
      <c r="E130" s="511"/>
      <c r="F130" s="511"/>
      <c r="G130" s="544"/>
      <c r="H130" s="544"/>
      <c r="I130" s="544"/>
      <c r="J130" s="544"/>
      <c r="K130" s="480"/>
      <c r="L130" s="481"/>
      <c r="M130" s="547"/>
      <c r="N130" s="1064"/>
      <c r="O130" s="1064"/>
      <c r="P130" s="2108"/>
      <c r="Q130" s="461"/>
    </row>
    <row r="131" spans="1:17" ht="14.4"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6.2"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ht="14.4">
      <c r="B147" s="2115" t="s">
        <v>2455</v>
      </c>
    </row>
    <row r="148" spans="2:11" ht="14.4">
      <c r="B148" s="2115"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064" t="s">
        <v>2457</v>
      </c>
      <c r="C1" s="1406" t="s">
        <v>2345</v>
      </c>
      <c r="D1" s="1393"/>
      <c r="E1" s="2543"/>
      <c r="F1" s="2065"/>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2142</v>
      </c>
      <c r="B2" s="1326" t="e">
        <f ca="1">IF(C2="——",ROUND(C49*D3/10000,0),ROUND(C49*D3/10000,0)-D2)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2144</v>
      </c>
      <c r="B3" s="566" t="e">
        <f ca="1">IF(C2="——",C49,ROUND(B2*10000/D3,0))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4.4">
      <c r="A4" s="361" t="s">
        <v>2460</v>
      </c>
      <c r="B4" s="362"/>
      <c r="C4" s="3314" t="s">
        <v>2461</v>
      </c>
      <c r="D4" s="3315"/>
      <c r="E4" s="3316" t="s">
        <v>2462</v>
      </c>
      <c r="F4" s="3317"/>
      <c r="G4" s="3314" t="s">
        <v>2463</v>
      </c>
      <c r="H4" s="3315"/>
      <c r="I4" s="3314" t="s">
        <v>2464</v>
      </c>
      <c r="J4" s="3315"/>
      <c r="K4" s="567" t="s">
        <v>2465</v>
      </c>
      <c r="L4" s="2944"/>
      <c r="M4" s="2945"/>
      <c r="N4" s="2945"/>
      <c r="O4" s="2945"/>
      <c r="P4" s="3318" t="s">
        <v>2466</v>
      </c>
      <c r="Q4" s="3319"/>
      <c r="R4" s="3324" t="s">
        <v>2462</v>
      </c>
      <c r="S4" s="3325"/>
      <c r="T4" s="3324" t="s">
        <v>2463</v>
      </c>
      <c r="U4" s="3325"/>
      <c r="V4" s="3330" t="s">
        <v>2464</v>
      </c>
      <c r="W4" s="3330"/>
      <c r="X4" s="1539"/>
      <c r="Y4" s="3324" t="s">
        <v>2466</v>
      </c>
      <c r="Z4" s="3325"/>
      <c r="AA4" s="3311" t="s">
        <v>2462</v>
      </c>
      <c r="AB4" s="3330" t="s">
        <v>2463</v>
      </c>
      <c r="AC4" s="3311" t="s">
        <v>2464</v>
      </c>
    </row>
    <row r="5" spans="1:29">
      <c r="A5" s="364"/>
      <c r="B5" s="365"/>
      <c r="C5" s="3333" t="s">
        <v>2357</v>
      </c>
      <c r="D5" s="3334"/>
      <c r="E5" s="3340" t="s">
        <v>2358</v>
      </c>
      <c r="F5" s="3341"/>
      <c r="G5" s="3333" t="s">
        <v>2359</v>
      </c>
      <c r="H5" s="3334"/>
      <c r="I5" s="3333" t="s">
        <v>2360</v>
      </c>
      <c r="J5" s="3334"/>
      <c r="K5" s="567"/>
      <c r="L5" s="2944"/>
      <c r="M5" s="2945"/>
      <c r="N5" s="2945"/>
      <c r="O5" s="2945"/>
      <c r="P5" s="3320"/>
      <c r="Q5" s="3321"/>
      <c r="R5" s="3326"/>
      <c r="S5" s="3327"/>
      <c r="T5" s="3326"/>
      <c r="U5" s="3327"/>
      <c r="V5" s="3330"/>
      <c r="W5" s="3330"/>
      <c r="X5" s="1539"/>
      <c r="Y5" s="3326"/>
      <c r="Z5" s="3327"/>
      <c r="AA5" s="3312"/>
      <c r="AB5" s="3330"/>
      <c r="AC5" s="3312"/>
    </row>
    <row r="6" spans="1:29" ht="15" thickBot="1">
      <c r="A6" s="366"/>
      <c r="B6" s="367"/>
      <c r="C6" s="3331" t="s">
        <v>2361</v>
      </c>
      <c r="D6" s="3332"/>
      <c r="E6" s="3338" t="s">
        <v>2361</v>
      </c>
      <c r="F6" s="3339"/>
      <c r="G6" s="3331" t="s">
        <v>2361</v>
      </c>
      <c r="H6" s="3332"/>
      <c r="I6" s="3331" t="s">
        <v>2361</v>
      </c>
      <c r="J6" s="3332"/>
      <c r="K6" s="567" t="s">
        <v>2362</v>
      </c>
      <c r="L6" s="2944"/>
      <c r="M6" s="2945"/>
      <c r="N6" s="2945"/>
      <c r="O6" s="2945"/>
      <c r="P6" s="3322"/>
      <c r="Q6" s="3323"/>
      <c r="R6" s="3326"/>
      <c r="S6" s="3327"/>
      <c r="T6" s="3328"/>
      <c r="U6" s="3329"/>
      <c r="V6" s="3330"/>
      <c r="W6" s="3330"/>
      <c r="X6" s="1539"/>
      <c r="Y6" s="3328"/>
      <c r="Z6" s="3329"/>
      <c r="AA6" s="3313"/>
      <c r="AB6" s="3330"/>
      <c r="AC6" s="3313"/>
    </row>
    <row r="7" spans="1:29" s="113" customFormat="1" ht="15" thickBot="1">
      <c r="A7" s="368" t="s">
        <v>2363</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35" t="s">
        <v>2364</v>
      </c>
      <c r="Q7" s="3337"/>
      <c r="R7" s="710" t="s">
        <v>17</v>
      </c>
      <c r="S7" s="711">
        <f t="shared" ref="S7:S15" si="0">F7</f>
        <v>0</v>
      </c>
      <c r="T7" s="710" t="s">
        <v>17</v>
      </c>
      <c r="U7" s="711">
        <f t="shared" ref="U7:U15" si="1">H7</f>
        <v>0</v>
      </c>
      <c r="V7" s="710" t="s">
        <v>17</v>
      </c>
      <c r="W7" s="711">
        <f t="shared" ref="W7:W15" si="2">J7</f>
        <v>0</v>
      </c>
      <c r="X7" s="712"/>
      <c r="Y7" s="3335" t="s">
        <v>2364</v>
      </c>
      <c r="Z7" s="3336"/>
      <c r="AA7" s="713" t="e">
        <f>D7/F7</f>
        <v>#DIV/0!</v>
      </c>
      <c r="AB7" s="713" t="e">
        <f>D7/H7</f>
        <v>#DIV/0!</v>
      </c>
      <c r="AC7" s="713" t="e">
        <f>D7/J7</f>
        <v>#DIV/0!</v>
      </c>
    </row>
    <row r="8" spans="1:29" s="113" customFormat="1" ht="1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35" t="s">
        <v>2367</v>
      </c>
      <c r="Q8" s="3336"/>
      <c r="R8" s="710" t="s">
        <v>17</v>
      </c>
      <c r="S8" s="711">
        <f t="shared" si="0"/>
        <v>0</v>
      </c>
      <c r="T8" s="710" t="s">
        <v>17</v>
      </c>
      <c r="U8" s="711">
        <f t="shared" si="1"/>
        <v>0</v>
      </c>
      <c r="V8" s="710" t="s">
        <v>17</v>
      </c>
      <c r="W8" s="711">
        <f t="shared" si="2"/>
        <v>0</v>
      </c>
      <c r="X8" s="712"/>
      <c r="Y8" s="3335" t="s">
        <v>2367</v>
      </c>
      <c r="Z8" s="3336"/>
      <c r="AA8" s="713" t="e">
        <f t="shared" ref="AA8:AA46" si="3">D8/F8</f>
        <v>#DIV/0!</v>
      </c>
      <c r="AB8" s="713" t="e">
        <f t="shared" ref="AB8:AB46" si="4">D8/H8</f>
        <v>#DIV/0!</v>
      </c>
      <c r="AC8" s="713" t="e">
        <f t="shared" ref="AC8:AC46" si="5">D8/J8</f>
        <v>#DIV/0!</v>
      </c>
    </row>
    <row r="9" spans="1:29" s="113" customFormat="1" ht="14.4">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0"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0"/>
      <c r="Q11" s="1527"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0"/>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0"/>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0"/>
      <c r="Q14" s="1527">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69">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08" t="s">
        <v>2375</v>
      </c>
      <c r="Q15" s="1536" t="str">
        <f t="shared" si="6"/>
        <v>商业繁华度</v>
      </c>
      <c r="R15" s="714" t="s">
        <v>17</v>
      </c>
      <c r="S15" s="715">
        <f t="shared" si="0"/>
        <v>100</v>
      </c>
      <c r="T15" s="714" t="s">
        <v>17</v>
      </c>
      <c r="U15" s="715">
        <f t="shared" si="1"/>
        <v>100</v>
      </c>
      <c r="V15" s="714" t="s">
        <v>17</v>
      </c>
      <c r="W15" s="715">
        <f t="shared" si="2"/>
        <v>100</v>
      </c>
      <c r="X15" s="1539"/>
      <c r="Y15" s="3301" t="s">
        <v>2375</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09"/>
      <c r="Q16" s="1536"/>
      <c r="R16" s="714"/>
      <c r="S16" s="715"/>
      <c r="T16" s="714"/>
      <c r="U16" s="715"/>
      <c r="V16" s="714"/>
      <c r="W16" s="715"/>
      <c r="X16" s="1539"/>
      <c r="Y16" s="3302"/>
      <c r="Z16" s="1540"/>
      <c r="AA16" s="1537">
        <v>1</v>
      </c>
      <c r="AB16" s="1537">
        <v>1</v>
      </c>
      <c r="AC16" s="1537">
        <v>1</v>
      </c>
    </row>
    <row r="17" spans="1:29" ht="82.8">
      <c r="A17" s="387"/>
      <c r="B17" s="410" t="s">
        <v>1942</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09"/>
      <c r="Q17" s="1536" t="str">
        <f>B17</f>
        <v>交通便捷度</v>
      </c>
      <c r="R17" s="714" t="s">
        <v>17</v>
      </c>
      <c r="S17" s="715">
        <f>F17</f>
        <v>100</v>
      </c>
      <c r="T17" s="714" t="s">
        <v>17</v>
      </c>
      <c r="U17" s="715">
        <f>H17</f>
        <v>100</v>
      </c>
      <c r="V17" s="714" t="s">
        <v>17</v>
      </c>
      <c r="W17" s="715">
        <f>J17</f>
        <v>100</v>
      </c>
      <c r="X17" s="1539"/>
      <c r="Y17" s="330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09"/>
      <c r="Q18" s="1536"/>
      <c r="R18" s="714"/>
      <c r="S18" s="715"/>
      <c r="T18" s="714"/>
      <c r="U18" s="715"/>
      <c r="V18" s="714"/>
      <c r="W18" s="715"/>
      <c r="X18" s="1539"/>
      <c r="Y18" s="3302"/>
      <c r="Z18" s="1540"/>
      <c r="AA18" s="1537">
        <v>1</v>
      </c>
      <c r="AB18" s="1537">
        <v>1</v>
      </c>
      <c r="AC18" s="1537">
        <v>1</v>
      </c>
    </row>
    <row r="19" spans="1:29" ht="41.4">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09"/>
      <c r="Q19" s="1536" t="str">
        <f>B19</f>
        <v>公共配套设施</v>
      </c>
      <c r="R19" s="714" t="s">
        <v>17</v>
      </c>
      <c r="S19" s="715">
        <f>F19</f>
        <v>100</v>
      </c>
      <c r="T19" s="714" t="s">
        <v>17</v>
      </c>
      <c r="U19" s="715">
        <f>H19</f>
        <v>100</v>
      </c>
      <c r="V19" s="714" t="s">
        <v>17</v>
      </c>
      <c r="W19" s="715">
        <f>J19</f>
        <v>100</v>
      </c>
      <c r="X19" s="1539"/>
      <c r="Y19" s="330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09"/>
      <c r="Q20" s="1536"/>
      <c r="R20" s="714"/>
      <c r="S20" s="715"/>
      <c r="T20" s="714"/>
      <c r="U20" s="715"/>
      <c r="V20" s="714"/>
      <c r="W20" s="715"/>
      <c r="X20" s="1539"/>
      <c r="Y20" s="3302"/>
      <c r="Z20" s="1540"/>
      <c r="AA20" s="1537">
        <v>1</v>
      </c>
      <c r="AB20" s="1537">
        <v>1</v>
      </c>
      <c r="AC20" s="1537">
        <v>1</v>
      </c>
    </row>
    <row r="21" spans="1:29" ht="27.6">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09"/>
      <c r="Q21" s="1536" t="str">
        <f>B21</f>
        <v>基础设施水平</v>
      </c>
      <c r="R21" s="714" t="s">
        <v>17</v>
      </c>
      <c r="S21" s="715">
        <f>F21</f>
        <v>100</v>
      </c>
      <c r="T21" s="714" t="s">
        <v>17</v>
      </c>
      <c r="U21" s="715">
        <f>H21</f>
        <v>100</v>
      </c>
      <c r="V21" s="714" t="s">
        <v>17</v>
      </c>
      <c r="W21" s="715">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09"/>
      <c r="Q22" s="1536"/>
      <c r="R22" s="714"/>
      <c r="S22" s="715"/>
      <c r="T22" s="714"/>
      <c r="U22" s="715"/>
      <c r="V22" s="714"/>
      <c r="W22" s="715"/>
      <c r="X22" s="1539"/>
      <c r="Y22" s="3302"/>
      <c r="Z22" s="1540"/>
      <c r="AA22" s="1537">
        <v>1</v>
      </c>
      <c r="AB22" s="1537">
        <v>1</v>
      </c>
      <c r="AC22" s="1537">
        <v>1</v>
      </c>
    </row>
    <row r="23" spans="1:29" ht="55.2">
      <c r="A23" s="387"/>
      <c r="B23" s="410" t="s">
        <v>1944</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09"/>
      <c r="Q23" s="1536" t="str">
        <f>B23</f>
        <v>自然及人文环境</v>
      </c>
      <c r="R23" s="714" t="s">
        <v>17</v>
      </c>
      <c r="S23" s="715">
        <f>F23</f>
        <v>100</v>
      </c>
      <c r="T23" s="714" t="s">
        <v>17</v>
      </c>
      <c r="U23" s="715">
        <f>H23</f>
        <v>100</v>
      </c>
      <c r="V23" s="714" t="s">
        <v>17</v>
      </c>
      <c r="W23" s="715">
        <f>J23</f>
        <v>100</v>
      </c>
      <c r="X23" s="1539"/>
      <c r="Y23" s="330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09"/>
      <c r="Q24" s="1536"/>
      <c r="R24" s="714"/>
      <c r="S24" s="715"/>
      <c r="T24" s="714"/>
      <c r="U24" s="715"/>
      <c r="V24" s="714"/>
      <c r="W24" s="715"/>
      <c r="X24" s="1539"/>
      <c r="Y24" s="3302"/>
      <c r="Z24" s="1540"/>
      <c r="AA24" s="1537">
        <v>1</v>
      </c>
      <c r="AB24" s="1537">
        <v>1</v>
      </c>
      <c r="AC24" s="1537">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09"/>
      <c r="Q25" s="1536" t="str">
        <f t="shared" ref="Q25:Q46" si="11">B25</f>
        <v>临街状况</v>
      </c>
      <c r="R25" s="714" t="s">
        <v>17</v>
      </c>
      <c r="S25" s="715">
        <f>F25</f>
        <v>100</v>
      </c>
      <c r="T25" s="714" t="s">
        <v>17</v>
      </c>
      <c r="U25" s="715">
        <f>H25</f>
        <v>100</v>
      </c>
      <c r="V25" s="714" t="s">
        <v>17</v>
      </c>
      <c r="W25" s="715">
        <f>J25</f>
        <v>100</v>
      </c>
      <c r="X25" s="1539"/>
      <c r="Y25" s="3302"/>
      <c r="Z25" s="1540" t="str">
        <f>Q25</f>
        <v>临街状况</v>
      </c>
      <c r="AA25" s="1537">
        <f t="shared" si="3"/>
        <v>1</v>
      </c>
      <c r="AB25" s="1537">
        <f t="shared" si="4"/>
        <v>1</v>
      </c>
      <c r="AC25" s="1537">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09"/>
      <c r="Q26" s="1536" t="str">
        <f t="shared" si="11"/>
        <v>平面位置/可视性</v>
      </c>
      <c r="R26" s="714" t="s">
        <v>17</v>
      </c>
      <c r="S26" s="715">
        <f>F26</f>
        <v>100</v>
      </c>
      <c r="T26" s="714" t="s">
        <v>17</v>
      </c>
      <c r="U26" s="715">
        <f>H26</f>
        <v>100</v>
      </c>
      <c r="V26" s="714" t="s">
        <v>17</v>
      </c>
      <c r="W26" s="715">
        <f>J26</f>
        <v>100</v>
      </c>
      <c r="X26" s="1539"/>
      <c r="Y26" s="3302"/>
      <c r="Z26" s="1540" t="str">
        <f>Q26</f>
        <v>平面位置/可视性</v>
      </c>
      <c r="AA26" s="1537">
        <f t="shared" si="3"/>
        <v>1</v>
      </c>
      <c r="AB26" s="1537">
        <f t="shared" si="4"/>
        <v>1</v>
      </c>
      <c r="AC26" s="1537">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09"/>
      <c r="Q27" s="1527" t="str">
        <f t="shared" si="11"/>
        <v>人流量</v>
      </c>
      <c r="R27" s="710" t="s">
        <v>17</v>
      </c>
      <c r="S27" s="711">
        <f>F27</f>
        <v>100</v>
      </c>
      <c r="T27" s="710" t="s">
        <v>17</v>
      </c>
      <c r="U27" s="711">
        <f>H27</f>
        <v>100</v>
      </c>
      <c r="V27" s="710" t="s">
        <v>17</v>
      </c>
      <c r="W27" s="711">
        <f>J27</f>
        <v>100</v>
      </c>
      <c r="X27" s="712"/>
      <c r="Y27" s="3302"/>
      <c r="Z27" s="55" t="str">
        <f>Q27</f>
        <v>人流量</v>
      </c>
      <c r="AA27" s="1537">
        <f>D27/F27</f>
        <v>1</v>
      </c>
      <c r="AB27" s="1537">
        <f>D27/H27</f>
        <v>1</v>
      </c>
      <c r="AC27" s="1537">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0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09"/>
      <c r="Q29" s="1536">
        <f t="shared" si="11"/>
        <v>111</v>
      </c>
      <c r="R29" s="714" t="s">
        <v>17</v>
      </c>
      <c r="S29" s="715">
        <f t="shared" si="12"/>
        <v>100</v>
      </c>
      <c r="T29" s="714" t="s">
        <v>17</v>
      </c>
      <c r="U29" s="715">
        <f t="shared" si="13"/>
        <v>100</v>
      </c>
      <c r="V29" s="714" t="s">
        <v>17</v>
      </c>
      <c r="W29" s="715">
        <f t="shared" si="14"/>
        <v>100</v>
      </c>
      <c r="X29" s="1539"/>
      <c r="Y29" s="330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09"/>
      <c r="Q30" s="1536">
        <f t="shared" si="11"/>
        <v>111</v>
      </c>
      <c r="R30" s="714" t="s">
        <v>17</v>
      </c>
      <c r="S30" s="715">
        <f t="shared" si="12"/>
        <v>100</v>
      </c>
      <c r="T30" s="714" t="s">
        <v>17</v>
      </c>
      <c r="U30" s="715">
        <f t="shared" si="13"/>
        <v>100</v>
      </c>
      <c r="V30" s="714" t="s">
        <v>17</v>
      </c>
      <c r="W30" s="715">
        <f t="shared" si="14"/>
        <v>100</v>
      </c>
      <c r="X30" s="1539"/>
      <c r="Y30" s="3302"/>
      <c r="Z30" s="1540">
        <f t="shared" si="15"/>
        <v>111</v>
      </c>
      <c r="AA30" s="1537">
        <f t="shared" si="3"/>
        <v>1</v>
      </c>
      <c r="AB30" s="1537">
        <f t="shared" si="4"/>
        <v>1</v>
      </c>
      <c r="AC30" s="1537">
        <f t="shared" si="5"/>
        <v>1</v>
      </c>
    </row>
    <row r="31" spans="1:29" ht="15.6"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09"/>
      <c r="Q31" s="1536">
        <f t="shared" si="11"/>
        <v>111</v>
      </c>
      <c r="R31" s="714" t="s">
        <v>17</v>
      </c>
      <c r="S31" s="715">
        <f t="shared" si="12"/>
        <v>100</v>
      </c>
      <c r="T31" s="714" t="s">
        <v>17</v>
      </c>
      <c r="U31" s="715">
        <f t="shared" si="13"/>
        <v>100</v>
      </c>
      <c r="V31" s="714" t="s">
        <v>17</v>
      </c>
      <c r="W31" s="715">
        <f t="shared" si="14"/>
        <v>100</v>
      </c>
      <c r="X31" s="1539"/>
      <c r="Y31" s="3302"/>
      <c r="Z31" s="1540">
        <f t="shared" si="15"/>
        <v>111</v>
      </c>
      <c r="AA31" s="1537">
        <f t="shared" si="3"/>
        <v>1</v>
      </c>
      <c r="AB31" s="1537">
        <f t="shared" si="4"/>
        <v>1</v>
      </c>
      <c r="AC31" s="1537">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03" t="s">
        <v>2380</v>
      </c>
      <c r="Q32" s="1536" t="str">
        <f t="shared" si="11"/>
        <v>商业类型</v>
      </c>
      <c r="R32" s="714" t="s">
        <v>17</v>
      </c>
      <c r="S32" s="715">
        <f t="shared" si="12"/>
        <v>100</v>
      </c>
      <c r="T32" s="714" t="s">
        <v>17</v>
      </c>
      <c r="U32" s="715">
        <f t="shared" si="13"/>
        <v>100</v>
      </c>
      <c r="V32" s="714" t="s">
        <v>17</v>
      </c>
      <c r="W32" s="715">
        <f t="shared" si="14"/>
        <v>100</v>
      </c>
      <c r="X32" s="1539"/>
      <c r="Y32" s="3306" t="s">
        <v>2380</v>
      </c>
      <c r="Z32" s="1540" t="str">
        <f t="shared" si="15"/>
        <v>商业类型</v>
      </c>
      <c r="AA32" s="1537">
        <f t="shared" si="3"/>
        <v>1</v>
      </c>
      <c r="AB32" s="1537">
        <f t="shared" si="4"/>
        <v>1</v>
      </c>
      <c r="AC32" s="1537">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04"/>
      <c r="Q33" s="716" t="str">
        <f t="shared" si="11"/>
        <v>项目建筑规模</v>
      </c>
      <c r="R33" s="717" t="s">
        <v>17</v>
      </c>
      <c r="S33" s="718" t="e">
        <f t="shared" si="12"/>
        <v>#N/A</v>
      </c>
      <c r="T33" s="717" t="s">
        <v>17</v>
      </c>
      <c r="U33" s="718" t="e">
        <f t="shared" si="13"/>
        <v>#N/A</v>
      </c>
      <c r="V33" s="717" t="s">
        <v>17</v>
      </c>
      <c r="W33" s="718" t="e">
        <f t="shared" si="14"/>
        <v>#N/A</v>
      </c>
      <c r="X33" s="719"/>
      <c r="Y33" s="3306"/>
      <c r="Z33" s="720" t="str">
        <f t="shared" si="15"/>
        <v>项目建筑规模</v>
      </c>
      <c r="AA33" s="1537" t="e">
        <f t="shared" si="3"/>
        <v>#N/A</v>
      </c>
      <c r="AB33" s="1537" t="e">
        <f t="shared" si="4"/>
        <v>#N/A</v>
      </c>
      <c r="AC33" s="1537" t="e">
        <f t="shared" si="5"/>
        <v>#N/A</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04"/>
      <c r="Q34" s="1536" t="str">
        <f t="shared" si="11"/>
        <v>建筑结构</v>
      </c>
      <c r="R34" s="714" t="s">
        <v>17</v>
      </c>
      <c r="S34" s="715">
        <f t="shared" si="12"/>
        <v>100</v>
      </c>
      <c r="T34" s="714" t="s">
        <v>17</v>
      </c>
      <c r="U34" s="715">
        <f t="shared" si="13"/>
        <v>100</v>
      </c>
      <c r="V34" s="714" t="s">
        <v>17</v>
      </c>
      <c r="W34" s="715">
        <f t="shared" si="14"/>
        <v>100</v>
      </c>
      <c r="X34" s="1539"/>
      <c r="Y34" s="3306"/>
      <c r="Z34" s="1540" t="str">
        <f t="shared" si="15"/>
        <v>建筑结构</v>
      </c>
      <c r="AA34" s="1537">
        <f t="shared" si="3"/>
        <v>1</v>
      </c>
      <c r="AB34" s="1537">
        <f t="shared" si="4"/>
        <v>1</v>
      </c>
      <c r="AC34" s="1537">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04"/>
      <c r="Q35" s="1536" t="str">
        <f t="shared" si="11"/>
        <v>公共部分装修</v>
      </c>
      <c r="R35" s="714" t="s">
        <v>17</v>
      </c>
      <c r="S35" s="715">
        <f t="shared" si="12"/>
        <v>100</v>
      </c>
      <c r="T35" s="714" t="s">
        <v>17</v>
      </c>
      <c r="U35" s="715">
        <f t="shared" si="13"/>
        <v>100</v>
      </c>
      <c r="V35" s="714" t="s">
        <v>17</v>
      </c>
      <c r="W35" s="715">
        <f t="shared" si="14"/>
        <v>100</v>
      </c>
      <c r="X35" s="1539"/>
      <c r="Y35" s="3306"/>
      <c r="Z35" s="1540" t="str">
        <f t="shared" si="15"/>
        <v>公共部分装修</v>
      </c>
      <c r="AA35" s="1537">
        <f t="shared" si="3"/>
        <v>1</v>
      </c>
      <c r="AB35" s="1537">
        <f t="shared" si="4"/>
        <v>1</v>
      </c>
      <c r="AC35" s="1537">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04"/>
      <c r="Q36" s="1536" t="str">
        <f t="shared" si="11"/>
        <v>成新度</v>
      </c>
      <c r="R36" s="714" t="s">
        <v>17</v>
      </c>
      <c r="S36" s="715" t="e">
        <f t="shared" si="12"/>
        <v>#N/A</v>
      </c>
      <c r="T36" s="714" t="s">
        <v>17</v>
      </c>
      <c r="U36" s="715" t="e">
        <f t="shared" si="13"/>
        <v>#N/A</v>
      </c>
      <c r="V36" s="714" t="s">
        <v>17</v>
      </c>
      <c r="W36" s="715" t="e">
        <f t="shared" si="14"/>
        <v>#N/A</v>
      </c>
      <c r="X36" s="1539"/>
      <c r="Y36" s="3306"/>
      <c r="Z36" s="1540" t="str">
        <f t="shared" si="15"/>
        <v>成新度</v>
      </c>
      <c r="AA36" s="1537" t="e">
        <f t="shared" si="3"/>
        <v>#N/A</v>
      </c>
      <c r="AB36" s="1537" t="e">
        <f t="shared" si="4"/>
        <v>#N/A</v>
      </c>
      <c r="AC36" s="1537" t="e">
        <f t="shared" si="5"/>
        <v>#N/A</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04"/>
      <c r="Q37" s="1527" t="str">
        <f t="shared" si="11"/>
        <v>市政基础设施</v>
      </c>
      <c r="R37" s="710" t="s">
        <v>17</v>
      </c>
      <c r="S37" s="711">
        <f t="shared" si="12"/>
        <v>100</v>
      </c>
      <c r="T37" s="710" t="s">
        <v>17</v>
      </c>
      <c r="U37" s="711">
        <f t="shared" si="13"/>
        <v>100</v>
      </c>
      <c r="V37" s="710" t="s">
        <v>17</v>
      </c>
      <c r="W37" s="711">
        <f t="shared" si="14"/>
        <v>100</v>
      </c>
      <c r="X37" s="712"/>
      <c r="Y37" s="3306"/>
      <c r="Z37" s="55" t="str">
        <f t="shared" si="15"/>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04" t="s">
        <v>2380</v>
      </c>
      <c r="Q38" s="1536" t="str">
        <f t="shared" si="11"/>
        <v>业态</v>
      </c>
      <c r="R38" s="714" t="s">
        <v>17</v>
      </c>
      <c r="S38" s="715">
        <f t="shared" si="12"/>
        <v>100</v>
      </c>
      <c r="T38" s="714" t="s">
        <v>17</v>
      </c>
      <c r="U38" s="715">
        <f t="shared" si="13"/>
        <v>100</v>
      </c>
      <c r="V38" s="714" t="s">
        <v>17</v>
      </c>
      <c r="W38" s="715">
        <f t="shared" si="14"/>
        <v>100</v>
      </c>
      <c r="X38" s="1539"/>
      <c r="Y38" s="3306" t="s">
        <v>2380</v>
      </c>
      <c r="Z38" s="1540" t="str">
        <f t="shared" si="15"/>
        <v>业态</v>
      </c>
      <c r="AA38" s="1537">
        <f t="shared" si="3"/>
        <v>1</v>
      </c>
      <c r="AB38" s="1537">
        <f t="shared" si="4"/>
        <v>1</v>
      </c>
      <c r="AC38" s="1537">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04"/>
      <c r="Q39" s="1536" t="str">
        <f t="shared" si="11"/>
        <v>层高</v>
      </c>
      <c r="R39" s="714" t="s">
        <v>17</v>
      </c>
      <c r="S39" s="715">
        <f t="shared" si="12"/>
        <v>100</v>
      </c>
      <c r="T39" s="714" t="s">
        <v>17</v>
      </c>
      <c r="U39" s="715">
        <f t="shared" si="13"/>
        <v>100</v>
      </c>
      <c r="V39" s="714" t="s">
        <v>17</v>
      </c>
      <c r="W39" s="715">
        <f t="shared" si="14"/>
        <v>100</v>
      </c>
      <c r="X39" s="1539"/>
      <c r="Y39" s="3306"/>
      <c r="Z39" s="1540" t="str">
        <f t="shared" si="15"/>
        <v>层高</v>
      </c>
      <c r="AA39" s="1537">
        <f t="shared" si="3"/>
        <v>1</v>
      </c>
      <c r="AB39" s="1537">
        <f t="shared" si="4"/>
        <v>1</v>
      </c>
      <c r="AC39" s="1537">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04"/>
      <c r="Q40" s="1536" t="str">
        <f t="shared" si="11"/>
        <v>单套建筑面积</v>
      </c>
      <c r="R40" s="714" t="s">
        <v>17</v>
      </c>
      <c r="S40" s="715">
        <f t="shared" si="12"/>
        <v>100</v>
      </c>
      <c r="T40" s="714" t="s">
        <v>17</v>
      </c>
      <c r="U40" s="715">
        <f t="shared" si="13"/>
        <v>100</v>
      </c>
      <c r="V40" s="714" t="s">
        <v>17</v>
      </c>
      <c r="W40" s="715">
        <f t="shared" si="14"/>
        <v>100</v>
      </c>
      <c r="X40" s="1539"/>
      <c r="Y40" s="3306"/>
      <c r="Z40" s="1540" t="str">
        <f t="shared" si="15"/>
        <v>单套建筑面积</v>
      </c>
      <c r="AA40" s="1537">
        <f t="shared" si="3"/>
        <v>1</v>
      </c>
      <c r="AB40" s="1537">
        <f t="shared" si="4"/>
        <v>1</v>
      </c>
      <c r="AC40" s="1537">
        <f t="shared" si="5"/>
        <v>1</v>
      </c>
    </row>
    <row r="41" spans="1:29" s="430" customFormat="1" ht="15">
      <c r="A41" s="427"/>
      <c r="B41" s="1538"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04"/>
      <c r="Q41" s="716" t="str">
        <f t="shared" si="11"/>
        <v>进深比</v>
      </c>
      <c r="R41" s="717" t="s">
        <v>17</v>
      </c>
      <c r="S41" s="718">
        <f t="shared" si="12"/>
        <v>100</v>
      </c>
      <c r="T41" s="717" t="s">
        <v>17</v>
      </c>
      <c r="U41" s="718">
        <f t="shared" si="13"/>
        <v>100</v>
      </c>
      <c r="V41" s="717" t="s">
        <v>17</v>
      </c>
      <c r="W41" s="718">
        <f t="shared" si="14"/>
        <v>100</v>
      </c>
      <c r="X41" s="719"/>
      <c r="Y41" s="3306"/>
      <c r="Z41" s="720" t="str">
        <f t="shared" si="15"/>
        <v>进深比</v>
      </c>
      <c r="AA41" s="1537">
        <f t="shared" si="3"/>
        <v>1</v>
      </c>
      <c r="AB41" s="1537">
        <f t="shared" si="4"/>
        <v>1</v>
      </c>
      <c r="AC41" s="1537">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04"/>
      <c r="Q42" s="1536" t="str">
        <f t="shared" si="11"/>
        <v>内部装修</v>
      </c>
      <c r="R42" s="714" t="s">
        <v>17</v>
      </c>
      <c r="S42" s="715">
        <f t="shared" si="12"/>
        <v>100</v>
      </c>
      <c r="T42" s="714" t="s">
        <v>17</v>
      </c>
      <c r="U42" s="715">
        <f t="shared" si="13"/>
        <v>100</v>
      </c>
      <c r="V42" s="714" t="s">
        <v>17</v>
      </c>
      <c r="W42" s="715">
        <f t="shared" si="14"/>
        <v>100</v>
      </c>
      <c r="X42" s="1539"/>
      <c r="Y42" s="3306"/>
      <c r="Z42" s="1540" t="str">
        <f t="shared" si="15"/>
        <v>内部装修</v>
      </c>
      <c r="AA42" s="1537">
        <f t="shared" si="3"/>
        <v>1</v>
      </c>
      <c r="AB42" s="1537">
        <f t="shared" si="4"/>
        <v>1</v>
      </c>
      <c r="AC42" s="1537">
        <f t="shared" si="5"/>
        <v>1</v>
      </c>
    </row>
    <row r="43" spans="1:29" ht="28.8">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04"/>
      <c r="Q43" s="1536" t="str">
        <f t="shared" si="11"/>
        <v>内部装修维护情况</v>
      </c>
      <c r="R43" s="714" t="s">
        <v>17</v>
      </c>
      <c r="S43" s="715">
        <f t="shared" si="12"/>
        <v>100</v>
      </c>
      <c r="T43" s="714" t="s">
        <v>17</v>
      </c>
      <c r="U43" s="715">
        <f t="shared" si="13"/>
        <v>100</v>
      </c>
      <c r="V43" s="714" t="s">
        <v>17</v>
      </c>
      <c r="W43" s="715">
        <f t="shared" si="14"/>
        <v>100</v>
      </c>
      <c r="X43" s="1539"/>
      <c r="Y43" s="330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04"/>
      <c r="Q44" s="1527">
        <f t="shared" si="11"/>
        <v>111</v>
      </c>
      <c r="R44" s="710" t="s">
        <v>17</v>
      </c>
      <c r="S44" s="711">
        <f t="shared" si="12"/>
        <v>100</v>
      </c>
      <c r="T44" s="710" t="s">
        <v>17</v>
      </c>
      <c r="U44" s="711">
        <f t="shared" si="13"/>
        <v>100</v>
      </c>
      <c r="V44" s="710" t="s">
        <v>17</v>
      </c>
      <c r="W44" s="711">
        <f t="shared" si="14"/>
        <v>100</v>
      </c>
      <c r="X44" s="712"/>
      <c r="Y44" s="330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04"/>
      <c r="Q45" s="1536">
        <f t="shared" si="11"/>
        <v>111</v>
      </c>
      <c r="R45" s="714" t="s">
        <v>17</v>
      </c>
      <c r="S45" s="715">
        <f t="shared" si="12"/>
        <v>100</v>
      </c>
      <c r="T45" s="714" t="s">
        <v>17</v>
      </c>
      <c r="U45" s="715">
        <f t="shared" si="13"/>
        <v>100</v>
      </c>
      <c r="V45" s="714" t="s">
        <v>17</v>
      </c>
      <c r="W45" s="715">
        <f t="shared" si="14"/>
        <v>100</v>
      </c>
      <c r="X45" s="1539"/>
      <c r="Y45" s="3306"/>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05"/>
      <c r="Q46" s="1536">
        <f t="shared" si="11"/>
        <v>111</v>
      </c>
      <c r="R46" s="714" t="s">
        <v>17</v>
      </c>
      <c r="S46" s="715">
        <f t="shared" si="12"/>
        <v>100</v>
      </c>
      <c r="T46" s="714" t="s">
        <v>17</v>
      </c>
      <c r="U46" s="715">
        <f t="shared" si="13"/>
        <v>100</v>
      </c>
      <c r="V46" s="714" t="s">
        <v>17</v>
      </c>
      <c r="W46" s="715">
        <f t="shared" si="14"/>
        <v>100</v>
      </c>
      <c r="X46" s="1539"/>
      <c r="Y46" s="3307"/>
      <c r="Z46" s="1540">
        <f t="shared" si="15"/>
        <v>111</v>
      </c>
      <c r="AA46" s="1537">
        <f t="shared" si="3"/>
        <v>1</v>
      </c>
      <c r="AB46" s="1537">
        <f t="shared" si="4"/>
        <v>1</v>
      </c>
      <c r="AC46" s="1537">
        <f t="shared" si="5"/>
        <v>1</v>
      </c>
    </row>
    <row r="47" spans="1:29" ht="14.4">
      <c r="A47" s="438" t="s">
        <v>2392</v>
      </c>
      <c r="B47" s="439"/>
      <c r="C47" s="1316" t="s">
        <v>1</v>
      </c>
      <c r="D47" s="1317"/>
      <c r="E47" s="1318"/>
      <c r="F47" s="1319"/>
      <c r="G47" s="1320"/>
      <c r="H47" s="1321"/>
      <c r="I47" s="1318"/>
      <c r="J47" s="1321"/>
      <c r="K47" s="723"/>
      <c r="L47" s="2953"/>
      <c r="M47" s="2954"/>
      <c r="N47" s="2945"/>
      <c r="O47" s="2954"/>
      <c r="P47" s="3299" t="str">
        <f>A47</f>
        <v>成交单价（元/平方米）</v>
      </c>
      <c r="Q47" s="3299"/>
      <c r="R47" s="3330">
        <f>E47</f>
        <v>0</v>
      </c>
      <c r="S47" s="3330"/>
      <c r="T47" s="3330">
        <f>G47</f>
        <v>0</v>
      </c>
      <c r="U47" s="3330"/>
      <c r="V47" s="3330">
        <f>I47</f>
        <v>0</v>
      </c>
      <c r="W47" s="3330"/>
      <c r="X47" s="699"/>
      <c r="Y47" s="721"/>
      <c r="Z47" s="699"/>
      <c r="AA47" s="699"/>
      <c r="AB47" s="699"/>
      <c r="AC47" s="699"/>
    </row>
    <row r="48" spans="1:29" ht="15" thickBot="1">
      <c r="A48" s="445" t="s">
        <v>2484</v>
      </c>
      <c r="B48" s="446"/>
      <c r="C48" s="1322" t="e">
        <f>R49</f>
        <v>#DIV/0!</v>
      </c>
      <c r="D48" s="2538" t="s">
        <v>2873</v>
      </c>
      <c r="E48" s="1323" t="e">
        <f>R48</f>
        <v>#DIV/0!</v>
      </c>
      <c r="F48" s="2539"/>
      <c r="G48" s="1322" t="e">
        <f>T48</f>
        <v>#DIV/0!</v>
      </c>
      <c r="H48" s="2539"/>
      <c r="I48" s="1323" t="e">
        <f>V48</f>
        <v>#DIV/0!</v>
      </c>
      <c r="J48" s="2539"/>
      <c r="K48" s="2541">
        <f>F48+H48+J48</f>
        <v>0</v>
      </c>
      <c r="L48" s="2953"/>
      <c r="M48" s="2954"/>
      <c r="N48" s="2945"/>
      <c r="O48" s="2954"/>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699"/>
      <c r="Y48" s="699"/>
      <c r="Z48" s="699"/>
      <c r="AA48" s="699"/>
      <c r="AB48" s="699"/>
      <c r="AC48" s="699"/>
    </row>
    <row r="49" spans="1:29" ht="15" thickBot="1">
      <c r="A49" s="449" t="s">
        <v>2485</v>
      </c>
      <c r="B49" s="450"/>
      <c r="C49" s="1325" t="e">
        <f>R49</f>
        <v>#DIV/0!</v>
      </c>
      <c r="D49" s="1325"/>
      <c r="E49" s="1325"/>
      <c r="F49" s="1325"/>
      <c r="G49" s="1325"/>
      <c r="H49" s="1325"/>
      <c r="I49" s="1325"/>
      <c r="J49" s="1325"/>
      <c r="K49" s="724"/>
      <c r="L49" s="2953"/>
      <c r="M49" s="2954"/>
      <c r="N49" s="2945"/>
      <c r="O49" s="2954"/>
      <c r="P49" s="3296" t="str">
        <f>A49</f>
        <v>估价对象XX用房的比较价值（楼面单价，元/平方米）</v>
      </c>
      <c r="Q49" s="3297"/>
      <c r="R49" s="3298" t="e">
        <f>IF(F1="售价",ROUND(IF(D48="简单平均",AVERAGE(R48:V48),R48*F48+T48*H48+V48*J48),0),ROUND(IF(D48="简单平均",AVERAGE(R48:V48),R48*F48+T48*H48+V48*J48),1))</f>
        <v>#DIV/0!</v>
      </c>
      <c r="S49" s="3298"/>
      <c r="T49" s="3298"/>
      <c r="U49" s="3298"/>
      <c r="V49" s="3298"/>
      <c r="W49" s="329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2.2" thickBot="1">
      <c r="A57" s="703" t="s">
        <v>2489</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4.4">
      <c r="A58" s="462" t="s">
        <v>2363</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9"/>
      <c r="Q58" s="2970"/>
      <c r="R58" s="2970"/>
      <c r="S58" s="2970"/>
      <c r="T58" s="2970"/>
      <c r="U58" s="2970"/>
      <c r="V58" s="2970"/>
      <c r="W58" s="2970"/>
      <c r="X58" s="2970"/>
      <c r="Y58" s="2970"/>
      <c r="Z58" s="2970"/>
      <c r="AA58" s="2970"/>
      <c r="AB58" s="2970"/>
      <c r="AC58" s="2970"/>
    </row>
    <row r="59" spans="1:29" s="113" customFormat="1">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 thickBot="1">
      <c r="A60" s="472" t="s">
        <v>2400</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4.4">
      <c r="A61" s="478" t="s">
        <v>2365</v>
      </c>
      <c r="B61" s="467"/>
      <c r="C61" s="479" t="s">
        <v>2467</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4.4"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ht="14.4">
      <c r="A63" s="484" t="s">
        <v>2403</v>
      </c>
      <c r="B63" s="485" t="s">
        <v>2369</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4.4"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9.4" thickTop="1">
      <c r="A65" s="491"/>
      <c r="B65" s="495" t="s">
        <v>2372</v>
      </c>
      <c r="C65" s="496" t="s">
        <v>2404</v>
      </c>
      <c r="D65" s="496" t="s">
        <v>2405</v>
      </c>
      <c r="E65" s="496" t="s">
        <v>2406</v>
      </c>
      <c r="F65" s="496" t="s">
        <v>2407</v>
      </c>
      <c r="G65" s="496" t="s">
        <v>2408</v>
      </c>
      <c r="H65" s="496" t="s">
        <v>2409</v>
      </c>
      <c r="I65" s="496" t="s">
        <v>2410</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4.4"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4.4"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4.4"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4.4"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4.4"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4.4"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ht="14.4">
      <c r="A76" s="484" t="s">
        <v>2374</v>
      </c>
      <c r="B76" s="485" t="s">
        <v>2411</v>
      </c>
      <c r="C76" s="530" t="s">
        <v>2412</v>
      </c>
      <c r="D76" s="530" t="s">
        <v>2413</v>
      </c>
      <c r="E76" s="530" t="s">
        <v>2414</v>
      </c>
      <c r="F76" s="530" t="s">
        <v>2415</v>
      </c>
      <c r="G76" s="530" t="s">
        <v>2416</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 thickTop="1">
      <c r="A78" s="491"/>
      <c r="B78" s="495" t="s">
        <v>2417</v>
      </c>
      <c r="C78" s="535" t="s">
        <v>2412</v>
      </c>
      <c r="D78" s="535" t="s">
        <v>2413</v>
      </c>
      <c r="E78" s="535" t="s">
        <v>2414</v>
      </c>
      <c r="F78" s="535" t="s">
        <v>2415</v>
      </c>
      <c r="G78" s="535" t="s">
        <v>2416</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 thickTop="1">
      <c r="A80" s="491"/>
      <c r="B80" s="495" t="s">
        <v>2418</v>
      </c>
      <c r="C80" s="535" t="s">
        <v>2412</v>
      </c>
      <c r="D80" s="535" t="s">
        <v>2413</v>
      </c>
      <c r="E80" s="535" t="s">
        <v>2414</v>
      </c>
      <c r="F80" s="535" t="s">
        <v>2415</v>
      </c>
      <c r="G80" s="535" t="s">
        <v>2416</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 thickTop="1">
      <c r="A82" s="491"/>
      <c r="B82" s="503" t="s">
        <v>2470</v>
      </c>
      <c r="C82" s="616" t="s">
        <v>2490</v>
      </c>
      <c r="D82" s="616" t="s">
        <v>2491</v>
      </c>
      <c r="E82" s="616" t="s">
        <v>2492</v>
      </c>
      <c r="F82" s="616" t="s">
        <v>2493</v>
      </c>
      <c r="G82" s="616" t="s">
        <v>2494</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 thickTop="1">
      <c r="A84" s="491"/>
      <c r="B84" s="495" t="s">
        <v>2424</v>
      </c>
      <c r="C84" s="535" t="s">
        <v>2412</v>
      </c>
      <c r="D84" s="535" t="s">
        <v>2413</v>
      </c>
      <c r="E84" s="535" t="s">
        <v>2414</v>
      </c>
      <c r="F84" s="535" t="s">
        <v>2415</v>
      </c>
      <c r="G84" s="535" t="s">
        <v>2416</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 thickTop="1">
      <c r="A86" s="536"/>
      <c r="B86" s="495" t="s">
        <v>2495</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4.4"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4.4"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4.4"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4.4"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4.4"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4.4"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4.4"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4.4"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4.4"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4.4"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4.4"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ht="14.4">
      <c r="A100" s="484" t="s">
        <v>2378</v>
      </c>
      <c r="B100" s="485" t="s">
        <v>2496</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4.4"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2429</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2431</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2433</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2497</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2498</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2499</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4.4"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2500</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2435</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29.4" thickTop="1">
      <c r="A124" s="556"/>
      <c r="B124" s="495" t="s">
        <v>2436</v>
      </c>
      <c r="C124" s="535" t="s">
        <v>2412</v>
      </c>
      <c r="D124" s="535" t="s">
        <v>2413</v>
      </c>
      <c r="E124" s="535" t="s">
        <v>2414</v>
      </c>
      <c r="F124" s="535" t="s">
        <v>2415</v>
      </c>
      <c r="G124" s="535" t="s">
        <v>2416</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4.4"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4.4"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4.4"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4.4"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4.4"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4.4"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7"/>
      <c r="D2" s="1275" t="e">
        <f ca="1">SUMIF(INDIRECT("'"&amp;F2&amp;"'"&amp;"!A:A"),"承租人权益价值",INDIRECT("'"&amp;F2&amp;"'"&amp;"!c:c"))</f>
        <v>#REF!</v>
      </c>
      <c r="E2" s="2068" t="s">
        <v>2143</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13846.800000000001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4.4">
      <c r="A4" s="361" t="s">
        <v>2460</v>
      </c>
      <c r="B4" s="362"/>
      <c r="C4" s="3314" t="s">
        <v>2461</v>
      </c>
      <c r="D4" s="3315"/>
      <c r="E4" s="3316" t="s">
        <v>2462</v>
      </c>
      <c r="F4" s="3317"/>
      <c r="G4" s="3314" t="s">
        <v>2463</v>
      </c>
      <c r="H4" s="3315"/>
      <c r="I4" s="3314" t="s">
        <v>2464</v>
      </c>
      <c r="J4" s="3315"/>
      <c r="K4" s="567" t="s">
        <v>2465</v>
      </c>
      <c r="L4" s="2944"/>
      <c r="M4" s="2945"/>
      <c r="N4" s="2945"/>
      <c r="O4" s="2945"/>
      <c r="P4" s="3348" t="s">
        <v>2466</v>
      </c>
      <c r="Q4" s="3349"/>
      <c r="R4" s="3352" t="s">
        <v>2462</v>
      </c>
      <c r="S4" s="3353"/>
      <c r="T4" s="3352" t="s">
        <v>2463</v>
      </c>
      <c r="U4" s="3353"/>
      <c r="V4" s="3354" t="s">
        <v>2464</v>
      </c>
      <c r="W4" s="3354"/>
      <c r="X4" s="2144"/>
      <c r="Y4" s="3352" t="s">
        <v>2466</v>
      </c>
      <c r="Z4" s="3353"/>
      <c r="AA4" s="3356" t="s">
        <v>2462</v>
      </c>
      <c r="AB4" s="3356" t="s">
        <v>2463</v>
      </c>
      <c r="AC4" s="3345" t="s">
        <v>2464</v>
      </c>
    </row>
    <row r="5" spans="1:29">
      <c r="A5" s="364"/>
      <c r="B5" s="365"/>
      <c r="C5" s="3333" t="s">
        <v>2357</v>
      </c>
      <c r="D5" s="3334"/>
      <c r="E5" s="3340" t="s">
        <v>2358</v>
      </c>
      <c r="F5" s="3341"/>
      <c r="G5" s="3333" t="s">
        <v>2359</v>
      </c>
      <c r="H5" s="3334"/>
      <c r="I5" s="3333" t="s">
        <v>2360</v>
      </c>
      <c r="J5" s="3334"/>
      <c r="K5" s="567"/>
      <c r="L5" s="2944"/>
      <c r="M5" s="2945"/>
      <c r="N5" s="2945"/>
      <c r="O5" s="2945"/>
      <c r="P5" s="3350"/>
      <c r="Q5" s="3321"/>
      <c r="R5" s="3326"/>
      <c r="S5" s="3327"/>
      <c r="T5" s="3326"/>
      <c r="U5" s="3327"/>
      <c r="V5" s="3330"/>
      <c r="W5" s="3330"/>
      <c r="X5" s="1539"/>
      <c r="Y5" s="3326"/>
      <c r="Z5" s="3327"/>
      <c r="AA5" s="3312"/>
      <c r="AB5" s="3312"/>
      <c r="AC5" s="3346"/>
    </row>
    <row r="6" spans="1:29" ht="15" thickBot="1">
      <c r="A6" s="366"/>
      <c r="B6" s="367"/>
      <c r="C6" s="3331" t="s">
        <v>2361</v>
      </c>
      <c r="D6" s="3332"/>
      <c r="E6" s="3338" t="s">
        <v>2361</v>
      </c>
      <c r="F6" s="3339"/>
      <c r="G6" s="3331" t="s">
        <v>2361</v>
      </c>
      <c r="H6" s="3332"/>
      <c r="I6" s="3331" t="s">
        <v>2361</v>
      </c>
      <c r="J6" s="3332"/>
      <c r="K6" s="567" t="s">
        <v>2362</v>
      </c>
      <c r="L6" s="2944"/>
      <c r="M6" s="2945"/>
      <c r="N6" s="2945"/>
      <c r="O6" s="2945"/>
      <c r="P6" s="3351"/>
      <c r="Q6" s="3323"/>
      <c r="R6" s="3326"/>
      <c r="S6" s="3327"/>
      <c r="T6" s="3328"/>
      <c r="U6" s="3329"/>
      <c r="V6" s="3330"/>
      <c r="W6" s="3330"/>
      <c r="X6" s="1539"/>
      <c r="Y6" s="3328"/>
      <c r="Z6" s="3329"/>
      <c r="AA6" s="3313"/>
      <c r="AB6" s="3313"/>
      <c r="AC6" s="3347"/>
    </row>
    <row r="7" spans="1:29" s="113" customFormat="1" ht="15" thickBot="1">
      <c r="A7" s="368" t="s">
        <v>2363</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55" t="s">
        <v>2364</v>
      </c>
      <c r="Q7" s="3337"/>
      <c r="R7" s="710" t="s">
        <v>17</v>
      </c>
      <c r="S7" s="711">
        <f t="shared" ref="S7:S15" si="0">F7</f>
        <v>0</v>
      </c>
      <c r="T7" s="710" t="s">
        <v>17</v>
      </c>
      <c r="U7" s="711">
        <f t="shared" ref="U7:U15" si="1">H7</f>
        <v>0</v>
      </c>
      <c r="V7" s="710" t="s">
        <v>17</v>
      </c>
      <c r="W7" s="711">
        <f t="shared" ref="W7:W15" si="2">J7</f>
        <v>0</v>
      </c>
      <c r="X7" s="712"/>
      <c r="Y7" s="3335" t="s">
        <v>2364</v>
      </c>
      <c r="Z7" s="3336"/>
      <c r="AA7" s="713" t="e">
        <f>D7/F7</f>
        <v>#DIV/0!</v>
      </c>
      <c r="AB7" s="713" t="e">
        <f>D7/H7</f>
        <v>#DIV/0!</v>
      </c>
      <c r="AC7" s="2145" t="e">
        <f>D7/J7</f>
        <v>#DIV/0!</v>
      </c>
    </row>
    <row r="8" spans="1:29" s="113" customFormat="1" ht="1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55" t="s">
        <v>2367</v>
      </c>
      <c r="Q8" s="3336"/>
      <c r="R8" s="710" t="s">
        <v>17</v>
      </c>
      <c r="S8" s="711">
        <f t="shared" si="0"/>
        <v>0</v>
      </c>
      <c r="T8" s="710" t="s">
        <v>17</v>
      </c>
      <c r="U8" s="711">
        <f t="shared" si="1"/>
        <v>0</v>
      </c>
      <c r="V8" s="710" t="s">
        <v>17</v>
      </c>
      <c r="W8" s="711">
        <f t="shared" si="2"/>
        <v>0</v>
      </c>
      <c r="X8" s="712"/>
      <c r="Y8" s="3335" t="s">
        <v>2367</v>
      </c>
      <c r="Z8" s="3336"/>
      <c r="AA8" s="713" t="e">
        <f t="shared" ref="AA8:AA47" si="3">D8/F8</f>
        <v>#DIV/0!</v>
      </c>
      <c r="AB8" s="713" t="e">
        <f t="shared" ref="AB8:AB47" si="4">D8/H8</f>
        <v>#DIV/0!</v>
      </c>
      <c r="AC8" s="2145" t="e">
        <f t="shared" ref="AC8:AC47" si="5">D8/J8</f>
        <v>#DIV/0!</v>
      </c>
    </row>
    <row r="9" spans="1:29" s="113" customFormat="1" ht="14.4">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10"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2145">
        <f t="shared" si="5"/>
        <v>1</v>
      </c>
    </row>
    <row r="10" spans="1:29" s="386" customFormat="1" ht="28.8">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10"/>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10"/>
      <c r="Q11" s="1527"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0"/>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0"/>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0"/>
      <c r="Q14" s="1527">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2145">
        <f t="shared" si="5"/>
        <v>1</v>
      </c>
    </row>
    <row r="15" spans="1:29" ht="69">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08" t="s">
        <v>2375</v>
      </c>
      <c r="Q15" s="1536" t="str">
        <f t="shared" si="6"/>
        <v>办公集聚程度</v>
      </c>
      <c r="R15" s="714" t="s">
        <v>17</v>
      </c>
      <c r="S15" s="715">
        <f t="shared" si="0"/>
        <v>100</v>
      </c>
      <c r="T15" s="714" t="s">
        <v>17</v>
      </c>
      <c r="U15" s="715">
        <f t="shared" si="1"/>
        <v>100</v>
      </c>
      <c r="V15" s="714" t="s">
        <v>17</v>
      </c>
      <c r="W15" s="715">
        <f t="shared" si="2"/>
        <v>100</v>
      </c>
      <c r="X15" s="1539"/>
      <c r="Y15" s="3301" t="s">
        <v>2375</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09"/>
      <c r="Q16" s="1536"/>
      <c r="R16" s="714"/>
      <c r="S16" s="715"/>
      <c r="T16" s="714"/>
      <c r="U16" s="715"/>
      <c r="V16" s="714"/>
      <c r="W16" s="715"/>
      <c r="X16" s="1539"/>
      <c r="Y16" s="3302"/>
      <c r="Z16" s="1540"/>
      <c r="AA16" s="1537">
        <v>1</v>
      </c>
      <c r="AB16" s="1537">
        <v>1</v>
      </c>
      <c r="AC16" s="2148">
        <v>1</v>
      </c>
    </row>
    <row r="17" spans="1:29" ht="82.8">
      <c r="A17" s="387"/>
      <c r="B17" s="587" t="s">
        <v>1942</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09"/>
      <c r="Q17" s="1536" t="str">
        <f>B17</f>
        <v>交通便捷度</v>
      </c>
      <c r="R17" s="714" t="s">
        <v>17</v>
      </c>
      <c r="S17" s="715">
        <f>F17</f>
        <v>100</v>
      </c>
      <c r="T17" s="714" t="s">
        <v>17</v>
      </c>
      <c r="U17" s="715">
        <f>H17</f>
        <v>100</v>
      </c>
      <c r="V17" s="714" t="s">
        <v>17</v>
      </c>
      <c r="W17" s="715">
        <f>J17</f>
        <v>100</v>
      </c>
      <c r="X17" s="1539"/>
      <c r="Y17" s="330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09"/>
      <c r="Q18" s="1536"/>
      <c r="R18" s="714"/>
      <c r="S18" s="715"/>
      <c r="T18" s="714"/>
      <c r="U18" s="715"/>
      <c r="V18" s="714"/>
      <c r="W18" s="715"/>
      <c r="X18" s="1539"/>
      <c r="Y18" s="3302"/>
      <c r="Z18" s="1540"/>
      <c r="AA18" s="1537">
        <v>1</v>
      </c>
      <c r="AB18" s="1537">
        <v>1</v>
      </c>
      <c r="AC18" s="2148">
        <v>1</v>
      </c>
    </row>
    <row r="19" spans="1:29" ht="41.4">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09"/>
      <c r="Q19" s="1536" t="str">
        <f>B19</f>
        <v>公共配套设施</v>
      </c>
      <c r="R19" s="714" t="s">
        <v>17</v>
      </c>
      <c r="S19" s="715">
        <f>F19</f>
        <v>100</v>
      </c>
      <c r="T19" s="714" t="s">
        <v>17</v>
      </c>
      <c r="U19" s="715">
        <f>H19</f>
        <v>100</v>
      </c>
      <c r="V19" s="714" t="s">
        <v>17</v>
      </c>
      <c r="W19" s="715">
        <f>J19</f>
        <v>100</v>
      </c>
      <c r="X19" s="1539"/>
      <c r="Y19" s="330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09"/>
      <c r="Q20" s="1536"/>
      <c r="R20" s="714"/>
      <c r="S20" s="715"/>
      <c r="T20" s="714"/>
      <c r="U20" s="715"/>
      <c r="V20" s="714"/>
      <c r="W20" s="715"/>
      <c r="X20" s="1539"/>
      <c r="Y20" s="3302"/>
      <c r="Z20" s="1540"/>
      <c r="AA20" s="1537">
        <v>1</v>
      </c>
      <c r="AB20" s="1537">
        <v>1</v>
      </c>
      <c r="AC20" s="2148">
        <v>1</v>
      </c>
    </row>
    <row r="21" spans="1:29" ht="27.6">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09"/>
      <c r="Q21" s="1536" t="str">
        <f>B21</f>
        <v>基础设施水平</v>
      </c>
      <c r="R21" s="714" t="s">
        <v>17</v>
      </c>
      <c r="S21" s="715">
        <f>F21</f>
        <v>100</v>
      </c>
      <c r="T21" s="714" t="s">
        <v>17</v>
      </c>
      <c r="U21" s="715">
        <f>H21</f>
        <v>100</v>
      </c>
      <c r="V21" s="714" t="s">
        <v>17</v>
      </c>
      <c r="W21" s="715">
        <f>J21</f>
        <v>100</v>
      </c>
      <c r="X21" s="1539"/>
      <c r="Y21" s="330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09"/>
      <c r="Q22" s="1536"/>
      <c r="R22" s="714"/>
      <c r="S22" s="715"/>
      <c r="T22" s="714"/>
      <c r="U22" s="715"/>
      <c r="V22" s="714"/>
      <c r="W22" s="715"/>
      <c r="X22" s="1539"/>
      <c r="Y22" s="3302"/>
      <c r="Z22" s="1540"/>
      <c r="AA22" s="1537">
        <v>1</v>
      </c>
      <c r="AB22" s="1537">
        <v>1</v>
      </c>
      <c r="AC22" s="2148">
        <v>1</v>
      </c>
    </row>
    <row r="23" spans="1:29" ht="55.2">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09"/>
      <c r="Q23" s="1536" t="str">
        <f>B23</f>
        <v>环境质量</v>
      </c>
      <c r="R23" s="714" t="s">
        <v>17</v>
      </c>
      <c r="S23" s="715">
        <f>F23</f>
        <v>100</v>
      </c>
      <c r="T23" s="714" t="s">
        <v>17</v>
      </c>
      <c r="U23" s="715">
        <f>H23</f>
        <v>100</v>
      </c>
      <c r="V23" s="714" t="s">
        <v>17</v>
      </c>
      <c r="W23" s="715">
        <f>J23</f>
        <v>100</v>
      </c>
      <c r="X23" s="1539"/>
      <c r="Y23" s="330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09"/>
      <c r="Q24" s="1536"/>
      <c r="R24" s="714"/>
      <c r="S24" s="715"/>
      <c r="T24" s="714"/>
      <c r="U24" s="715"/>
      <c r="V24" s="714"/>
      <c r="W24" s="715"/>
      <c r="X24" s="1539"/>
      <c r="Y24" s="3302"/>
      <c r="Z24" s="1540"/>
      <c r="AA24" s="1537">
        <v>1</v>
      </c>
      <c r="AB24" s="1537">
        <v>1</v>
      </c>
      <c r="AC24" s="2148">
        <v>1</v>
      </c>
    </row>
    <row r="25" spans="1:29" ht="28.8">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09"/>
      <c r="Q25" s="1536" t="str">
        <f>B25</f>
        <v>毗邻道路的类型与等级</v>
      </c>
      <c r="R25" s="714" t="s">
        <v>17</v>
      </c>
      <c r="S25" s="715">
        <f>F25</f>
        <v>100</v>
      </c>
      <c r="T25" s="714" t="s">
        <v>17</v>
      </c>
      <c r="U25" s="715">
        <f>H25</f>
        <v>100</v>
      </c>
      <c r="V25" s="714" t="s">
        <v>17</v>
      </c>
      <c r="W25" s="715">
        <f>J25</f>
        <v>100</v>
      </c>
      <c r="X25" s="1539"/>
      <c r="Y25" s="330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09"/>
      <c r="Q26" s="1536"/>
      <c r="R26" s="714"/>
      <c r="S26" s="715"/>
      <c r="T26" s="714"/>
      <c r="U26" s="715"/>
      <c r="V26" s="714"/>
      <c r="W26" s="715"/>
      <c r="X26" s="1539"/>
      <c r="Y26" s="3302"/>
      <c r="Z26" s="1540"/>
      <c r="AA26" s="1537">
        <v>1</v>
      </c>
      <c r="AB26" s="1537">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09"/>
      <c r="Q27" s="1536" t="str">
        <f t="shared" ref="Q27:Q47" si="11">B27</f>
        <v>楼层</v>
      </c>
      <c r="R27" s="714" t="s">
        <v>17</v>
      </c>
      <c r="S27" s="715">
        <f>F27</f>
        <v>100</v>
      </c>
      <c r="T27" s="714" t="s">
        <v>17</v>
      </c>
      <c r="U27" s="715">
        <f>H27</f>
        <v>100</v>
      </c>
      <c r="V27" s="714" t="s">
        <v>17</v>
      </c>
      <c r="W27" s="715">
        <f>J27</f>
        <v>100</v>
      </c>
      <c r="X27" s="1539"/>
      <c r="Y27" s="3302"/>
      <c r="Z27" s="1540" t="str">
        <f>Q27</f>
        <v>楼层</v>
      </c>
      <c r="AA27" s="1537">
        <f t="shared" si="3"/>
        <v>1</v>
      </c>
      <c r="AB27" s="1537">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09"/>
      <c r="Q28" s="1527" t="str">
        <f t="shared" si="11"/>
        <v>朝向</v>
      </c>
      <c r="R28" s="710" t="s">
        <v>17</v>
      </c>
      <c r="S28" s="711">
        <f>F28</f>
        <v>100</v>
      </c>
      <c r="T28" s="710" t="s">
        <v>17</v>
      </c>
      <c r="U28" s="711">
        <f>H28</f>
        <v>100</v>
      </c>
      <c r="V28" s="710" t="s">
        <v>17</v>
      </c>
      <c r="W28" s="711">
        <f>J28</f>
        <v>100</v>
      </c>
      <c r="X28" s="712"/>
      <c r="Y28" s="330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09"/>
      <c r="Q29" s="1536">
        <f t="shared" si="11"/>
        <v>111</v>
      </c>
      <c r="R29" s="714" t="s">
        <v>17</v>
      </c>
      <c r="S29" s="715">
        <f t="shared" ref="S29:S47" si="12">F29</f>
        <v>100</v>
      </c>
      <c r="T29" s="714" t="s">
        <v>17</v>
      </c>
      <c r="U29" s="715">
        <f t="shared" ref="U29:U47" si="13">H29</f>
        <v>100</v>
      </c>
      <c r="V29" s="714" t="s">
        <v>17</v>
      </c>
      <c r="W29" s="715">
        <f t="shared" ref="W29:W47" si="14">J29</f>
        <v>100</v>
      </c>
      <c r="X29" s="1539"/>
      <c r="Y29" s="330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09"/>
      <c r="Q30" s="1536">
        <f t="shared" si="11"/>
        <v>111</v>
      </c>
      <c r="R30" s="714" t="s">
        <v>17</v>
      </c>
      <c r="S30" s="715">
        <f t="shared" si="12"/>
        <v>100</v>
      </c>
      <c r="T30" s="714" t="s">
        <v>17</v>
      </c>
      <c r="U30" s="715">
        <f t="shared" si="13"/>
        <v>100</v>
      </c>
      <c r="V30" s="714" t="s">
        <v>17</v>
      </c>
      <c r="W30" s="715">
        <f t="shared" si="14"/>
        <v>100</v>
      </c>
      <c r="X30" s="1539"/>
      <c r="Y30" s="330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09"/>
      <c r="Q31" s="1536">
        <f t="shared" si="11"/>
        <v>111</v>
      </c>
      <c r="R31" s="714" t="s">
        <v>17</v>
      </c>
      <c r="S31" s="715">
        <f t="shared" si="12"/>
        <v>100</v>
      </c>
      <c r="T31" s="714" t="s">
        <v>17</v>
      </c>
      <c r="U31" s="715">
        <f t="shared" si="13"/>
        <v>100</v>
      </c>
      <c r="V31" s="714" t="s">
        <v>17</v>
      </c>
      <c r="W31" s="715">
        <f t="shared" si="14"/>
        <v>100</v>
      </c>
      <c r="X31" s="1539"/>
      <c r="Y31" s="3302"/>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09"/>
      <c r="Q32" s="1536">
        <f t="shared" si="11"/>
        <v>111</v>
      </c>
      <c r="R32" s="714" t="s">
        <v>17</v>
      </c>
      <c r="S32" s="715">
        <f t="shared" si="12"/>
        <v>100</v>
      </c>
      <c r="T32" s="714" t="s">
        <v>17</v>
      </c>
      <c r="U32" s="715">
        <f t="shared" si="13"/>
        <v>100</v>
      </c>
      <c r="V32" s="714" t="s">
        <v>17</v>
      </c>
      <c r="W32" s="715">
        <f t="shared" si="14"/>
        <v>100</v>
      </c>
      <c r="X32" s="1539"/>
      <c r="Y32" s="3302"/>
      <c r="Z32" s="1540">
        <f t="shared" si="15"/>
        <v>111</v>
      </c>
      <c r="AA32" s="1537">
        <f t="shared" si="3"/>
        <v>1</v>
      </c>
      <c r="AB32" s="1537">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03" t="s">
        <v>2380</v>
      </c>
      <c r="Q33" s="1536" t="str">
        <f t="shared" si="11"/>
        <v>建筑类型</v>
      </c>
      <c r="R33" s="714" t="s">
        <v>17</v>
      </c>
      <c r="S33" s="715">
        <f t="shared" si="12"/>
        <v>100</v>
      </c>
      <c r="T33" s="714" t="s">
        <v>17</v>
      </c>
      <c r="U33" s="715">
        <f t="shared" si="13"/>
        <v>100</v>
      </c>
      <c r="V33" s="714" t="s">
        <v>17</v>
      </c>
      <c r="W33" s="715">
        <f t="shared" si="14"/>
        <v>100</v>
      </c>
      <c r="X33" s="1539"/>
      <c r="Y33" s="3306" t="s">
        <v>2380</v>
      </c>
      <c r="Z33" s="1540" t="str">
        <f t="shared" si="15"/>
        <v>建筑类型</v>
      </c>
      <c r="AA33" s="1537">
        <f t="shared" si="3"/>
        <v>1</v>
      </c>
      <c r="AB33" s="1537">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04"/>
      <c r="Q34" s="716" t="str">
        <f t="shared" si="11"/>
        <v>项目建筑规模</v>
      </c>
      <c r="R34" s="717" t="s">
        <v>17</v>
      </c>
      <c r="S34" s="718" t="e">
        <f t="shared" si="12"/>
        <v>#N/A</v>
      </c>
      <c r="T34" s="717" t="s">
        <v>17</v>
      </c>
      <c r="U34" s="718" t="e">
        <f t="shared" si="13"/>
        <v>#N/A</v>
      </c>
      <c r="V34" s="717" t="s">
        <v>17</v>
      </c>
      <c r="W34" s="718" t="e">
        <f t="shared" si="14"/>
        <v>#N/A</v>
      </c>
      <c r="X34" s="719"/>
      <c r="Y34" s="3306"/>
      <c r="Z34" s="720" t="str">
        <f t="shared" si="15"/>
        <v>项目建筑规模</v>
      </c>
      <c r="AA34" s="1537" t="e">
        <f t="shared" si="3"/>
        <v>#N/A</v>
      </c>
      <c r="AB34" s="1537"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04"/>
      <c r="Q35" s="1536" t="str">
        <f t="shared" si="11"/>
        <v>建筑结构</v>
      </c>
      <c r="R35" s="714" t="s">
        <v>17</v>
      </c>
      <c r="S35" s="715">
        <f t="shared" si="12"/>
        <v>100</v>
      </c>
      <c r="T35" s="714" t="s">
        <v>17</v>
      </c>
      <c r="U35" s="715">
        <f t="shared" si="13"/>
        <v>100</v>
      </c>
      <c r="V35" s="714" t="s">
        <v>17</v>
      </c>
      <c r="W35" s="715">
        <f t="shared" si="14"/>
        <v>100</v>
      </c>
      <c r="X35" s="1539"/>
      <c r="Y35" s="3306"/>
      <c r="Z35" s="1540" t="str">
        <f t="shared" si="15"/>
        <v>建筑结构</v>
      </c>
      <c r="AA35" s="1537">
        <f t="shared" si="3"/>
        <v>1</v>
      </c>
      <c r="AB35" s="1537">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04"/>
      <c r="Q36" s="1536" t="str">
        <f t="shared" si="11"/>
        <v>公共部分装修</v>
      </c>
      <c r="R36" s="714" t="s">
        <v>17</v>
      </c>
      <c r="S36" s="715">
        <f t="shared" si="12"/>
        <v>100</v>
      </c>
      <c r="T36" s="714" t="s">
        <v>17</v>
      </c>
      <c r="U36" s="715">
        <f t="shared" si="13"/>
        <v>100</v>
      </c>
      <c r="V36" s="714" t="s">
        <v>17</v>
      </c>
      <c r="W36" s="715">
        <f t="shared" si="14"/>
        <v>100</v>
      </c>
      <c r="X36" s="1539"/>
      <c r="Y36" s="3306"/>
      <c r="Z36" s="1540" t="str">
        <f t="shared" si="15"/>
        <v>公共部分装修</v>
      </c>
      <c r="AA36" s="1537">
        <f t="shared" si="3"/>
        <v>1</v>
      </c>
      <c r="AB36" s="1537">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04"/>
      <c r="Q37" s="1536" t="str">
        <f t="shared" si="11"/>
        <v>成新度</v>
      </c>
      <c r="R37" s="714" t="s">
        <v>17</v>
      </c>
      <c r="S37" s="715" t="e">
        <f t="shared" si="12"/>
        <v>#N/A</v>
      </c>
      <c r="T37" s="714" t="s">
        <v>17</v>
      </c>
      <c r="U37" s="715" t="e">
        <f t="shared" si="13"/>
        <v>#N/A</v>
      </c>
      <c r="V37" s="714" t="s">
        <v>17</v>
      </c>
      <c r="W37" s="715" t="e">
        <f t="shared" si="14"/>
        <v>#N/A</v>
      </c>
      <c r="X37" s="1539"/>
      <c r="Y37" s="3306"/>
      <c r="Z37" s="1540" t="str">
        <f t="shared" si="15"/>
        <v>成新度</v>
      </c>
      <c r="AA37" s="1537" t="e">
        <f t="shared" si="3"/>
        <v>#N/A</v>
      </c>
      <c r="AB37" s="1537"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04"/>
      <c r="Q38" s="1527" t="str">
        <f t="shared" si="11"/>
        <v>写字楼等级</v>
      </c>
      <c r="R38" s="710" t="s">
        <v>17</v>
      </c>
      <c r="S38" s="711">
        <f t="shared" si="12"/>
        <v>100</v>
      </c>
      <c r="T38" s="710" t="s">
        <v>17</v>
      </c>
      <c r="U38" s="711">
        <f t="shared" si="13"/>
        <v>100</v>
      </c>
      <c r="V38" s="710" t="s">
        <v>17</v>
      </c>
      <c r="W38" s="711">
        <f t="shared" si="14"/>
        <v>100</v>
      </c>
      <c r="X38" s="712"/>
      <c r="Y38" s="3306"/>
      <c r="Z38" s="55" t="str">
        <f t="shared" si="15"/>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04" t="s">
        <v>2380</v>
      </c>
      <c r="Q39" s="1536" t="str">
        <f t="shared" si="11"/>
        <v>物业管理</v>
      </c>
      <c r="R39" s="714" t="s">
        <v>17</v>
      </c>
      <c r="S39" s="715">
        <f t="shared" si="12"/>
        <v>100</v>
      </c>
      <c r="T39" s="714" t="s">
        <v>17</v>
      </c>
      <c r="U39" s="715">
        <f t="shared" si="13"/>
        <v>100</v>
      </c>
      <c r="V39" s="714" t="s">
        <v>17</v>
      </c>
      <c r="W39" s="715">
        <f t="shared" si="14"/>
        <v>100</v>
      </c>
      <c r="X39" s="1539"/>
      <c r="Y39" s="3306" t="s">
        <v>2380</v>
      </c>
      <c r="Z39" s="1540" t="str">
        <f t="shared" si="15"/>
        <v>物业管理</v>
      </c>
      <c r="AA39" s="1537">
        <f t="shared" si="3"/>
        <v>1</v>
      </c>
      <c r="AB39" s="1537">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04"/>
      <c r="Q40" s="1536" t="str">
        <f t="shared" si="11"/>
        <v>市政基础设施</v>
      </c>
      <c r="R40" s="714" t="s">
        <v>17</v>
      </c>
      <c r="S40" s="715">
        <f t="shared" si="12"/>
        <v>100</v>
      </c>
      <c r="T40" s="714" t="s">
        <v>17</v>
      </c>
      <c r="U40" s="715">
        <f t="shared" si="13"/>
        <v>100</v>
      </c>
      <c r="V40" s="714" t="s">
        <v>17</v>
      </c>
      <c r="W40" s="715">
        <f t="shared" si="14"/>
        <v>100</v>
      </c>
      <c r="X40" s="1539"/>
      <c r="Y40" s="3306"/>
      <c r="Z40" s="1540" t="str">
        <f t="shared" si="15"/>
        <v>市政基础设施</v>
      </c>
      <c r="AA40" s="1537">
        <f t="shared" si="3"/>
        <v>1</v>
      </c>
      <c r="AB40" s="1537">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04"/>
      <c r="Q41" s="1536" t="str">
        <f t="shared" si="11"/>
        <v>层高</v>
      </c>
      <c r="R41" s="714" t="s">
        <v>17</v>
      </c>
      <c r="S41" s="715">
        <f t="shared" si="12"/>
        <v>100</v>
      </c>
      <c r="T41" s="714" t="s">
        <v>17</v>
      </c>
      <c r="U41" s="715">
        <f t="shared" si="13"/>
        <v>100</v>
      </c>
      <c r="V41" s="714" t="s">
        <v>17</v>
      </c>
      <c r="W41" s="715">
        <f t="shared" si="14"/>
        <v>100</v>
      </c>
      <c r="X41" s="1539"/>
      <c r="Y41" s="3306"/>
      <c r="Z41" s="1540" t="str">
        <f t="shared" si="15"/>
        <v>层高</v>
      </c>
      <c r="AA41" s="1537">
        <f t="shared" si="3"/>
        <v>1</v>
      </c>
      <c r="AB41" s="1537">
        <f t="shared" si="4"/>
        <v>1</v>
      </c>
      <c r="AC41" s="2148">
        <f t="shared" si="5"/>
        <v>1</v>
      </c>
    </row>
    <row r="42" spans="1:29" s="430" customFormat="1" ht="15">
      <c r="A42" s="427"/>
      <c r="B42" s="1538"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04"/>
      <c r="Q42" s="716" t="str">
        <f t="shared" si="11"/>
        <v>单套建筑面积</v>
      </c>
      <c r="R42" s="717" t="s">
        <v>17</v>
      </c>
      <c r="S42" s="718">
        <f t="shared" si="12"/>
        <v>100</v>
      </c>
      <c r="T42" s="717" t="s">
        <v>17</v>
      </c>
      <c r="U42" s="718">
        <f t="shared" si="13"/>
        <v>100</v>
      </c>
      <c r="V42" s="717" t="s">
        <v>17</v>
      </c>
      <c r="W42" s="718">
        <f t="shared" si="14"/>
        <v>100</v>
      </c>
      <c r="X42" s="719"/>
      <c r="Y42" s="3306"/>
      <c r="Z42" s="720" t="str">
        <f t="shared" si="15"/>
        <v>单套建筑面积</v>
      </c>
      <c r="AA42" s="1537">
        <f t="shared" si="3"/>
        <v>1</v>
      </c>
      <c r="AB42" s="1537">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04"/>
      <c r="Q43" s="1536" t="str">
        <f t="shared" si="11"/>
        <v>内部装修</v>
      </c>
      <c r="R43" s="714" t="s">
        <v>17</v>
      </c>
      <c r="S43" s="715">
        <f t="shared" si="12"/>
        <v>100</v>
      </c>
      <c r="T43" s="714" t="s">
        <v>17</v>
      </c>
      <c r="U43" s="715">
        <f t="shared" si="13"/>
        <v>100</v>
      </c>
      <c r="V43" s="714" t="s">
        <v>17</v>
      </c>
      <c r="W43" s="715">
        <f t="shared" si="14"/>
        <v>100</v>
      </c>
      <c r="X43" s="1539"/>
      <c r="Y43" s="3306"/>
      <c r="Z43" s="1540" t="str">
        <f t="shared" si="15"/>
        <v>内部装修</v>
      </c>
      <c r="AA43" s="1537">
        <f t="shared" si="3"/>
        <v>1</v>
      </c>
      <c r="AB43" s="1537">
        <f t="shared" si="4"/>
        <v>1</v>
      </c>
      <c r="AC43" s="2148">
        <f t="shared" si="5"/>
        <v>1</v>
      </c>
    </row>
    <row r="44" spans="1:29" ht="28.8">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04"/>
      <c r="Q44" s="1536" t="str">
        <f t="shared" si="11"/>
        <v>内部装修维护情况</v>
      </c>
      <c r="R44" s="714" t="s">
        <v>17</v>
      </c>
      <c r="S44" s="715">
        <f t="shared" si="12"/>
        <v>100</v>
      </c>
      <c r="T44" s="714" t="s">
        <v>17</v>
      </c>
      <c r="U44" s="715">
        <f t="shared" si="13"/>
        <v>100</v>
      </c>
      <c r="V44" s="714" t="s">
        <v>17</v>
      </c>
      <c r="W44" s="715">
        <f t="shared" si="14"/>
        <v>100</v>
      </c>
      <c r="X44" s="1539"/>
      <c r="Y44" s="330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04"/>
      <c r="Q45" s="1527">
        <f t="shared" si="11"/>
        <v>111</v>
      </c>
      <c r="R45" s="710" t="s">
        <v>17</v>
      </c>
      <c r="S45" s="711">
        <f t="shared" si="12"/>
        <v>100</v>
      </c>
      <c r="T45" s="710" t="s">
        <v>17</v>
      </c>
      <c r="U45" s="711">
        <f t="shared" si="13"/>
        <v>100</v>
      </c>
      <c r="V45" s="710" t="s">
        <v>17</v>
      </c>
      <c r="W45" s="711">
        <f t="shared" si="14"/>
        <v>100</v>
      </c>
      <c r="X45" s="712"/>
      <c r="Y45" s="330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04"/>
      <c r="Q46" s="1536">
        <f t="shared" si="11"/>
        <v>111</v>
      </c>
      <c r="R46" s="714" t="s">
        <v>17</v>
      </c>
      <c r="S46" s="715">
        <f t="shared" si="12"/>
        <v>100</v>
      </c>
      <c r="T46" s="714" t="s">
        <v>17</v>
      </c>
      <c r="U46" s="715">
        <f t="shared" si="13"/>
        <v>100</v>
      </c>
      <c r="V46" s="714" t="s">
        <v>17</v>
      </c>
      <c r="W46" s="715">
        <f t="shared" si="14"/>
        <v>100</v>
      </c>
      <c r="X46" s="1539"/>
      <c r="Y46" s="3306"/>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05"/>
      <c r="Q47" s="1536">
        <f t="shared" si="11"/>
        <v>111</v>
      </c>
      <c r="R47" s="714" t="s">
        <v>17</v>
      </c>
      <c r="S47" s="715">
        <f t="shared" si="12"/>
        <v>100</v>
      </c>
      <c r="T47" s="714" t="s">
        <v>17</v>
      </c>
      <c r="U47" s="715">
        <f t="shared" si="13"/>
        <v>100</v>
      </c>
      <c r="V47" s="714" t="s">
        <v>17</v>
      </c>
      <c r="W47" s="715">
        <f t="shared" si="14"/>
        <v>100</v>
      </c>
      <c r="X47" s="1539"/>
      <c r="Y47" s="3307"/>
      <c r="Z47" s="1540">
        <f t="shared" si="15"/>
        <v>111</v>
      </c>
      <c r="AA47" s="1537">
        <f t="shared" si="3"/>
        <v>1</v>
      </c>
      <c r="AB47" s="1537">
        <f t="shared" si="4"/>
        <v>1</v>
      </c>
      <c r="AC47" s="2148">
        <f t="shared" si="5"/>
        <v>1</v>
      </c>
    </row>
    <row r="48" spans="1:29" ht="14.4">
      <c r="A48" s="438" t="s">
        <v>2392</v>
      </c>
      <c r="B48" s="439"/>
      <c r="C48" s="1316" t="s">
        <v>1</v>
      </c>
      <c r="D48" s="1317"/>
      <c r="E48" s="1318"/>
      <c r="F48" s="1319"/>
      <c r="G48" s="1320"/>
      <c r="H48" s="1321"/>
      <c r="I48" s="1318"/>
      <c r="J48" s="444"/>
      <c r="K48" s="723"/>
      <c r="L48" s="2953"/>
      <c r="M48" s="2945"/>
      <c r="N48" s="2945"/>
      <c r="O48" s="2945"/>
      <c r="P48" s="3310" t="str">
        <f>A48</f>
        <v>成交单价（元/平方米）</v>
      </c>
      <c r="Q48" s="3299"/>
      <c r="R48" s="3300">
        <f>E48</f>
        <v>0</v>
      </c>
      <c r="S48" s="3300"/>
      <c r="T48" s="3300">
        <f>G48</f>
        <v>0</v>
      </c>
      <c r="U48" s="3300"/>
      <c r="V48" s="3300">
        <f>I48</f>
        <v>0</v>
      </c>
      <c r="W48" s="3300"/>
      <c r="X48" s="405"/>
      <c r="Y48" s="721"/>
      <c r="Z48" s="405"/>
      <c r="AA48" s="405"/>
      <c r="AB48" s="405"/>
      <c r="AC48" s="586"/>
    </row>
    <row r="49" spans="1:29" ht="15" thickBot="1">
      <c r="A49" s="445" t="s">
        <v>2484</v>
      </c>
      <c r="B49" s="446"/>
      <c r="C49" s="1322" t="e">
        <f>R50</f>
        <v>#DIV/0!</v>
      </c>
      <c r="D49" s="2538" t="s">
        <v>2873</v>
      </c>
      <c r="E49" s="1323" t="e">
        <f>R49</f>
        <v>#DIV/0!</v>
      </c>
      <c r="F49" s="2539"/>
      <c r="G49" s="1322" t="e">
        <f>T49</f>
        <v>#DIV/0!</v>
      </c>
      <c r="H49" s="2539"/>
      <c r="I49" s="1323" t="e">
        <f>V49</f>
        <v>#DIV/0!</v>
      </c>
      <c r="J49" s="2539"/>
      <c r="K49" s="2541">
        <f>F49+H49+J49</f>
        <v>0</v>
      </c>
      <c r="L49" s="2953"/>
      <c r="M49" s="2945"/>
      <c r="N49" s="2945"/>
      <c r="O49" s="2945"/>
      <c r="P49" s="3310"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05"/>
      <c r="Y49" s="405"/>
      <c r="Z49" s="405"/>
      <c r="AA49" s="405"/>
      <c r="AB49" s="405"/>
      <c r="AC49" s="586"/>
    </row>
    <row r="50" spans="1:29" ht="15" thickBot="1">
      <c r="A50" s="449" t="s">
        <v>2485</v>
      </c>
      <c r="B50" s="450"/>
      <c r="C50" s="1325" t="e">
        <f>R50</f>
        <v>#DIV/0!</v>
      </c>
      <c r="D50" s="1325"/>
      <c r="E50" s="1325"/>
      <c r="F50" s="1325"/>
      <c r="G50" s="1325"/>
      <c r="H50" s="1325"/>
      <c r="I50" s="1325"/>
      <c r="J50" s="451"/>
      <c r="K50" s="724"/>
      <c r="L50" s="2953"/>
      <c r="M50" s="2945"/>
      <c r="N50" s="2945"/>
      <c r="O50" s="2945"/>
      <c r="P50" s="3342" t="str">
        <f>A50</f>
        <v>估价对象XX用房的比较价值（楼面单价，元/平方米）</v>
      </c>
      <c r="Q50" s="3343"/>
      <c r="R50" s="3344" t="e">
        <f>IF(F1="售价",ROUND(IF(D49="简单平均",AVERAGE(R49:V49),R49*F49+T49*H49+V49*J49),0),ROUND(IF(D49="简单平均",AVERAGE(R49:V49),R49*F49+T49*H49+V49*J49),1))</f>
        <v>#DIV/0!</v>
      </c>
      <c r="S50" s="3344"/>
      <c r="T50" s="3344"/>
      <c r="U50" s="3344"/>
      <c r="V50" s="3344"/>
      <c r="W50" s="334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2.2" thickBot="1">
      <c r="A58" s="703" t="s">
        <v>2489</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4.4">
      <c r="A59" s="462" t="s">
        <v>2363</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8"/>
      <c r="Q59" s="2970"/>
      <c r="R59" s="2970"/>
      <c r="S59" s="2970"/>
      <c r="T59" s="2970"/>
      <c r="U59" s="2970"/>
      <c r="V59" s="2970"/>
      <c r="W59" s="2970"/>
      <c r="X59" s="2970"/>
      <c r="Y59" s="2970"/>
      <c r="Z59" s="2970"/>
      <c r="AA59" s="2970"/>
      <c r="AB59" s="2970"/>
      <c r="AC59" s="2970"/>
    </row>
    <row r="60" spans="1:29" s="113" customFormat="1">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 thickBot="1">
      <c r="A61" s="472" t="s">
        <v>2400</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4.4">
      <c r="A62" s="478" t="s">
        <v>2365</v>
      </c>
      <c r="B62" s="467"/>
      <c r="C62" s="479" t="s">
        <v>2467</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4.4"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ht="14.4">
      <c r="A64" s="484" t="s">
        <v>2403</v>
      </c>
      <c r="B64" s="485" t="s">
        <v>2369</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4.4"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9.4" thickTop="1">
      <c r="A66" s="491"/>
      <c r="B66" s="495" t="s">
        <v>2372</v>
      </c>
      <c r="C66" s="496" t="s">
        <v>2404</v>
      </c>
      <c r="D66" s="496" t="s">
        <v>2405</v>
      </c>
      <c r="E66" s="496" t="s">
        <v>2406</v>
      </c>
      <c r="F66" s="496" t="s">
        <v>2407</v>
      </c>
      <c r="G66" s="496" t="s">
        <v>2408</v>
      </c>
      <c r="H66" s="496" t="s">
        <v>2409</v>
      </c>
      <c r="I66" s="496" t="s">
        <v>2410</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4.4"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4.4"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4.4"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4.4"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4.4"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4.4"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ht="14.4">
      <c r="A77" s="484" t="s">
        <v>2374</v>
      </c>
      <c r="B77" s="485" t="s">
        <v>2512</v>
      </c>
      <c r="C77" s="530" t="s">
        <v>2412</v>
      </c>
      <c r="D77" s="530" t="s">
        <v>2413</v>
      </c>
      <c r="E77" s="530" t="s">
        <v>2414</v>
      </c>
      <c r="F77" s="530" t="s">
        <v>2415</v>
      </c>
      <c r="G77" s="530" t="s">
        <v>2416</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 thickTop="1">
      <c r="A79" s="491"/>
      <c r="B79" s="495" t="s">
        <v>2417</v>
      </c>
      <c r="C79" s="535" t="s">
        <v>2412</v>
      </c>
      <c r="D79" s="535" t="s">
        <v>2413</v>
      </c>
      <c r="E79" s="535" t="s">
        <v>2414</v>
      </c>
      <c r="F79" s="535" t="s">
        <v>2415</v>
      </c>
      <c r="G79" s="535" t="s">
        <v>2416</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 thickTop="1">
      <c r="A81" s="491"/>
      <c r="B81" s="495" t="s">
        <v>2418</v>
      </c>
      <c r="C81" s="535" t="s">
        <v>2412</v>
      </c>
      <c r="D81" s="535" t="s">
        <v>2413</v>
      </c>
      <c r="E81" s="535" t="s">
        <v>2414</v>
      </c>
      <c r="F81" s="535" t="s">
        <v>2415</v>
      </c>
      <c r="G81" s="535" t="s">
        <v>2416</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 thickTop="1">
      <c r="A83" s="491"/>
      <c r="B83" s="503" t="s">
        <v>2504</v>
      </c>
      <c r="C83" s="616" t="s">
        <v>2490</v>
      </c>
      <c r="D83" s="616" t="s">
        <v>2491</v>
      </c>
      <c r="E83" s="616" t="s">
        <v>2492</v>
      </c>
      <c r="F83" s="616" t="s">
        <v>2493</v>
      </c>
      <c r="G83" s="616" t="s">
        <v>2494</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 thickTop="1">
      <c r="A85" s="491"/>
      <c r="B85" s="495" t="s">
        <v>2513</v>
      </c>
      <c r="C85" s="535" t="s">
        <v>2412</v>
      </c>
      <c r="D85" s="535" t="s">
        <v>2413</v>
      </c>
      <c r="E85" s="535" t="s">
        <v>2414</v>
      </c>
      <c r="F85" s="535" t="s">
        <v>2415</v>
      </c>
      <c r="G85" s="535" t="s">
        <v>2416</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9.4" thickTop="1">
      <c r="A87" s="536"/>
      <c r="B87" s="495" t="s">
        <v>2514</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4.4"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4.4"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4.4"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4.4"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4.4"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4.4"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4.4"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4.4"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ht="14.4">
      <c r="A101" s="484" t="s">
        <v>2378</v>
      </c>
      <c r="B101" s="485" t="s">
        <v>2427</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4.4"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2429</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2431</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2515</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2432</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2433</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2516</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2499</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4.4"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2435</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29.4" thickTop="1">
      <c r="A125" s="556"/>
      <c r="B125" s="495" t="s">
        <v>2436</v>
      </c>
      <c r="C125" s="535" t="s">
        <v>2412</v>
      </c>
      <c r="D125" s="535" t="s">
        <v>2413</v>
      </c>
      <c r="E125" s="535" t="s">
        <v>2414</v>
      </c>
      <c r="F125" s="535" t="s">
        <v>2415</v>
      </c>
      <c r="G125" s="535" t="s">
        <v>2416</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4.4"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4.4"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4.4"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4.4"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4.4"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4.4"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1576</v>
      </c>
    </row>
    <row r="2" spans="1:1">
      <c r="A2" s="1663"/>
    </row>
    <row r="3" spans="1:1" ht="17.399999999999999">
      <c r="A3" s="1664" t="str">
        <f>项目基本情况!B5&amp;"："</f>
        <v>：</v>
      </c>
    </row>
    <row r="4" spans="1:1" ht="17.399999999999999">
      <c r="A4" s="1665" t="str">
        <f>"受贵公司委托，我公司对"&amp;项目基本情况!S1&amp;"进行了预评估。"</f>
        <v>受贵公司委托，我公司对北京市房地产抵押价值进行了预评估。</v>
      </c>
    </row>
    <row r="5" spans="1:1" ht="17.399999999999999">
      <c r="A5" s="1666" t="s">
        <v>1577</v>
      </c>
    </row>
    <row r="6" spans="1:1" ht="17.399999999999999">
      <c r="A6" s="1667" t="s">
        <v>1578</v>
      </c>
    </row>
    <row r="7" spans="1:1" ht="52.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估价对象为北京市房地产，为所有。根据《国有土地使用证》[]，估价对象（分摊）出让国有建设用地使用权面积为9053.6平方米，建筑面积为13846.8平方米。</v>
      </c>
    </row>
    <row r="8" spans="1:1" ht="54.6">
      <c r="A8" s="1668" t="s">
        <v>1579</v>
      </c>
    </row>
    <row r="9" spans="1:1" ht="17.399999999999999">
      <c r="A9" s="1667" t="s">
        <v>1580</v>
      </c>
    </row>
    <row r="10" spans="1:1" ht="52.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估价对象为北京市房地产,属开发建设的工业项目，该项目尚在开发建设中。根据《国有土地使用证》[]，估价对象（分摊）出让国有建设用地使用权面积为9053.6平方米，规划建筑面积为13846.8平方米。</v>
      </c>
    </row>
    <row r="11" spans="1:1" ht="72">
      <c r="A11" s="1668" t="s">
        <v>1581</v>
      </c>
    </row>
    <row r="12" spans="1:1" ht="17.399999999999999">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70" t="s">
        <v>1583</v>
      </c>
    </row>
    <row r="15" spans="1:1" ht="17.399999999999999">
      <c r="A15" s="1671" t="str">
        <f>TEXT(项目基本情况!D3,"yyyy年m月d日;;")&amp;IF(项目基本情况!D3=项目基本情况!B3,"（评估专业人员实地查勘之日）","")</f>
        <v>2021年7月8日（评估专业人员实地查勘之日）</v>
      </c>
    </row>
    <row r="16" spans="1:1" ht="17.399999999999999">
      <c r="A16" s="1670" t="s">
        <v>1584</v>
      </c>
    </row>
    <row r="17" spans="1:1" ht="69.599999999999994">
      <c r="A17" s="1665" t="s">
        <v>1585</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0" t="s">
        <v>1574</v>
      </c>
    </row>
    <row r="24" spans="1:1" ht="17.399999999999999">
      <c r="A24" s="1672" t="str">
        <f>"本次评估采用的主估价方法为"&amp;结果表!K4&amp;"和"&amp;结果表!L4&amp;"。"</f>
        <v>本次评估采用的主估价方法为成本法和收益法。</v>
      </c>
    </row>
    <row r="25" spans="1:1" ht="17.399999999999999">
      <c r="A25" s="1672"/>
    </row>
    <row r="26" spans="1:1" ht="17.399999999999999">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7"/>
      <c r="D2" s="1038" t="e">
        <f ca="1">SUMIF(INDIRECT("'"&amp;F2&amp;"'"&amp;"!A:A"),"承租人权益价值",INDIRECT("'"&amp;F2&amp;"'"&amp;"!c:c"))</f>
        <v>#REF!</v>
      </c>
      <c r="E2" s="2068" t="s">
        <v>2143</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13846.800000000001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2460</v>
      </c>
      <c r="B4" s="362"/>
      <c r="C4" s="3314" t="s">
        <v>2461</v>
      </c>
      <c r="D4" s="3315"/>
      <c r="E4" s="3316" t="s">
        <v>2462</v>
      </c>
      <c r="F4" s="3317"/>
      <c r="G4" s="3314" t="s">
        <v>2463</v>
      </c>
      <c r="H4" s="3315"/>
      <c r="I4" s="3314" t="s">
        <v>2464</v>
      </c>
      <c r="J4" s="3315"/>
      <c r="K4" s="567" t="s">
        <v>2465</v>
      </c>
      <c r="L4" s="1044"/>
      <c r="M4" s="1045"/>
      <c r="N4" s="1045"/>
      <c r="O4" s="1045"/>
      <c r="P4" s="3318" t="s">
        <v>2466</v>
      </c>
      <c r="Q4" s="3319"/>
      <c r="R4" s="3324" t="s">
        <v>2462</v>
      </c>
      <c r="S4" s="3325"/>
      <c r="T4" s="3324" t="s">
        <v>2463</v>
      </c>
      <c r="U4" s="3325"/>
      <c r="V4" s="3330" t="s">
        <v>2464</v>
      </c>
      <c r="W4" s="3330"/>
      <c r="X4" s="1539"/>
      <c r="Y4" s="3324" t="s">
        <v>2466</v>
      </c>
      <c r="Z4" s="3325"/>
      <c r="AA4" s="3311" t="s">
        <v>2462</v>
      </c>
      <c r="AB4" s="3312" t="s">
        <v>2463</v>
      </c>
      <c r="AC4" s="3311" t="s">
        <v>2464</v>
      </c>
    </row>
    <row r="5" spans="1:29">
      <c r="A5" s="364"/>
      <c r="B5" s="365"/>
      <c r="C5" s="3333" t="s">
        <v>2357</v>
      </c>
      <c r="D5" s="3334"/>
      <c r="E5" s="3340" t="s">
        <v>2358</v>
      </c>
      <c r="F5" s="3341"/>
      <c r="G5" s="3333" t="s">
        <v>2359</v>
      </c>
      <c r="H5" s="3334"/>
      <c r="I5" s="3333" t="s">
        <v>2360</v>
      </c>
      <c r="J5" s="3334"/>
      <c r="K5" s="567"/>
      <c r="L5" s="1044"/>
      <c r="M5" s="1045"/>
      <c r="N5" s="1045"/>
      <c r="O5" s="1045"/>
      <c r="P5" s="3320"/>
      <c r="Q5" s="3321"/>
      <c r="R5" s="3326"/>
      <c r="S5" s="3327"/>
      <c r="T5" s="3326"/>
      <c r="U5" s="3327"/>
      <c r="V5" s="3330"/>
      <c r="W5" s="3330"/>
      <c r="X5" s="1539"/>
      <c r="Y5" s="3326"/>
      <c r="Z5" s="3327"/>
      <c r="AA5" s="3312"/>
      <c r="AB5" s="3312"/>
      <c r="AC5" s="3312"/>
    </row>
    <row r="6" spans="1:29" ht="15" thickBot="1">
      <c r="A6" s="366"/>
      <c r="B6" s="367"/>
      <c r="C6" s="3331" t="s">
        <v>2361</v>
      </c>
      <c r="D6" s="3332"/>
      <c r="E6" s="3338" t="s">
        <v>2361</v>
      </c>
      <c r="F6" s="3339"/>
      <c r="G6" s="3331" t="s">
        <v>2361</v>
      </c>
      <c r="H6" s="3332"/>
      <c r="I6" s="3331" t="s">
        <v>2361</v>
      </c>
      <c r="J6" s="3332"/>
      <c r="K6" s="567" t="s">
        <v>2362</v>
      </c>
      <c r="L6" s="1044"/>
      <c r="M6" s="1045"/>
      <c r="N6" s="1045"/>
      <c r="O6" s="1045"/>
      <c r="P6" s="3322"/>
      <c r="Q6" s="3323"/>
      <c r="R6" s="3326"/>
      <c r="S6" s="3327"/>
      <c r="T6" s="3328"/>
      <c r="U6" s="3329"/>
      <c r="V6" s="3330"/>
      <c r="W6" s="3330"/>
      <c r="X6" s="1539"/>
      <c r="Y6" s="3328"/>
      <c r="Z6" s="3329"/>
      <c r="AA6" s="3313"/>
      <c r="AB6" s="3313"/>
      <c r="AC6" s="3313"/>
    </row>
    <row r="7" spans="1:29" s="113" customFormat="1" ht="15" thickBot="1">
      <c r="A7" s="368" t="s">
        <v>2363</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5" t="s">
        <v>2364</v>
      </c>
      <c r="Q7" s="3337"/>
      <c r="R7" s="710" t="s">
        <v>17</v>
      </c>
      <c r="S7" s="711">
        <f t="shared" ref="S7:S15" si="0">F7</f>
        <v>0</v>
      </c>
      <c r="T7" s="710" t="s">
        <v>17</v>
      </c>
      <c r="U7" s="711">
        <f t="shared" ref="U7:U15" si="1">H7</f>
        <v>0</v>
      </c>
      <c r="V7" s="710" t="s">
        <v>17</v>
      </c>
      <c r="W7" s="711">
        <f t="shared" ref="W7:W15" si="2">J7</f>
        <v>0</v>
      </c>
      <c r="X7" s="712"/>
      <c r="Y7" s="3335" t="s">
        <v>2364</v>
      </c>
      <c r="Z7" s="3336"/>
      <c r="AA7" s="713" t="e">
        <f>D7/F7</f>
        <v>#DIV/0!</v>
      </c>
      <c r="AB7" s="713" t="e">
        <f>D7/H7</f>
        <v>#DIV/0!</v>
      </c>
      <c r="AC7" s="713" t="e">
        <f>D7/J7</f>
        <v>#DIV/0!</v>
      </c>
    </row>
    <row r="8" spans="1:29" s="113" customFormat="1" ht="1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5" t="s">
        <v>2367</v>
      </c>
      <c r="Q8" s="3336"/>
      <c r="R8" s="710" t="s">
        <v>17</v>
      </c>
      <c r="S8" s="711">
        <f t="shared" si="0"/>
        <v>0</v>
      </c>
      <c r="T8" s="710" t="s">
        <v>17</v>
      </c>
      <c r="U8" s="711">
        <f t="shared" si="1"/>
        <v>0</v>
      </c>
      <c r="V8" s="710" t="s">
        <v>17</v>
      </c>
      <c r="W8" s="711">
        <f t="shared" si="2"/>
        <v>0</v>
      </c>
      <c r="X8" s="712"/>
      <c r="Y8" s="3335" t="s">
        <v>2367</v>
      </c>
      <c r="Z8" s="3336"/>
      <c r="AA8" s="713" t="e">
        <f t="shared" ref="AA8:AA40" si="3">D8/F8</f>
        <v>#DIV/0!</v>
      </c>
      <c r="AB8" s="713" t="e">
        <f t="shared" ref="AB8:AB40" si="4">D8/H8</f>
        <v>#DIV/0!</v>
      </c>
      <c r="AC8" s="713" t="e">
        <f t="shared" ref="AC8:AC40" si="5">D8/J8</f>
        <v>#DIV/0!</v>
      </c>
    </row>
    <row r="9" spans="1:29" s="113" customFormat="1" ht="14.4">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9"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713">
        <f t="shared" si="5"/>
        <v>1</v>
      </c>
    </row>
    <row r="10" spans="1:29" s="386" customFormat="1" ht="28.8">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9"/>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9"/>
      <c r="Q11" s="1527"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9"/>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9"/>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9"/>
      <c r="Q14" s="1527">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69">
      <c r="A15" s="399" t="s">
        <v>2374</v>
      </c>
      <c r="B15" s="65" t="s">
        <v>2518</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1" t="s">
        <v>2375</v>
      </c>
      <c r="Q15" s="1536" t="str">
        <f t="shared" si="6"/>
        <v>产业集聚程度</v>
      </c>
      <c r="R15" s="714" t="s">
        <v>17</v>
      </c>
      <c r="S15" s="715">
        <f t="shared" si="0"/>
        <v>100</v>
      </c>
      <c r="T15" s="714" t="s">
        <v>17</v>
      </c>
      <c r="U15" s="715">
        <f t="shared" si="1"/>
        <v>100</v>
      </c>
      <c r="V15" s="714" t="s">
        <v>17</v>
      </c>
      <c r="W15" s="715">
        <f t="shared" si="2"/>
        <v>100</v>
      </c>
      <c r="X15" s="1539"/>
      <c r="Y15" s="3301" t="s">
        <v>2375</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2"/>
      <c r="Q16" s="1536"/>
      <c r="R16" s="714"/>
      <c r="S16" s="715"/>
      <c r="T16" s="714"/>
      <c r="U16" s="715"/>
      <c r="V16" s="714"/>
      <c r="W16" s="715"/>
      <c r="X16" s="1539"/>
      <c r="Y16" s="3302"/>
      <c r="Z16" s="1540"/>
      <c r="AA16" s="1537">
        <v>1</v>
      </c>
      <c r="AB16" s="1537">
        <v>1</v>
      </c>
      <c r="AC16" s="1537">
        <v>1</v>
      </c>
    </row>
    <row r="17" spans="1:29" ht="96.6">
      <c r="A17" s="387"/>
      <c r="B17" s="410" t="s">
        <v>1942</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2"/>
      <c r="Q17" s="1536" t="str">
        <f>B17</f>
        <v>交通便捷度</v>
      </c>
      <c r="R17" s="714" t="s">
        <v>17</v>
      </c>
      <c r="S17" s="715">
        <f>F17</f>
        <v>100</v>
      </c>
      <c r="T17" s="714" t="s">
        <v>17</v>
      </c>
      <c r="U17" s="715">
        <f>H17</f>
        <v>100</v>
      </c>
      <c r="V17" s="714" t="s">
        <v>17</v>
      </c>
      <c r="W17" s="715">
        <f>J17</f>
        <v>100</v>
      </c>
      <c r="X17" s="1539"/>
      <c r="Y17" s="330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02"/>
      <c r="Q18" s="1536"/>
      <c r="R18" s="714"/>
      <c r="S18" s="715"/>
      <c r="T18" s="714"/>
      <c r="U18" s="715"/>
      <c r="V18" s="714"/>
      <c r="W18" s="715"/>
      <c r="X18" s="1539"/>
      <c r="Y18" s="3302"/>
      <c r="Z18" s="1540"/>
      <c r="AA18" s="1537">
        <v>1</v>
      </c>
      <c r="AB18" s="1537">
        <v>1</v>
      </c>
      <c r="AC18" s="1537">
        <v>1</v>
      </c>
    </row>
    <row r="19" spans="1:29" ht="41.4">
      <c r="A19" s="387"/>
      <c r="B19" s="410" t="s">
        <v>2503</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2"/>
      <c r="Q19" s="1536" t="str">
        <f>B19</f>
        <v>公共配套设施</v>
      </c>
      <c r="R19" s="714" t="s">
        <v>17</v>
      </c>
      <c r="S19" s="715">
        <f>F19</f>
        <v>100</v>
      </c>
      <c r="T19" s="714" t="s">
        <v>17</v>
      </c>
      <c r="U19" s="715">
        <f>H19</f>
        <v>100</v>
      </c>
      <c r="V19" s="714" t="s">
        <v>17</v>
      </c>
      <c r="W19" s="715">
        <f>J19</f>
        <v>100</v>
      </c>
      <c r="X19" s="1539"/>
      <c r="Y19" s="330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02"/>
      <c r="Q20" s="1536"/>
      <c r="R20" s="714"/>
      <c r="S20" s="715"/>
      <c r="T20" s="714"/>
      <c r="U20" s="715"/>
      <c r="V20" s="714"/>
      <c r="W20" s="715"/>
      <c r="X20" s="1539"/>
      <c r="Y20" s="3302"/>
      <c r="Z20" s="1540"/>
      <c r="AA20" s="1537">
        <v>1</v>
      </c>
      <c r="AB20" s="1537">
        <v>1</v>
      </c>
      <c r="AC20" s="1537">
        <v>1</v>
      </c>
    </row>
    <row r="21" spans="1:29" ht="41.4">
      <c r="A21" s="387"/>
      <c r="B21" s="1293" t="s">
        <v>2504</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2"/>
      <c r="Q21" s="1536" t="str">
        <f>B21</f>
        <v>基础设施水平</v>
      </c>
      <c r="R21" s="714" t="s">
        <v>17</v>
      </c>
      <c r="S21" s="715">
        <f>F21</f>
        <v>100</v>
      </c>
      <c r="T21" s="714" t="s">
        <v>17</v>
      </c>
      <c r="U21" s="715">
        <f>H21</f>
        <v>100</v>
      </c>
      <c r="V21" s="714" t="s">
        <v>17</v>
      </c>
      <c r="W21" s="715">
        <f>J21</f>
        <v>100</v>
      </c>
      <c r="X21" s="1539"/>
      <c r="Y21" s="330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02"/>
      <c r="Q22" s="1536"/>
      <c r="R22" s="714"/>
      <c r="S22" s="715"/>
      <c r="T22" s="714"/>
      <c r="U22" s="715"/>
      <c r="V22" s="714"/>
      <c r="W22" s="715"/>
      <c r="X22" s="1539"/>
      <c r="Y22" s="3302"/>
      <c r="Z22" s="1540"/>
      <c r="AA22" s="1537">
        <v>1</v>
      </c>
      <c r="AB22" s="1537">
        <v>1</v>
      </c>
      <c r="AC22" s="1537">
        <v>1</v>
      </c>
    </row>
    <row r="23" spans="1:29" ht="82.8">
      <c r="A23" s="387"/>
      <c r="B23" s="410" t="s">
        <v>2505</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2"/>
      <c r="Q23" s="1536" t="str">
        <f>B23</f>
        <v>环境质量</v>
      </c>
      <c r="R23" s="714" t="s">
        <v>17</v>
      </c>
      <c r="S23" s="715">
        <f>F23</f>
        <v>100</v>
      </c>
      <c r="T23" s="714" t="s">
        <v>17</v>
      </c>
      <c r="U23" s="715">
        <f>H23</f>
        <v>100</v>
      </c>
      <c r="V23" s="714" t="s">
        <v>17</v>
      </c>
      <c r="W23" s="715">
        <f>J23</f>
        <v>100</v>
      </c>
      <c r="X23" s="1539"/>
      <c r="Y23" s="330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02"/>
      <c r="Q24" s="1536"/>
      <c r="R24" s="714"/>
      <c r="S24" s="715"/>
      <c r="T24" s="714"/>
      <c r="U24" s="715"/>
      <c r="V24" s="714"/>
      <c r="W24" s="715"/>
      <c r="X24" s="1539"/>
      <c r="Y24" s="330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2"/>
      <c r="Q25" s="1536">
        <f>B25</f>
        <v>111</v>
      </c>
      <c r="R25" s="714" t="s">
        <v>17</v>
      </c>
      <c r="S25" s="715">
        <f>F25</f>
        <v>100</v>
      </c>
      <c r="T25" s="714" t="s">
        <v>17</v>
      </c>
      <c r="U25" s="715">
        <f>H25</f>
        <v>100</v>
      </c>
      <c r="V25" s="714" t="s">
        <v>17</v>
      </c>
      <c r="W25" s="715">
        <f>J25</f>
        <v>100</v>
      </c>
      <c r="X25" s="1539"/>
      <c r="Y25" s="330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2"/>
      <c r="Q26" s="1536">
        <f t="shared" ref="Q26:Q40" si="11">B26</f>
        <v>111</v>
      </c>
      <c r="R26" s="714" t="s">
        <v>17</v>
      </c>
      <c r="S26" s="715">
        <f>F26</f>
        <v>100</v>
      </c>
      <c r="T26" s="714" t="s">
        <v>17</v>
      </c>
      <c r="U26" s="715">
        <f>H26</f>
        <v>100</v>
      </c>
      <c r="V26" s="714" t="s">
        <v>17</v>
      </c>
      <c r="W26" s="715">
        <f>J26</f>
        <v>100</v>
      </c>
      <c r="X26" s="1539"/>
      <c r="Y26" s="330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2"/>
      <c r="Q27" s="1527">
        <f t="shared" si="11"/>
        <v>111</v>
      </c>
      <c r="R27" s="710" t="s">
        <v>17</v>
      </c>
      <c r="S27" s="711">
        <f>F27</f>
        <v>100</v>
      </c>
      <c r="T27" s="710" t="s">
        <v>17</v>
      </c>
      <c r="U27" s="711">
        <f>H27</f>
        <v>100</v>
      </c>
      <c r="V27" s="710" t="s">
        <v>17</v>
      </c>
      <c r="W27" s="711">
        <f>J27</f>
        <v>100</v>
      </c>
      <c r="X27" s="712"/>
      <c r="Y27" s="3302"/>
      <c r="Z27" s="55">
        <f>Q27</f>
        <v>111</v>
      </c>
      <c r="AA27" s="1537">
        <f>D27/F27</f>
        <v>1</v>
      </c>
      <c r="AB27" s="1537">
        <f>D27/H27</f>
        <v>1</v>
      </c>
      <c r="AC27" s="1537">
        <f>D27/J27</f>
        <v>1</v>
      </c>
    </row>
    <row r="28" spans="1:29" ht="15.6"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2"/>
      <c r="Q28" s="1536">
        <f t="shared" si="11"/>
        <v>111</v>
      </c>
      <c r="R28" s="714" t="s">
        <v>17</v>
      </c>
      <c r="S28" s="715">
        <f t="shared" ref="S28:S40" si="12">F28</f>
        <v>100</v>
      </c>
      <c r="T28" s="714" t="s">
        <v>17</v>
      </c>
      <c r="U28" s="715">
        <f t="shared" ref="U28:U40" si="13">H28</f>
        <v>100</v>
      </c>
      <c r="V28" s="714" t="s">
        <v>17</v>
      </c>
      <c r="W28" s="715">
        <f t="shared" ref="W28:W40" si="14">J28</f>
        <v>100</v>
      </c>
      <c r="X28" s="1539"/>
      <c r="Y28" s="3302"/>
      <c r="Z28" s="1540">
        <f t="shared" ref="Z28:Z40" si="15">Q28</f>
        <v>111</v>
      </c>
      <c r="AA28" s="1537">
        <f t="shared" si="3"/>
        <v>1</v>
      </c>
      <c r="AB28" s="1537">
        <f t="shared" si="4"/>
        <v>1</v>
      </c>
      <c r="AC28" s="1537">
        <f t="shared" si="5"/>
        <v>1</v>
      </c>
    </row>
    <row r="29" spans="1:29" ht="30">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7" t="s">
        <v>2380</v>
      </c>
      <c r="Q29" s="1536" t="str">
        <f t="shared" si="11"/>
        <v>建筑类型</v>
      </c>
      <c r="R29" s="714" t="s">
        <v>17</v>
      </c>
      <c r="S29" s="715">
        <f t="shared" si="12"/>
        <v>100</v>
      </c>
      <c r="T29" s="714" t="s">
        <v>17</v>
      </c>
      <c r="U29" s="715">
        <f t="shared" si="13"/>
        <v>100</v>
      </c>
      <c r="V29" s="714" t="s">
        <v>17</v>
      </c>
      <c r="W29" s="715">
        <f t="shared" si="14"/>
        <v>100</v>
      </c>
      <c r="X29" s="1539"/>
      <c r="Y29" s="3306" t="s">
        <v>2380</v>
      </c>
      <c r="Z29" s="1540" t="str">
        <f t="shared" si="15"/>
        <v>建筑类型</v>
      </c>
      <c r="AA29" s="1537">
        <f t="shared" si="3"/>
        <v>1</v>
      </c>
      <c r="AB29" s="1537">
        <f t="shared" si="4"/>
        <v>1</v>
      </c>
      <c r="AC29" s="1537">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06"/>
      <c r="Q30" s="716" t="str">
        <f t="shared" si="11"/>
        <v>项目建筑规模</v>
      </c>
      <c r="R30" s="717" t="s">
        <v>17</v>
      </c>
      <c r="S30" s="718" t="e">
        <f t="shared" si="12"/>
        <v>#N/A</v>
      </c>
      <c r="T30" s="717" t="s">
        <v>17</v>
      </c>
      <c r="U30" s="718" t="e">
        <f t="shared" si="13"/>
        <v>#N/A</v>
      </c>
      <c r="V30" s="717" t="s">
        <v>17</v>
      </c>
      <c r="W30" s="718" t="e">
        <f t="shared" si="14"/>
        <v>#N/A</v>
      </c>
      <c r="X30" s="719"/>
      <c r="Y30" s="3306"/>
      <c r="Z30" s="720" t="str">
        <f t="shared" si="15"/>
        <v>项目建筑规模</v>
      </c>
      <c r="AA30" s="1537" t="e">
        <f t="shared" si="3"/>
        <v>#N/A</v>
      </c>
      <c r="AB30" s="1537" t="e">
        <f t="shared" si="4"/>
        <v>#N/A</v>
      </c>
      <c r="AC30" s="1537"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06"/>
      <c r="Q31" s="1536" t="str">
        <f t="shared" si="11"/>
        <v>建筑结构</v>
      </c>
      <c r="R31" s="714" t="s">
        <v>17</v>
      </c>
      <c r="S31" s="715">
        <f t="shared" si="12"/>
        <v>100</v>
      </c>
      <c r="T31" s="714" t="s">
        <v>17</v>
      </c>
      <c r="U31" s="715">
        <f t="shared" si="13"/>
        <v>100</v>
      </c>
      <c r="V31" s="714" t="s">
        <v>17</v>
      </c>
      <c r="W31" s="715">
        <f t="shared" si="14"/>
        <v>100</v>
      </c>
      <c r="X31" s="1539"/>
      <c r="Y31" s="3306"/>
      <c r="Z31" s="1540" t="str">
        <f t="shared" si="15"/>
        <v>建筑结构</v>
      </c>
      <c r="AA31" s="1537">
        <f t="shared" si="3"/>
        <v>1</v>
      </c>
      <c r="AB31" s="1537">
        <f t="shared" si="4"/>
        <v>1</v>
      </c>
      <c r="AC31" s="1537">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06"/>
      <c r="Q32" s="1536" t="str">
        <f t="shared" si="11"/>
        <v>公共部分装修</v>
      </c>
      <c r="R32" s="714" t="s">
        <v>17</v>
      </c>
      <c r="S32" s="715">
        <f t="shared" si="12"/>
        <v>100</v>
      </c>
      <c r="T32" s="714" t="s">
        <v>17</v>
      </c>
      <c r="U32" s="715">
        <f t="shared" si="13"/>
        <v>100</v>
      </c>
      <c r="V32" s="714" t="s">
        <v>17</v>
      </c>
      <c r="W32" s="715">
        <f t="shared" si="14"/>
        <v>100</v>
      </c>
      <c r="X32" s="1539"/>
      <c r="Y32" s="3306"/>
      <c r="Z32" s="1540" t="str">
        <f t="shared" si="15"/>
        <v>公共部分装修</v>
      </c>
      <c r="AA32" s="1537">
        <f t="shared" si="3"/>
        <v>1</v>
      </c>
      <c r="AB32" s="1537">
        <f t="shared" si="4"/>
        <v>1</v>
      </c>
      <c r="AC32" s="1537">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06"/>
      <c r="Q33" s="1536" t="str">
        <f t="shared" si="11"/>
        <v>成新度</v>
      </c>
      <c r="R33" s="714" t="s">
        <v>17</v>
      </c>
      <c r="S33" s="715" t="e">
        <f t="shared" si="12"/>
        <v>#N/A</v>
      </c>
      <c r="T33" s="714" t="s">
        <v>17</v>
      </c>
      <c r="U33" s="715" t="e">
        <f t="shared" si="13"/>
        <v>#N/A</v>
      </c>
      <c r="V33" s="714" t="s">
        <v>17</v>
      </c>
      <c r="W33" s="715" t="e">
        <f t="shared" si="14"/>
        <v>#N/A</v>
      </c>
      <c r="X33" s="1539"/>
      <c r="Y33" s="3306"/>
      <c r="Z33" s="1540" t="str">
        <f t="shared" si="15"/>
        <v>成新度</v>
      </c>
      <c r="AA33" s="1537" t="e">
        <f t="shared" si="3"/>
        <v>#N/A</v>
      </c>
      <c r="AB33" s="1537" t="e">
        <f t="shared" si="4"/>
        <v>#N/A</v>
      </c>
      <c r="AC33" s="1537"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06"/>
      <c r="Q34" s="1527" t="str">
        <f t="shared" si="11"/>
        <v>物业管理</v>
      </c>
      <c r="R34" s="710" t="s">
        <v>17</v>
      </c>
      <c r="S34" s="711">
        <f t="shared" si="12"/>
        <v>100</v>
      </c>
      <c r="T34" s="710" t="s">
        <v>17</v>
      </c>
      <c r="U34" s="711">
        <f t="shared" si="13"/>
        <v>100</v>
      </c>
      <c r="V34" s="710" t="s">
        <v>17</v>
      </c>
      <c r="W34" s="711">
        <f t="shared" si="14"/>
        <v>100</v>
      </c>
      <c r="X34" s="712"/>
      <c r="Y34" s="3306"/>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06" t="s">
        <v>2380</v>
      </c>
      <c r="Q35" s="1536" t="str">
        <f t="shared" si="11"/>
        <v>市政基础设施</v>
      </c>
      <c r="R35" s="714" t="s">
        <v>17</v>
      </c>
      <c r="S35" s="715">
        <f t="shared" si="12"/>
        <v>100</v>
      </c>
      <c r="T35" s="714" t="s">
        <v>17</v>
      </c>
      <c r="U35" s="715">
        <f t="shared" si="13"/>
        <v>100</v>
      </c>
      <c r="V35" s="714" t="s">
        <v>17</v>
      </c>
      <c r="W35" s="715">
        <f t="shared" si="14"/>
        <v>100</v>
      </c>
      <c r="X35" s="1539"/>
      <c r="Y35" s="3306" t="s">
        <v>2380</v>
      </c>
      <c r="Z35" s="1540" t="str">
        <f t="shared" si="15"/>
        <v>市政基础设施</v>
      </c>
      <c r="AA35" s="1537">
        <f t="shared" si="3"/>
        <v>1</v>
      </c>
      <c r="AB35" s="1537">
        <f t="shared" si="4"/>
        <v>1</v>
      </c>
      <c r="AC35" s="1537">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06"/>
      <c r="Q36" s="1536" t="str">
        <f t="shared" si="11"/>
        <v>内部装修</v>
      </c>
      <c r="R36" s="714" t="s">
        <v>17</v>
      </c>
      <c r="S36" s="715">
        <f t="shared" si="12"/>
        <v>100</v>
      </c>
      <c r="T36" s="714" t="s">
        <v>17</v>
      </c>
      <c r="U36" s="715">
        <f t="shared" si="13"/>
        <v>100</v>
      </c>
      <c r="V36" s="714" t="s">
        <v>17</v>
      </c>
      <c r="W36" s="715">
        <f t="shared" si="14"/>
        <v>100</v>
      </c>
      <c r="X36" s="1539"/>
      <c r="Y36" s="3306"/>
      <c r="Z36" s="1540" t="str">
        <f t="shared" si="15"/>
        <v>内部装修</v>
      </c>
      <c r="AA36" s="1537">
        <f t="shared" si="3"/>
        <v>1</v>
      </c>
      <c r="AB36" s="1537">
        <f t="shared" si="4"/>
        <v>1</v>
      </c>
      <c r="AC36" s="1537">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06"/>
      <c r="Q37" s="1536" t="str">
        <f t="shared" si="11"/>
        <v>内部装修状况</v>
      </c>
      <c r="R37" s="714" t="s">
        <v>17</v>
      </c>
      <c r="S37" s="715">
        <f t="shared" si="12"/>
        <v>100</v>
      </c>
      <c r="T37" s="714" t="s">
        <v>17</v>
      </c>
      <c r="U37" s="715">
        <f t="shared" si="13"/>
        <v>100</v>
      </c>
      <c r="V37" s="714" t="s">
        <v>17</v>
      </c>
      <c r="W37" s="715">
        <f t="shared" si="14"/>
        <v>100</v>
      </c>
      <c r="X37" s="1539"/>
      <c r="Y37" s="330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06"/>
      <c r="Q38" s="716">
        <f t="shared" si="11"/>
        <v>111</v>
      </c>
      <c r="R38" s="717" t="s">
        <v>17</v>
      </c>
      <c r="S38" s="718">
        <f t="shared" si="12"/>
        <v>100</v>
      </c>
      <c r="T38" s="717" t="s">
        <v>17</v>
      </c>
      <c r="U38" s="718">
        <f t="shared" si="13"/>
        <v>100</v>
      </c>
      <c r="V38" s="717" t="s">
        <v>17</v>
      </c>
      <c r="W38" s="718">
        <f t="shared" si="14"/>
        <v>100</v>
      </c>
      <c r="X38" s="719"/>
      <c r="Y38" s="330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06"/>
      <c r="Q39" s="1536">
        <f t="shared" si="11"/>
        <v>111</v>
      </c>
      <c r="R39" s="714" t="s">
        <v>17</v>
      </c>
      <c r="S39" s="715">
        <f t="shared" si="12"/>
        <v>100</v>
      </c>
      <c r="T39" s="714" t="s">
        <v>17</v>
      </c>
      <c r="U39" s="715">
        <f t="shared" si="13"/>
        <v>100</v>
      </c>
      <c r="V39" s="714" t="s">
        <v>17</v>
      </c>
      <c r="W39" s="715">
        <f t="shared" si="14"/>
        <v>100</v>
      </c>
      <c r="X39" s="1539"/>
      <c r="Y39" s="3306"/>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07"/>
      <c r="Q40" s="1536">
        <f t="shared" si="11"/>
        <v>111</v>
      </c>
      <c r="R40" s="714" t="s">
        <v>17</v>
      </c>
      <c r="S40" s="715">
        <f t="shared" si="12"/>
        <v>100</v>
      </c>
      <c r="T40" s="714" t="s">
        <v>17</v>
      </c>
      <c r="U40" s="715">
        <f t="shared" si="13"/>
        <v>100</v>
      </c>
      <c r="V40" s="714" t="s">
        <v>17</v>
      </c>
      <c r="W40" s="715">
        <f t="shared" si="14"/>
        <v>100</v>
      </c>
      <c r="X40" s="1539"/>
      <c r="Y40" s="3307"/>
      <c r="Z40" s="1540">
        <f t="shared" si="15"/>
        <v>111</v>
      </c>
      <c r="AA40" s="1537">
        <f t="shared" si="3"/>
        <v>1</v>
      </c>
      <c r="AB40" s="1537">
        <f t="shared" si="4"/>
        <v>1</v>
      </c>
      <c r="AC40" s="1537">
        <f t="shared" si="5"/>
        <v>1</v>
      </c>
    </row>
    <row r="41" spans="1:29" ht="14.4">
      <c r="A41" s="438" t="s">
        <v>2392</v>
      </c>
      <c r="B41" s="439"/>
      <c r="C41" s="1316" t="s">
        <v>1</v>
      </c>
      <c r="D41" s="1317"/>
      <c r="E41" s="1318"/>
      <c r="F41" s="1319"/>
      <c r="G41" s="1320"/>
      <c r="H41" s="1321"/>
      <c r="I41" s="1318"/>
      <c r="J41" s="1321"/>
      <c r="K41" s="723"/>
      <c r="L41" s="1057"/>
      <c r="M41" s="1058"/>
      <c r="N41" s="1045"/>
      <c r="O41" s="1058"/>
      <c r="P41" s="3299" t="str">
        <f>A41</f>
        <v>成交单价（元/平方米）</v>
      </c>
      <c r="Q41" s="3299"/>
      <c r="R41" s="3300">
        <f>E41</f>
        <v>0</v>
      </c>
      <c r="S41" s="3300"/>
      <c r="T41" s="3300">
        <f>G41</f>
        <v>0</v>
      </c>
      <c r="U41" s="3300"/>
      <c r="V41" s="3300">
        <f>I41</f>
        <v>0</v>
      </c>
      <c r="W41" s="3300"/>
      <c r="X41" s="699"/>
      <c r="Y41" s="721"/>
      <c r="Z41" s="699"/>
      <c r="AA41" s="699"/>
      <c r="AB41" s="699"/>
      <c r="AC41" s="699"/>
    </row>
    <row r="42" spans="1:29" ht="15" thickBot="1">
      <c r="A42" s="445" t="s">
        <v>2484</v>
      </c>
      <c r="B42" s="446"/>
      <c r="C42" s="1322" t="e">
        <f>R43</f>
        <v>#DIV/0!</v>
      </c>
      <c r="D42" s="2538" t="s">
        <v>2873</v>
      </c>
      <c r="E42" s="1323" t="e">
        <f>R42</f>
        <v>#DIV/0!</v>
      </c>
      <c r="F42" s="2539"/>
      <c r="G42" s="1322" t="e">
        <f>T42</f>
        <v>#DIV/0!</v>
      </c>
      <c r="H42" s="2539"/>
      <c r="I42" s="1323" t="e">
        <f>V42</f>
        <v>#DIV/0!</v>
      </c>
      <c r="J42" s="2539"/>
      <c r="K42" s="2541">
        <f>F42+H42+J42</f>
        <v>0</v>
      </c>
      <c r="L42" s="1057"/>
      <c r="M42" s="1058"/>
      <c r="N42" s="1045"/>
      <c r="O42" s="1058"/>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699"/>
      <c r="Y42" s="699"/>
      <c r="Z42" s="699"/>
      <c r="AA42" s="699"/>
      <c r="AB42" s="699"/>
      <c r="AC42" s="699"/>
    </row>
    <row r="43" spans="1:29" ht="15" thickBot="1">
      <c r="A43" s="449" t="s">
        <v>2485</v>
      </c>
      <c r="B43" s="450"/>
      <c r="C43" s="1325" t="e">
        <f>R43</f>
        <v>#DIV/0!</v>
      </c>
      <c r="D43" s="1325"/>
      <c r="E43" s="1325"/>
      <c r="F43" s="1325"/>
      <c r="G43" s="1325"/>
      <c r="H43" s="1325"/>
      <c r="I43" s="1325"/>
      <c r="J43" s="1325"/>
      <c r="K43" s="724"/>
      <c r="L43" s="1057"/>
      <c r="M43" s="1058"/>
      <c r="N43" s="1058"/>
      <c r="O43" s="1058"/>
      <c r="P43" s="3296" t="str">
        <f>A43</f>
        <v>估价对象XX用房的比较价值（楼面单价，元/平方米）</v>
      </c>
      <c r="Q43" s="3297"/>
      <c r="R43" s="3298" t="e">
        <f>IF(F1="售价",ROUND(IF(D42="简单平均",AVERAGE(R42:V42),R42*F42+T42*H42+V42*J42),0),ROUND(IF(D42="简单平均",AVERAGE(R42:V42),R42*F42+T42*H42+V42*J42),1))</f>
        <v>#DIV/0!</v>
      </c>
      <c r="S43" s="3298"/>
      <c r="T43" s="3298"/>
      <c r="U43" s="3298"/>
      <c r="V43" s="3298"/>
      <c r="W43" s="329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2.2" thickBot="1">
      <c r="A51" s="703" t="s">
        <v>2489</v>
      </c>
      <c r="B51" s="699"/>
      <c r="C51" s="704"/>
      <c r="D51" s="704"/>
      <c r="E51" s="704"/>
      <c r="F51" s="705"/>
      <c r="G51" s="705"/>
      <c r="H51" s="704"/>
      <c r="I51" s="704"/>
      <c r="J51" s="704"/>
      <c r="K51" s="1072"/>
      <c r="L51" s="1073"/>
      <c r="M51" s="1071"/>
      <c r="N51" s="1071"/>
      <c r="O51" s="1071"/>
      <c r="P51" s="460"/>
      <c r="Q51" s="461"/>
    </row>
    <row r="52" spans="1:17" s="465" customFormat="1" ht="14.4">
      <c r="A52" s="462" t="s">
        <v>2363</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c r="A53" s="466"/>
      <c r="B53" s="467"/>
      <c r="C53" s="1345">
        <v>100</v>
      </c>
      <c r="D53" s="469"/>
      <c r="E53" s="469"/>
      <c r="F53" s="469"/>
      <c r="G53" s="469"/>
      <c r="H53" s="469"/>
      <c r="I53" s="469"/>
      <c r="J53" s="469"/>
      <c r="K53" s="469"/>
      <c r="L53" s="469"/>
      <c r="M53" s="470"/>
      <c r="N53" s="469"/>
      <c r="O53" s="471"/>
      <c r="P53" s="461"/>
    </row>
    <row r="54" spans="1:17" s="113" customFormat="1" ht="15" thickBot="1">
      <c r="A54" s="472" t="s">
        <v>2400</v>
      </c>
      <c r="B54" s="473"/>
      <c r="C54" s="474"/>
      <c r="D54" s="475"/>
      <c r="E54" s="475"/>
      <c r="F54" s="475"/>
      <c r="G54" s="475"/>
      <c r="H54" s="475"/>
      <c r="I54" s="475"/>
      <c r="J54" s="475"/>
      <c r="K54" s="475"/>
      <c r="L54" s="475"/>
      <c r="M54" s="476"/>
      <c r="N54" s="2999"/>
      <c r="O54" s="3000"/>
      <c r="P54" s="461"/>
      <c r="Q54" s="461"/>
    </row>
    <row r="55" spans="1:17" s="113" customFormat="1" ht="14.4">
      <c r="A55" s="478" t="s">
        <v>2365</v>
      </c>
      <c r="B55" s="467"/>
      <c r="C55" s="479" t="s">
        <v>2467</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2403</v>
      </c>
      <c r="B57" s="485" t="s">
        <v>2369</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114"/>
      <c r="B87" s="526"/>
      <c r="C87" s="527"/>
      <c r="D87" s="527"/>
      <c r="E87" s="527"/>
      <c r="F87" s="527"/>
      <c r="G87" s="548"/>
      <c r="H87" s="548"/>
      <c r="I87" s="548"/>
      <c r="J87" s="548"/>
      <c r="K87" s="548"/>
      <c r="L87" s="548"/>
      <c r="M87" s="549"/>
      <c r="N87" s="1065"/>
      <c r="O87" s="1065"/>
      <c r="P87" s="45"/>
      <c r="Q87" s="461"/>
    </row>
    <row r="88" spans="1:17" ht="14.4">
      <c r="A88" s="484" t="s">
        <v>2378</v>
      </c>
      <c r="B88" s="485" t="s">
        <v>2427</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4.4">
      <c r="A4" s="361" t="s">
        <v>2460</v>
      </c>
      <c r="B4" s="362"/>
      <c r="C4" s="3314" t="s">
        <v>2461</v>
      </c>
      <c r="D4" s="3315"/>
      <c r="E4" s="3316" t="s">
        <v>2462</v>
      </c>
      <c r="F4" s="3317"/>
      <c r="G4" s="3314" t="s">
        <v>2463</v>
      </c>
      <c r="H4" s="3315"/>
      <c r="I4" s="3314" t="s">
        <v>2464</v>
      </c>
      <c r="J4" s="3315"/>
      <c r="K4" s="567" t="s">
        <v>2465</v>
      </c>
      <c r="L4" s="2944"/>
      <c r="M4" s="2945"/>
      <c r="N4" s="2945"/>
      <c r="O4" s="2945"/>
      <c r="P4" s="3318" t="s">
        <v>2466</v>
      </c>
      <c r="Q4" s="3319"/>
      <c r="R4" s="3324" t="s">
        <v>2462</v>
      </c>
      <c r="S4" s="3325"/>
      <c r="T4" s="3324" t="s">
        <v>2463</v>
      </c>
      <c r="U4" s="3325"/>
      <c r="V4" s="3330" t="s">
        <v>2464</v>
      </c>
      <c r="W4" s="3330"/>
      <c r="X4" s="1539"/>
      <c r="Y4" s="3324" t="s">
        <v>2466</v>
      </c>
      <c r="Z4" s="3325"/>
      <c r="AA4" s="3311" t="s">
        <v>2462</v>
      </c>
      <c r="AB4" s="3312" t="s">
        <v>2463</v>
      </c>
      <c r="AC4" s="3311" t="s">
        <v>2464</v>
      </c>
    </row>
    <row r="5" spans="1:29">
      <c r="A5" s="364"/>
      <c r="B5" s="365"/>
      <c r="C5" s="3333" t="s">
        <v>2357</v>
      </c>
      <c r="D5" s="3334"/>
      <c r="E5" s="3340" t="s">
        <v>2358</v>
      </c>
      <c r="F5" s="3341"/>
      <c r="G5" s="3333" t="s">
        <v>2359</v>
      </c>
      <c r="H5" s="3334"/>
      <c r="I5" s="3333" t="s">
        <v>2360</v>
      </c>
      <c r="J5" s="3334"/>
      <c r="K5" s="567"/>
      <c r="L5" s="2944"/>
      <c r="M5" s="2945"/>
      <c r="N5" s="2945"/>
      <c r="O5" s="2945"/>
      <c r="P5" s="3320"/>
      <c r="Q5" s="3321"/>
      <c r="R5" s="3326"/>
      <c r="S5" s="3327"/>
      <c r="T5" s="3326"/>
      <c r="U5" s="3327"/>
      <c r="V5" s="3330"/>
      <c r="W5" s="3330"/>
      <c r="X5" s="1539"/>
      <c r="Y5" s="3326"/>
      <c r="Z5" s="3327"/>
      <c r="AA5" s="3312"/>
      <c r="AB5" s="3312"/>
      <c r="AC5" s="3312"/>
    </row>
    <row r="6" spans="1:29" ht="15" thickBot="1">
      <c r="A6" s="366"/>
      <c r="B6" s="367"/>
      <c r="C6" s="3331" t="s">
        <v>2361</v>
      </c>
      <c r="D6" s="3332"/>
      <c r="E6" s="3338" t="s">
        <v>2361</v>
      </c>
      <c r="F6" s="3339"/>
      <c r="G6" s="3331" t="s">
        <v>2361</v>
      </c>
      <c r="H6" s="3332"/>
      <c r="I6" s="3331" t="s">
        <v>2361</v>
      </c>
      <c r="J6" s="3332"/>
      <c r="K6" s="567" t="s">
        <v>2362</v>
      </c>
      <c r="L6" s="2944"/>
      <c r="M6" s="2945"/>
      <c r="N6" s="2945"/>
      <c r="O6" s="2945"/>
      <c r="P6" s="3322"/>
      <c r="Q6" s="3323"/>
      <c r="R6" s="3326"/>
      <c r="S6" s="3327"/>
      <c r="T6" s="3328"/>
      <c r="U6" s="3329"/>
      <c r="V6" s="3330"/>
      <c r="W6" s="3330"/>
      <c r="X6" s="1539"/>
      <c r="Y6" s="3328"/>
      <c r="Z6" s="3329"/>
      <c r="AA6" s="3313"/>
      <c r="AB6" s="3313"/>
      <c r="AC6" s="3313"/>
    </row>
    <row r="7" spans="1:29" s="113" customFormat="1" ht="15" thickBot="1">
      <c r="A7" s="368" t="s">
        <v>2363</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35" t="s">
        <v>2364</v>
      </c>
      <c r="Q7" s="3337"/>
      <c r="R7" s="710" t="s">
        <v>17</v>
      </c>
      <c r="S7" s="711">
        <f t="shared" ref="S7:S14" si="0">F7</f>
        <v>0</v>
      </c>
      <c r="T7" s="710" t="s">
        <v>17</v>
      </c>
      <c r="U7" s="711">
        <f t="shared" ref="U7:U14" si="1">H7</f>
        <v>0</v>
      </c>
      <c r="V7" s="710" t="s">
        <v>17</v>
      </c>
      <c r="W7" s="711">
        <f t="shared" ref="W7:W14" si="2">J7</f>
        <v>0</v>
      </c>
      <c r="X7" s="712"/>
      <c r="Y7" s="3335" t="s">
        <v>2364</v>
      </c>
      <c r="Z7" s="3336"/>
      <c r="AA7" s="713" t="e">
        <f>D7/F7</f>
        <v>#DIV/0!</v>
      </c>
      <c r="AB7" s="713" t="e">
        <f>D7/H7</f>
        <v>#DIV/0!</v>
      </c>
      <c r="AC7" s="713" t="e">
        <f>D7/J7</f>
        <v>#DIV/0!</v>
      </c>
    </row>
    <row r="8" spans="1:29" s="113" customFormat="1" ht="1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35" t="s">
        <v>2367</v>
      </c>
      <c r="Q8" s="3336"/>
      <c r="R8" s="710" t="s">
        <v>17</v>
      </c>
      <c r="S8" s="711">
        <f t="shared" si="0"/>
        <v>0</v>
      </c>
      <c r="T8" s="710" t="s">
        <v>17</v>
      </c>
      <c r="U8" s="711">
        <f t="shared" si="1"/>
        <v>0</v>
      </c>
      <c r="V8" s="710" t="s">
        <v>17</v>
      </c>
      <c r="W8" s="711">
        <f t="shared" si="2"/>
        <v>0</v>
      </c>
      <c r="X8" s="712"/>
      <c r="Y8" s="3335" t="s">
        <v>2367</v>
      </c>
      <c r="Z8" s="3336"/>
      <c r="AA8" s="713" t="e">
        <f t="shared" ref="AA8:AA36" si="3">D8/F8</f>
        <v>#DIV/0!</v>
      </c>
      <c r="AB8" s="713" t="e">
        <f t="shared" ref="AB8:AB36" si="4">D8/H8</f>
        <v>#DIV/0!</v>
      </c>
      <c r="AC8" s="713" t="e">
        <f t="shared" ref="AC8:AC36" si="5">D8/J8</f>
        <v>#DIV/0!</v>
      </c>
    </row>
    <row r="9" spans="1:29" s="113" customFormat="1" ht="14.4">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299" t="s">
        <v>2370</v>
      </c>
      <c r="Q9" s="1527" t="str">
        <f t="shared" ref="Q9:Q14" si="6">B9</f>
        <v>用途</v>
      </c>
      <c r="R9" s="710" t="s">
        <v>17</v>
      </c>
      <c r="S9" s="711">
        <f t="shared" si="0"/>
        <v>100</v>
      </c>
      <c r="T9" s="710" t="s">
        <v>17</v>
      </c>
      <c r="U9" s="711">
        <f t="shared" si="1"/>
        <v>100</v>
      </c>
      <c r="V9" s="710" t="s">
        <v>17</v>
      </c>
      <c r="W9" s="711">
        <f t="shared" si="2"/>
        <v>100</v>
      </c>
      <c r="X9" s="712"/>
      <c r="Y9" s="3169" t="s">
        <v>2371</v>
      </c>
      <c r="Z9" s="55" t="str">
        <f t="shared" ref="Z9:Z14" si="7">Q9</f>
        <v>用途</v>
      </c>
      <c r="AA9" s="713">
        <f t="shared" si="3"/>
        <v>1</v>
      </c>
      <c r="AB9" s="713">
        <f t="shared" si="4"/>
        <v>1</v>
      </c>
      <c r="AC9" s="713">
        <f t="shared" si="5"/>
        <v>1</v>
      </c>
    </row>
    <row r="10" spans="1:29" s="386" customFormat="1" ht="28.8">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299"/>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299"/>
      <c r="Q11" s="1527">
        <f t="shared" si="6"/>
        <v>111</v>
      </c>
      <c r="R11" s="710" t="s">
        <v>17</v>
      </c>
      <c r="S11" s="711">
        <f t="shared" si="0"/>
        <v>100</v>
      </c>
      <c r="T11" s="710" t="s">
        <v>17</v>
      </c>
      <c r="U11" s="711">
        <f t="shared" si="1"/>
        <v>100</v>
      </c>
      <c r="V11" s="710" t="s">
        <v>17</v>
      </c>
      <c r="W11" s="711">
        <f t="shared" si="2"/>
        <v>100</v>
      </c>
      <c r="X11" s="712"/>
      <c r="Y11" s="31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299"/>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299"/>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96.6">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1" t="s">
        <v>2375</v>
      </c>
      <c r="Q14" s="1536" t="str">
        <f t="shared" si="6"/>
        <v>交通便捷度</v>
      </c>
      <c r="R14" s="714" t="s">
        <v>17</v>
      </c>
      <c r="S14" s="715">
        <f t="shared" si="0"/>
        <v>100</v>
      </c>
      <c r="T14" s="714" t="s">
        <v>17</v>
      </c>
      <c r="U14" s="715">
        <f t="shared" si="1"/>
        <v>100</v>
      </c>
      <c r="V14" s="714" t="s">
        <v>17</v>
      </c>
      <c r="W14" s="715">
        <f t="shared" si="2"/>
        <v>100</v>
      </c>
      <c r="X14" s="1539"/>
      <c r="Y14" s="3301" t="s">
        <v>2375</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02"/>
      <c r="Q15" s="1536"/>
      <c r="R15" s="714"/>
      <c r="S15" s="715"/>
      <c r="T15" s="714"/>
      <c r="U15" s="715"/>
      <c r="V15" s="714"/>
      <c r="W15" s="715"/>
      <c r="X15" s="1539"/>
      <c r="Y15" s="3302"/>
      <c r="Z15" s="1540"/>
      <c r="AA15" s="1537">
        <v>1</v>
      </c>
      <c r="AB15" s="1537">
        <v>1</v>
      </c>
      <c r="AC15" s="1537">
        <v>1</v>
      </c>
    </row>
    <row r="16" spans="1:29" ht="41.4">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02"/>
      <c r="Q16" s="1536" t="str">
        <f>B16</f>
        <v>公共配套设施</v>
      </c>
      <c r="R16" s="714" t="s">
        <v>17</v>
      </c>
      <c r="S16" s="715">
        <f>F16</f>
        <v>100</v>
      </c>
      <c r="T16" s="714" t="s">
        <v>17</v>
      </c>
      <c r="U16" s="715">
        <f>H16</f>
        <v>100</v>
      </c>
      <c r="V16" s="714" t="s">
        <v>17</v>
      </c>
      <c r="W16" s="715">
        <f>J16</f>
        <v>100</v>
      </c>
      <c r="X16" s="1539"/>
      <c r="Y16" s="330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02"/>
      <c r="Q17" s="1536"/>
      <c r="R17" s="714"/>
      <c r="S17" s="715"/>
      <c r="T17" s="714"/>
      <c r="U17" s="715"/>
      <c r="V17" s="714"/>
      <c r="W17" s="715"/>
      <c r="X17" s="1539"/>
      <c r="Y17" s="3302"/>
      <c r="Z17" s="1540"/>
      <c r="AA17" s="1537">
        <v>1</v>
      </c>
      <c r="AB17" s="1537">
        <v>1</v>
      </c>
      <c r="AC17" s="1537">
        <v>1</v>
      </c>
    </row>
    <row r="18" spans="1:29" ht="41.4">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02"/>
      <c r="Q18" s="1536" t="str">
        <f>B18</f>
        <v>基础设施水平</v>
      </c>
      <c r="R18" s="714" t="s">
        <v>17</v>
      </c>
      <c r="S18" s="715">
        <f>F18</f>
        <v>100</v>
      </c>
      <c r="T18" s="714" t="s">
        <v>17</v>
      </c>
      <c r="U18" s="715">
        <f>H18</f>
        <v>100</v>
      </c>
      <c r="V18" s="714" t="s">
        <v>17</v>
      </c>
      <c r="W18" s="715">
        <f>J18</f>
        <v>100</v>
      </c>
      <c r="X18" s="1539"/>
      <c r="Y18" s="330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02"/>
      <c r="Q19" s="1536"/>
      <c r="R19" s="714"/>
      <c r="S19" s="715"/>
      <c r="T19" s="714"/>
      <c r="U19" s="715"/>
      <c r="V19" s="714"/>
      <c r="W19" s="715"/>
      <c r="X19" s="1539"/>
      <c r="Y19" s="3302"/>
      <c r="Z19" s="1540"/>
      <c r="AA19" s="1537">
        <v>1</v>
      </c>
      <c r="AB19" s="1537">
        <v>1</v>
      </c>
      <c r="AC19" s="1537">
        <v>1</v>
      </c>
    </row>
    <row r="20" spans="1:29" ht="55.2">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02"/>
      <c r="Q20" s="1536" t="str">
        <f>B20</f>
        <v>自然及人文环境</v>
      </c>
      <c r="R20" s="714" t="s">
        <v>17</v>
      </c>
      <c r="S20" s="715">
        <f>F20</f>
        <v>100</v>
      </c>
      <c r="T20" s="714" t="s">
        <v>17</v>
      </c>
      <c r="U20" s="715">
        <f>H20</f>
        <v>100</v>
      </c>
      <c r="V20" s="714" t="s">
        <v>17</v>
      </c>
      <c r="W20" s="715">
        <f>J20</f>
        <v>100</v>
      </c>
      <c r="X20" s="1539"/>
      <c r="Y20" s="330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02"/>
      <c r="Q21" s="1536"/>
      <c r="R21" s="714"/>
      <c r="S21" s="715"/>
      <c r="T21" s="714"/>
      <c r="U21" s="715"/>
      <c r="V21" s="714"/>
      <c r="W21" s="715"/>
      <c r="X21" s="1539"/>
      <c r="Y21" s="3302"/>
      <c r="Z21" s="1540"/>
      <c r="AA21" s="1537">
        <v>1</v>
      </c>
      <c r="AB21" s="1537">
        <v>1</v>
      </c>
      <c r="AC21" s="1537">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02"/>
      <c r="Q22" s="1536" t="str">
        <f>B22</f>
        <v>楼层</v>
      </c>
      <c r="R22" s="714" t="s">
        <v>17</v>
      </c>
      <c r="S22" s="715">
        <f>F22</f>
        <v>100</v>
      </c>
      <c r="T22" s="714" t="s">
        <v>17</v>
      </c>
      <c r="U22" s="715">
        <f>H22</f>
        <v>100</v>
      </c>
      <c r="V22" s="714" t="s">
        <v>17</v>
      </c>
      <c r="W22" s="715">
        <f>J22</f>
        <v>100</v>
      </c>
      <c r="X22" s="1539"/>
      <c r="Y22" s="330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02"/>
      <c r="Q23" s="1536">
        <f>B23</f>
        <v>111</v>
      </c>
      <c r="R23" s="714" t="s">
        <v>17</v>
      </c>
      <c r="S23" s="715">
        <f>F23</f>
        <v>100</v>
      </c>
      <c r="T23" s="714" t="s">
        <v>17</v>
      </c>
      <c r="U23" s="715">
        <f>H23</f>
        <v>100</v>
      </c>
      <c r="V23" s="714" t="s">
        <v>17</v>
      </c>
      <c r="W23" s="715">
        <f>J23</f>
        <v>100</v>
      </c>
      <c r="X23" s="1539"/>
      <c r="Y23" s="330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02"/>
      <c r="Q24" s="1536">
        <f t="shared" ref="Q24:Q36" si="11">B24</f>
        <v>111</v>
      </c>
      <c r="R24" s="714" t="s">
        <v>17</v>
      </c>
      <c r="S24" s="715">
        <f>F24</f>
        <v>100</v>
      </c>
      <c r="T24" s="714" t="s">
        <v>17</v>
      </c>
      <c r="U24" s="715">
        <f>H24</f>
        <v>100</v>
      </c>
      <c r="V24" s="714" t="s">
        <v>17</v>
      </c>
      <c r="W24" s="715">
        <f>J24</f>
        <v>100</v>
      </c>
      <c r="X24" s="1539"/>
      <c r="Y24" s="3302"/>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02"/>
      <c r="Q25" s="1527">
        <f t="shared" si="11"/>
        <v>111</v>
      </c>
      <c r="R25" s="710" t="s">
        <v>17</v>
      </c>
      <c r="S25" s="711">
        <f>F25</f>
        <v>100</v>
      </c>
      <c r="T25" s="710" t="s">
        <v>17</v>
      </c>
      <c r="U25" s="711">
        <f>H25</f>
        <v>100</v>
      </c>
      <c r="V25" s="710" t="s">
        <v>17</v>
      </c>
      <c r="W25" s="711">
        <f>J25</f>
        <v>100</v>
      </c>
      <c r="X25" s="712"/>
      <c r="Y25" s="3302"/>
      <c r="Z25" s="55">
        <f>Q25</f>
        <v>111</v>
      </c>
      <c r="AA25" s="1537">
        <f>D25/F25</f>
        <v>1</v>
      </c>
      <c r="AB25" s="1537">
        <f>D25/H25</f>
        <v>1</v>
      </c>
      <c r="AC25" s="1537">
        <f>D25/J25</f>
        <v>1</v>
      </c>
    </row>
    <row r="26" spans="1:29" ht="30">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57" t="s">
        <v>2380</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06" t="s">
        <v>2380</v>
      </c>
      <c r="Z26" s="1540" t="str">
        <f t="shared" ref="Z26:Z36" si="15">Q26</f>
        <v>配套类型</v>
      </c>
      <c r="AA26" s="1537">
        <f t="shared" si="3"/>
        <v>1</v>
      </c>
      <c r="AB26" s="1537">
        <f t="shared" si="4"/>
        <v>1</v>
      </c>
      <c r="AC26" s="1537">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06"/>
      <c r="Q27" s="716" t="str">
        <f t="shared" si="11"/>
        <v>项目停车位配比</v>
      </c>
      <c r="R27" s="717" t="s">
        <v>17</v>
      </c>
      <c r="S27" s="718">
        <f t="shared" si="12"/>
        <v>100</v>
      </c>
      <c r="T27" s="717" t="s">
        <v>17</v>
      </c>
      <c r="U27" s="718">
        <f t="shared" si="13"/>
        <v>100</v>
      </c>
      <c r="V27" s="717" t="s">
        <v>17</v>
      </c>
      <c r="W27" s="718">
        <f t="shared" si="14"/>
        <v>100</v>
      </c>
      <c r="X27" s="719"/>
      <c r="Y27" s="3306"/>
      <c r="Z27" s="720" t="str">
        <f t="shared" si="15"/>
        <v>项目停车位配比</v>
      </c>
      <c r="AA27" s="1537">
        <f t="shared" si="3"/>
        <v>1</v>
      </c>
      <c r="AB27" s="1537">
        <f t="shared" si="4"/>
        <v>1</v>
      </c>
      <c r="AC27" s="1537">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06"/>
      <c r="Q28" s="1536" t="str">
        <f t="shared" si="11"/>
        <v>公共部分装修</v>
      </c>
      <c r="R28" s="714" t="s">
        <v>17</v>
      </c>
      <c r="S28" s="715">
        <f t="shared" si="12"/>
        <v>100</v>
      </c>
      <c r="T28" s="714" t="s">
        <v>17</v>
      </c>
      <c r="U28" s="715">
        <f t="shared" si="13"/>
        <v>100</v>
      </c>
      <c r="V28" s="714" t="s">
        <v>17</v>
      </c>
      <c r="W28" s="715">
        <f t="shared" si="14"/>
        <v>100</v>
      </c>
      <c r="X28" s="1539"/>
      <c r="Y28" s="3306"/>
      <c r="Z28" s="1540" t="str">
        <f t="shared" si="15"/>
        <v>公共部分装修</v>
      </c>
      <c r="AA28" s="1537">
        <f t="shared" si="3"/>
        <v>1</v>
      </c>
      <c r="AB28" s="1537">
        <f t="shared" si="4"/>
        <v>1</v>
      </c>
      <c r="AC28" s="1537">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06"/>
      <c r="Q29" s="1536" t="str">
        <f t="shared" si="11"/>
        <v>成新率</v>
      </c>
      <c r="R29" s="714" t="s">
        <v>17</v>
      </c>
      <c r="S29" s="715" t="e">
        <f t="shared" si="12"/>
        <v>#N/A</v>
      </c>
      <c r="T29" s="714" t="s">
        <v>17</v>
      </c>
      <c r="U29" s="715" t="e">
        <f t="shared" si="13"/>
        <v>#N/A</v>
      </c>
      <c r="V29" s="714" t="s">
        <v>17</v>
      </c>
      <c r="W29" s="715" t="e">
        <f t="shared" si="14"/>
        <v>#N/A</v>
      </c>
      <c r="X29" s="1539"/>
      <c r="Y29" s="3306"/>
      <c r="Z29" s="1540" t="str">
        <f t="shared" si="15"/>
        <v>成新率</v>
      </c>
      <c r="AA29" s="1537" t="e">
        <f t="shared" si="3"/>
        <v>#N/A</v>
      </c>
      <c r="AB29" s="1537" t="e">
        <f t="shared" si="4"/>
        <v>#N/A</v>
      </c>
      <c r="AC29" s="1537"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06"/>
      <c r="Q30" s="1536" t="str">
        <f t="shared" si="11"/>
        <v>物业等级</v>
      </c>
      <c r="R30" s="714" t="s">
        <v>17</v>
      </c>
      <c r="S30" s="715">
        <f t="shared" si="12"/>
        <v>100</v>
      </c>
      <c r="T30" s="714" t="s">
        <v>17</v>
      </c>
      <c r="U30" s="715">
        <f t="shared" si="13"/>
        <v>100</v>
      </c>
      <c r="V30" s="714" t="s">
        <v>17</v>
      </c>
      <c r="W30" s="715">
        <f t="shared" si="14"/>
        <v>100</v>
      </c>
      <c r="X30" s="1539"/>
      <c r="Y30" s="3306"/>
      <c r="Z30" s="1540" t="str">
        <f t="shared" si="15"/>
        <v>物业等级</v>
      </c>
      <c r="AA30" s="1537">
        <f t="shared" si="3"/>
        <v>1</v>
      </c>
      <c r="AB30" s="1537">
        <f t="shared" si="4"/>
        <v>1</v>
      </c>
      <c r="AC30" s="1537">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06"/>
      <c r="Q31" s="1527" t="str">
        <f t="shared" si="11"/>
        <v>停车位面积</v>
      </c>
      <c r="R31" s="710" t="s">
        <v>17</v>
      </c>
      <c r="S31" s="711" t="e">
        <f t="shared" si="12"/>
        <v>#N/A</v>
      </c>
      <c r="T31" s="710" t="s">
        <v>17</v>
      </c>
      <c r="U31" s="711" t="e">
        <f t="shared" si="13"/>
        <v>#N/A</v>
      </c>
      <c r="V31" s="710" t="s">
        <v>17</v>
      </c>
      <c r="W31" s="711" t="e">
        <f t="shared" si="14"/>
        <v>#N/A</v>
      </c>
      <c r="X31" s="712"/>
      <c r="Y31" s="3306"/>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06" t="s">
        <v>2380</v>
      </c>
      <c r="Q32" s="1536" t="str">
        <f t="shared" si="11"/>
        <v>车位类型</v>
      </c>
      <c r="R32" s="714" t="s">
        <v>17</v>
      </c>
      <c r="S32" s="715">
        <f t="shared" si="12"/>
        <v>100</v>
      </c>
      <c r="T32" s="714" t="s">
        <v>17</v>
      </c>
      <c r="U32" s="715">
        <f t="shared" si="13"/>
        <v>100</v>
      </c>
      <c r="V32" s="714" t="s">
        <v>17</v>
      </c>
      <c r="W32" s="715">
        <f t="shared" si="14"/>
        <v>100</v>
      </c>
      <c r="X32" s="1539"/>
      <c r="Y32" s="3306" t="s">
        <v>2380</v>
      </c>
      <c r="Z32" s="1540" t="str">
        <f t="shared" si="15"/>
        <v>车位类型</v>
      </c>
      <c r="AA32" s="1537">
        <f t="shared" si="3"/>
        <v>1</v>
      </c>
      <c r="AB32" s="1537">
        <f t="shared" si="4"/>
        <v>1</v>
      </c>
      <c r="AC32" s="1537">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06"/>
      <c r="Q33" s="1536" t="str">
        <f t="shared" si="11"/>
        <v>是否直接入户</v>
      </c>
      <c r="R33" s="714" t="s">
        <v>17</v>
      </c>
      <c r="S33" s="715">
        <f t="shared" si="12"/>
        <v>100</v>
      </c>
      <c r="T33" s="714" t="s">
        <v>17</v>
      </c>
      <c r="U33" s="715">
        <f t="shared" si="13"/>
        <v>100</v>
      </c>
      <c r="V33" s="714" t="s">
        <v>17</v>
      </c>
      <c r="W33" s="715">
        <f t="shared" si="14"/>
        <v>100</v>
      </c>
      <c r="X33" s="1539"/>
      <c r="Y33" s="330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06"/>
      <c r="Q34" s="1536">
        <f t="shared" si="11"/>
        <v>111</v>
      </c>
      <c r="R34" s="714" t="s">
        <v>17</v>
      </c>
      <c r="S34" s="715">
        <f t="shared" si="12"/>
        <v>100</v>
      </c>
      <c r="T34" s="714" t="s">
        <v>17</v>
      </c>
      <c r="U34" s="715">
        <f t="shared" si="13"/>
        <v>100</v>
      </c>
      <c r="V34" s="714" t="s">
        <v>17</v>
      </c>
      <c r="W34" s="715">
        <f t="shared" si="14"/>
        <v>100</v>
      </c>
      <c r="X34" s="1539"/>
      <c r="Y34" s="330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06"/>
      <c r="Q35" s="716">
        <f t="shared" si="11"/>
        <v>111</v>
      </c>
      <c r="R35" s="717" t="s">
        <v>17</v>
      </c>
      <c r="S35" s="718">
        <f t="shared" si="12"/>
        <v>100</v>
      </c>
      <c r="T35" s="717" t="s">
        <v>17</v>
      </c>
      <c r="U35" s="718">
        <f t="shared" si="13"/>
        <v>100</v>
      </c>
      <c r="V35" s="717" t="s">
        <v>17</v>
      </c>
      <c r="W35" s="718">
        <f t="shared" si="14"/>
        <v>100</v>
      </c>
      <c r="X35" s="719"/>
      <c r="Y35" s="3306"/>
      <c r="Z35" s="720">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06"/>
      <c r="Q36" s="1536">
        <f t="shared" si="11"/>
        <v>111</v>
      </c>
      <c r="R36" s="714" t="s">
        <v>17</v>
      </c>
      <c r="S36" s="715">
        <f t="shared" si="12"/>
        <v>100</v>
      </c>
      <c r="T36" s="714" t="s">
        <v>17</v>
      </c>
      <c r="U36" s="715">
        <f t="shared" si="13"/>
        <v>100</v>
      </c>
      <c r="V36" s="714" t="s">
        <v>17</v>
      </c>
      <c r="W36" s="715">
        <f t="shared" si="14"/>
        <v>100</v>
      </c>
      <c r="X36" s="1539"/>
      <c r="Y36" s="3306"/>
      <c r="Z36" s="1540">
        <f t="shared" si="15"/>
        <v>111</v>
      </c>
      <c r="AA36" s="1537">
        <f t="shared" si="3"/>
        <v>1</v>
      </c>
      <c r="AB36" s="1537">
        <f t="shared" si="4"/>
        <v>1</v>
      </c>
      <c r="AC36" s="1537">
        <f t="shared" si="5"/>
        <v>1</v>
      </c>
    </row>
    <row r="37" spans="1:29" ht="14.4">
      <c r="A37" s="438" t="s">
        <v>2535</v>
      </c>
      <c r="B37" s="2159" t="s">
        <v>2536</v>
      </c>
      <c r="C37" s="1316" t="s">
        <v>1</v>
      </c>
      <c r="D37" s="1317"/>
      <c r="E37" s="1318"/>
      <c r="F37" s="1319"/>
      <c r="G37" s="1320"/>
      <c r="H37" s="1321"/>
      <c r="I37" s="1318"/>
      <c r="J37" s="1321"/>
      <c r="K37" s="576"/>
      <c r="L37" s="2953"/>
      <c r="M37" s="2954"/>
      <c r="N37" s="2945"/>
      <c r="O37" s="2954"/>
      <c r="P37" s="3299" t="str">
        <f>A37</f>
        <v>成交单价</v>
      </c>
      <c r="Q37" s="3299"/>
      <c r="R37" s="3300">
        <f>E37</f>
        <v>0</v>
      </c>
      <c r="S37" s="3300"/>
      <c r="T37" s="3300">
        <f>G37</f>
        <v>0</v>
      </c>
      <c r="U37" s="3300"/>
      <c r="V37" s="3300">
        <f>I37</f>
        <v>0</v>
      </c>
      <c r="W37" s="3300"/>
      <c r="X37" s="699"/>
      <c r="Y37" s="721"/>
      <c r="Z37" s="699"/>
      <c r="AA37" s="699"/>
      <c r="AB37" s="699"/>
      <c r="AC37" s="699"/>
    </row>
    <row r="38" spans="1:29" ht="15" thickBot="1">
      <c r="A38" s="445" t="s">
        <v>2537</v>
      </c>
      <c r="B38" s="446" t="str">
        <f>B37</f>
        <v>元/车位</v>
      </c>
      <c r="C38" s="1322" t="e">
        <f>R39</f>
        <v>#DIV/0!</v>
      </c>
      <c r="D38" s="2538" t="s">
        <v>2873</v>
      </c>
      <c r="E38" s="1323" t="e">
        <f>R38</f>
        <v>#DIV/0!</v>
      </c>
      <c r="F38" s="2539"/>
      <c r="G38" s="1322" t="e">
        <f>T38</f>
        <v>#DIV/0!</v>
      </c>
      <c r="H38" s="2539"/>
      <c r="I38" s="1323" t="e">
        <f>V38</f>
        <v>#DIV/0!</v>
      </c>
      <c r="J38" s="2539"/>
      <c r="K38" s="2541">
        <f>F38+H38+J38</f>
        <v>0</v>
      </c>
      <c r="L38" s="2953"/>
      <c r="M38" s="2954"/>
      <c r="N38" s="2954"/>
      <c r="O38" s="2954"/>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699"/>
      <c r="Y38" s="699"/>
      <c r="Z38" s="699"/>
      <c r="AA38" s="699"/>
      <c r="AB38" s="699"/>
      <c r="AC38" s="699"/>
    </row>
    <row r="39" spans="1:29" ht="15" thickBot="1">
      <c r="A39" s="449" t="s">
        <v>2538</v>
      </c>
      <c r="B39" s="450"/>
      <c r="C39" s="1325" t="e">
        <f>R39</f>
        <v>#DIV/0!</v>
      </c>
      <c r="D39" s="1325"/>
      <c r="E39" s="1325"/>
      <c r="F39" s="1325"/>
      <c r="G39" s="1325"/>
      <c r="H39" s="1325"/>
      <c r="I39" s="1325"/>
      <c r="J39" s="1325"/>
      <c r="K39" s="577"/>
      <c r="L39" s="2953"/>
      <c r="M39" s="2954"/>
      <c r="N39" s="2954"/>
      <c r="O39" s="2954"/>
      <c r="P39" s="3296" t="str">
        <f>A39</f>
        <v>估价对象XX用房的比较价值（楼面单价，元/平方米）</v>
      </c>
      <c r="Q39" s="3297"/>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2.2" thickBot="1">
      <c r="A47" s="1328" t="s">
        <v>2542</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4.4">
      <c r="A48" s="462" t="s">
        <v>2543</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8"/>
      <c r="Q48" s="2970"/>
      <c r="R48" s="2970"/>
      <c r="S48" s="2970"/>
      <c r="T48" s="2970"/>
      <c r="U48" s="2970"/>
      <c r="V48" s="2970"/>
      <c r="W48" s="2970"/>
      <c r="X48" s="2970"/>
      <c r="Y48" s="2970"/>
      <c r="Z48" s="2970"/>
      <c r="AA48" s="2970"/>
      <c r="AB48" s="2970"/>
      <c r="AC48" s="2970"/>
    </row>
    <row r="49" spans="1:29" s="113" customFormat="1">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 thickBot="1">
      <c r="A50" s="472" t="s">
        <v>2400</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4.4">
      <c r="A51" s="478" t="s">
        <v>2365</v>
      </c>
      <c r="B51" s="467"/>
      <c r="C51" s="479" t="s">
        <v>2467</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4.4"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ht="14.4">
      <c r="A53" s="484" t="s">
        <v>2403</v>
      </c>
      <c r="B53" s="485" t="s">
        <v>2369</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4.4"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9.4" thickTop="1">
      <c r="A55" s="491"/>
      <c r="B55" s="495" t="s">
        <v>2372</v>
      </c>
      <c r="C55" s="496" t="s">
        <v>2404</v>
      </c>
      <c r="D55" s="496" t="s">
        <v>2405</v>
      </c>
      <c r="E55" s="496" t="s">
        <v>2406</v>
      </c>
      <c r="F55" s="496" t="s">
        <v>2407</v>
      </c>
      <c r="G55" s="496" t="s">
        <v>2408</v>
      </c>
      <c r="H55" s="496" t="s">
        <v>2409</v>
      </c>
      <c r="I55" s="496" t="s">
        <v>2410</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4.4"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4.4"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4.4"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4.4"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4.4"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4.4"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 thickTop="1">
      <c r="A65" s="491"/>
      <c r="B65" s="495" t="s">
        <v>2418</v>
      </c>
      <c r="C65" s="535" t="s">
        <v>2412</v>
      </c>
      <c r="D65" s="535" t="s">
        <v>2413</v>
      </c>
      <c r="E65" s="535" t="s">
        <v>2414</v>
      </c>
      <c r="F65" s="535" t="s">
        <v>2415</v>
      </c>
      <c r="G65" s="535" t="s">
        <v>2416</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 thickTop="1">
      <c r="A67" s="491"/>
      <c r="B67" s="503" t="s">
        <v>2504</v>
      </c>
      <c r="C67" s="616" t="s">
        <v>2490</v>
      </c>
      <c r="D67" s="616" t="s">
        <v>2491</v>
      </c>
      <c r="E67" s="616" t="s">
        <v>2492</v>
      </c>
      <c r="F67" s="616" t="s">
        <v>2493</v>
      </c>
      <c r="G67" s="616" t="s">
        <v>2494</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 thickTop="1">
      <c r="A69" s="491"/>
      <c r="B69" s="495" t="s">
        <v>2424</v>
      </c>
      <c r="C69" s="535" t="s">
        <v>2412</v>
      </c>
      <c r="D69" s="535" t="s">
        <v>2413</v>
      </c>
      <c r="E69" s="535" t="s">
        <v>2414</v>
      </c>
      <c r="F69" s="535" t="s">
        <v>2415</v>
      </c>
      <c r="G69" s="535" t="s">
        <v>2416</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 thickTop="1">
      <c r="A71" s="491"/>
      <c r="B71" s="495" t="s">
        <v>2544</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4.4"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4.4"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4.4"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4.4"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4.4"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4.4"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9.4" thickTop="1">
      <c r="A79" s="484" t="s">
        <v>2378</v>
      </c>
      <c r="B79" s="485" t="s">
        <v>2545</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 thickTop="1">
      <c r="A81" s="491"/>
      <c r="B81" s="495" t="s">
        <v>2546</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4.4"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2431</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2548</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4.4"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2550</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2551</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4.4"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4.4"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4.4"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4.4"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4.4"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4.4"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4.4"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U518" sqref="U518"/>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7"/>
      <c r="D2" s="1038" t="e">
        <f ca="1">SUMIF(INDIRECT("'"&amp;F2&amp;"'"&amp;"!A:A"),"承租人权益价值",INDIRECT("'"&amp;F2&amp;"'"&amp;"!c:c"))</f>
        <v>#REF!</v>
      </c>
      <c r="E2" s="2068" t="s">
        <v>2143</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2460</v>
      </c>
      <c r="B4" s="362"/>
      <c r="C4" s="3314" t="s">
        <v>2461</v>
      </c>
      <c r="D4" s="3315"/>
      <c r="E4" s="3316" t="s">
        <v>2462</v>
      </c>
      <c r="F4" s="3317"/>
      <c r="G4" s="3314" t="s">
        <v>2463</v>
      </c>
      <c r="H4" s="3315"/>
      <c r="I4" s="3314" t="s">
        <v>2464</v>
      </c>
      <c r="J4" s="3315"/>
      <c r="K4" s="567" t="s">
        <v>2465</v>
      </c>
      <c r="L4" s="2944"/>
      <c r="M4" s="2945"/>
      <c r="N4" s="2945"/>
      <c r="O4" s="2945"/>
      <c r="P4" s="3318" t="s">
        <v>2466</v>
      </c>
      <c r="Q4" s="3319"/>
      <c r="R4" s="3324" t="s">
        <v>2462</v>
      </c>
      <c r="S4" s="3325"/>
      <c r="T4" s="3324" t="s">
        <v>2463</v>
      </c>
      <c r="U4" s="3325"/>
      <c r="V4" s="3330" t="s">
        <v>2464</v>
      </c>
      <c r="W4" s="3330"/>
      <c r="X4" s="1539"/>
      <c r="Y4" s="3324" t="s">
        <v>2466</v>
      </c>
      <c r="Z4" s="3325"/>
      <c r="AA4" s="3311" t="s">
        <v>2462</v>
      </c>
      <c r="AB4" s="3312" t="s">
        <v>2463</v>
      </c>
      <c r="AC4" s="3311" t="s">
        <v>2464</v>
      </c>
    </row>
    <row r="5" spans="1:29">
      <c r="A5" s="364"/>
      <c r="B5" s="365"/>
      <c r="C5" s="3333" t="s">
        <v>2357</v>
      </c>
      <c r="D5" s="3334"/>
      <c r="E5" s="3340" t="s">
        <v>2358</v>
      </c>
      <c r="F5" s="3341"/>
      <c r="G5" s="3333" t="s">
        <v>2359</v>
      </c>
      <c r="H5" s="3334"/>
      <c r="I5" s="3333" t="s">
        <v>2360</v>
      </c>
      <c r="J5" s="3334"/>
      <c r="K5" s="567"/>
      <c r="L5" s="2944"/>
      <c r="M5" s="2945"/>
      <c r="N5" s="2945"/>
      <c r="O5" s="2945"/>
      <c r="P5" s="3320"/>
      <c r="Q5" s="3321"/>
      <c r="R5" s="3326"/>
      <c r="S5" s="3327"/>
      <c r="T5" s="3326"/>
      <c r="U5" s="3327"/>
      <c r="V5" s="3330"/>
      <c r="W5" s="3330"/>
      <c r="X5" s="1539"/>
      <c r="Y5" s="3326"/>
      <c r="Z5" s="3327"/>
      <c r="AA5" s="3312"/>
      <c r="AB5" s="3312"/>
      <c r="AC5" s="3312"/>
    </row>
    <row r="6" spans="1:29" ht="15" thickBot="1">
      <c r="A6" s="366"/>
      <c r="B6" s="367"/>
      <c r="C6" s="3331" t="s">
        <v>2361</v>
      </c>
      <c r="D6" s="3332"/>
      <c r="E6" s="3338" t="s">
        <v>2361</v>
      </c>
      <c r="F6" s="3339"/>
      <c r="G6" s="3331" t="s">
        <v>2361</v>
      </c>
      <c r="H6" s="3332"/>
      <c r="I6" s="3331" t="s">
        <v>2361</v>
      </c>
      <c r="J6" s="3332"/>
      <c r="K6" s="567" t="s">
        <v>2362</v>
      </c>
      <c r="L6" s="2944"/>
      <c r="M6" s="2945"/>
      <c r="N6" s="2945"/>
      <c r="O6" s="2945"/>
      <c r="P6" s="3322"/>
      <c r="Q6" s="3323"/>
      <c r="R6" s="3326"/>
      <c r="S6" s="3327"/>
      <c r="T6" s="3328"/>
      <c r="U6" s="3329"/>
      <c r="V6" s="3330"/>
      <c r="W6" s="3330"/>
      <c r="X6" s="1539"/>
      <c r="Y6" s="3328"/>
      <c r="Z6" s="3329"/>
      <c r="AA6" s="3313"/>
      <c r="AB6" s="3313"/>
      <c r="AC6" s="3313"/>
    </row>
    <row r="7" spans="1:29" s="113" customFormat="1" ht="15" thickBot="1">
      <c r="A7" s="368" t="s">
        <v>2363</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35" t="s">
        <v>2364</v>
      </c>
      <c r="Q7" s="3337"/>
      <c r="R7" s="710" t="s">
        <v>17</v>
      </c>
      <c r="S7" s="711">
        <f t="shared" ref="S7:S14" si="0">F7</f>
        <v>0</v>
      </c>
      <c r="T7" s="710" t="s">
        <v>17</v>
      </c>
      <c r="U7" s="711">
        <f t="shared" ref="U7:U14" si="1">H7</f>
        <v>0</v>
      </c>
      <c r="V7" s="710" t="s">
        <v>17</v>
      </c>
      <c r="W7" s="711">
        <f t="shared" ref="W7:W14" si="2">J7</f>
        <v>0</v>
      </c>
      <c r="X7" s="712"/>
      <c r="Y7" s="3335" t="s">
        <v>2364</v>
      </c>
      <c r="Z7" s="3336"/>
      <c r="AA7" s="713" t="e">
        <f>D7/F7</f>
        <v>#DIV/0!</v>
      </c>
      <c r="AB7" s="713" t="e">
        <f>D7/H7</f>
        <v>#DIV/0!</v>
      </c>
      <c r="AC7" s="713" t="e">
        <f>D7/J7</f>
        <v>#DIV/0!</v>
      </c>
    </row>
    <row r="8" spans="1:29" s="113" customFormat="1" ht="1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35" t="s">
        <v>2367</v>
      </c>
      <c r="Q8" s="3336"/>
      <c r="R8" s="710" t="s">
        <v>17</v>
      </c>
      <c r="S8" s="711">
        <f t="shared" si="0"/>
        <v>0</v>
      </c>
      <c r="T8" s="710" t="s">
        <v>17</v>
      </c>
      <c r="U8" s="711">
        <f t="shared" si="1"/>
        <v>0</v>
      </c>
      <c r="V8" s="710" t="s">
        <v>17</v>
      </c>
      <c r="W8" s="711">
        <f t="shared" si="2"/>
        <v>0</v>
      </c>
      <c r="X8" s="712"/>
      <c r="Y8" s="3335" t="s">
        <v>2367</v>
      </c>
      <c r="Z8" s="3336"/>
      <c r="AA8" s="713" t="e">
        <f t="shared" ref="AA8:AA34" si="3">D8/F8</f>
        <v>#DIV/0!</v>
      </c>
      <c r="AB8" s="713" t="e">
        <f t="shared" ref="AB8:AB34" si="4">D8/H8</f>
        <v>#DIV/0!</v>
      </c>
      <c r="AC8" s="713" t="e">
        <f t="shared" ref="AC8:AC34" si="5">D8/J8</f>
        <v>#DIV/0!</v>
      </c>
    </row>
    <row r="9" spans="1:29" s="113" customFormat="1" ht="14.4">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299" t="s">
        <v>2370</v>
      </c>
      <c r="Q9" s="1527" t="str">
        <f t="shared" ref="Q9:Q14" si="6">B9</f>
        <v>用途</v>
      </c>
      <c r="R9" s="710" t="s">
        <v>17</v>
      </c>
      <c r="S9" s="711">
        <f t="shared" si="0"/>
        <v>100</v>
      </c>
      <c r="T9" s="710" t="s">
        <v>17</v>
      </c>
      <c r="U9" s="711">
        <f t="shared" si="1"/>
        <v>100</v>
      </c>
      <c r="V9" s="710" t="s">
        <v>17</v>
      </c>
      <c r="W9" s="711">
        <f t="shared" si="2"/>
        <v>100</v>
      </c>
      <c r="X9" s="712"/>
      <c r="Y9" s="3169" t="s">
        <v>2371</v>
      </c>
      <c r="Z9" s="55" t="str">
        <f t="shared" ref="Z9:Z14" si="7">Q9</f>
        <v>用途</v>
      </c>
      <c r="AA9" s="713">
        <f t="shared" si="3"/>
        <v>1</v>
      </c>
      <c r="AB9" s="713">
        <f t="shared" si="4"/>
        <v>1</v>
      </c>
      <c r="AC9" s="713">
        <f t="shared" si="5"/>
        <v>1</v>
      </c>
    </row>
    <row r="10" spans="1:29" s="386" customFormat="1" ht="28.8">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299"/>
      <c r="Q10" s="1527" t="str">
        <f t="shared" si="6"/>
        <v>土地使用年限（年）</v>
      </c>
      <c r="R10" s="710" t="s">
        <v>17</v>
      </c>
      <c r="S10" s="711">
        <f t="shared" si="0"/>
        <v>100</v>
      </c>
      <c r="T10" s="710" t="s">
        <v>17</v>
      </c>
      <c r="U10" s="711">
        <f t="shared" si="1"/>
        <v>100</v>
      </c>
      <c r="V10" s="710" t="s">
        <v>17</v>
      </c>
      <c r="W10" s="711">
        <f t="shared" si="2"/>
        <v>100</v>
      </c>
      <c r="X10" s="712"/>
      <c r="Y10" s="316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299"/>
      <c r="Q11" s="1527">
        <f t="shared" si="6"/>
        <v>111</v>
      </c>
      <c r="R11" s="710" t="s">
        <v>17</v>
      </c>
      <c r="S11" s="711">
        <f t="shared" si="0"/>
        <v>100</v>
      </c>
      <c r="T11" s="710" t="s">
        <v>17</v>
      </c>
      <c r="U11" s="711">
        <f t="shared" si="1"/>
        <v>100</v>
      </c>
      <c r="V11" s="710" t="s">
        <v>17</v>
      </c>
      <c r="W11" s="711">
        <f t="shared" si="2"/>
        <v>100</v>
      </c>
      <c r="X11" s="712"/>
      <c r="Y11" s="316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299"/>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299"/>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96.6">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1" t="s">
        <v>2375</v>
      </c>
      <c r="Q14" s="1536" t="str">
        <f t="shared" si="6"/>
        <v>交通便捷度</v>
      </c>
      <c r="R14" s="714" t="s">
        <v>17</v>
      </c>
      <c r="S14" s="715">
        <f t="shared" si="0"/>
        <v>100</v>
      </c>
      <c r="T14" s="714" t="s">
        <v>17</v>
      </c>
      <c r="U14" s="715">
        <f t="shared" si="1"/>
        <v>100</v>
      </c>
      <c r="V14" s="714" t="s">
        <v>17</v>
      </c>
      <c r="W14" s="715">
        <f t="shared" si="2"/>
        <v>100</v>
      </c>
      <c r="X14" s="1539"/>
      <c r="Y14" s="3301" t="s">
        <v>2375</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02"/>
      <c r="Q15" s="1536"/>
      <c r="R15" s="714"/>
      <c r="S15" s="715"/>
      <c r="T15" s="714"/>
      <c r="U15" s="715"/>
      <c r="V15" s="714"/>
      <c r="W15" s="715"/>
      <c r="X15" s="1539"/>
      <c r="Y15" s="3302"/>
      <c r="Z15" s="1540"/>
      <c r="AA15" s="1537">
        <v>1</v>
      </c>
      <c r="AB15" s="1537">
        <v>1</v>
      </c>
      <c r="AC15" s="1537">
        <v>1</v>
      </c>
    </row>
    <row r="16" spans="1:29" ht="41.4">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02"/>
      <c r="Q16" s="1536" t="str">
        <f>B16</f>
        <v>公共配套设施</v>
      </c>
      <c r="R16" s="714" t="s">
        <v>17</v>
      </c>
      <c r="S16" s="715">
        <f>F16</f>
        <v>100</v>
      </c>
      <c r="T16" s="714" t="s">
        <v>17</v>
      </c>
      <c r="U16" s="715">
        <f>H16</f>
        <v>100</v>
      </c>
      <c r="V16" s="714" t="s">
        <v>17</v>
      </c>
      <c r="W16" s="715">
        <f>J16</f>
        <v>100</v>
      </c>
      <c r="X16" s="1539"/>
      <c r="Y16" s="330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02"/>
      <c r="Q17" s="1536"/>
      <c r="R17" s="714"/>
      <c r="S17" s="715"/>
      <c r="T17" s="714"/>
      <c r="U17" s="715"/>
      <c r="V17" s="714"/>
      <c r="W17" s="715"/>
      <c r="X17" s="1539"/>
      <c r="Y17" s="3302"/>
      <c r="Z17" s="1540"/>
      <c r="AA17" s="1537">
        <v>1</v>
      </c>
      <c r="AB17" s="1537">
        <v>1</v>
      </c>
      <c r="AC17" s="1537">
        <v>1</v>
      </c>
    </row>
    <row r="18" spans="1:29" ht="41.4">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02"/>
      <c r="Q18" s="1536" t="str">
        <f>B18</f>
        <v>基础设施水平</v>
      </c>
      <c r="R18" s="714" t="s">
        <v>17</v>
      </c>
      <c r="S18" s="715">
        <f>F18</f>
        <v>100</v>
      </c>
      <c r="T18" s="714" t="s">
        <v>17</v>
      </c>
      <c r="U18" s="715">
        <f>H18</f>
        <v>100</v>
      </c>
      <c r="V18" s="714" t="s">
        <v>17</v>
      </c>
      <c r="W18" s="715">
        <f>J18</f>
        <v>100</v>
      </c>
      <c r="X18" s="1539"/>
      <c r="Y18" s="330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02"/>
      <c r="Q19" s="1536"/>
      <c r="R19" s="714"/>
      <c r="S19" s="715"/>
      <c r="T19" s="714"/>
      <c r="U19" s="715"/>
      <c r="V19" s="714"/>
      <c r="W19" s="715"/>
      <c r="X19" s="1539"/>
      <c r="Y19" s="3302"/>
      <c r="Z19" s="1540"/>
      <c r="AA19" s="1537">
        <v>1</v>
      </c>
      <c r="AB19" s="1537">
        <v>1</v>
      </c>
      <c r="AC19" s="1537">
        <v>1</v>
      </c>
    </row>
    <row r="20" spans="1:29" ht="55.2">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02"/>
      <c r="Q20" s="1536" t="str">
        <f>B20</f>
        <v>自然及人文环境</v>
      </c>
      <c r="R20" s="714" t="s">
        <v>17</v>
      </c>
      <c r="S20" s="715">
        <f>F20</f>
        <v>100</v>
      </c>
      <c r="T20" s="714" t="s">
        <v>17</v>
      </c>
      <c r="U20" s="715">
        <f>H20</f>
        <v>100</v>
      </c>
      <c r="V20" s="714" t="s">
        <v>17</v>
      </c>
      <c r="W20" s="715">
        <f>J20</f>
        <v>100</v>
      </c>
      <c r="X20" s="1539"/>
      <c r="Y20" s="330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02"/>
      <c r="Q21" s="1536"/>
      <c r="R21" s="714"/>
      <c r="S21" s="715"/>
      <c r="T21" s="714"/>
      <c r="U21" s="715"/>
      <c r="V21" s="714"/>
      <c r="W21" s="715"/>
      <c r="X21" s="1539"/>
      <c r="Y21" s="3302"/>
      <c r="Z21" s="1540"/>
      <c r="AA21" s="1537">
        <v>1</v>
      </c>
      <c r="AB21" s="1537">
        <v>1</v>
      </c>
      <c r="AC21" s="1537">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02"/>
      <c r="Q22" s="1536" t="str">
        <f>B22</f>
        <v>楼层</v>
      </c>
      <c r="R22" s="714" t="s">
        <v>17</v>
      </c>
      <c r="S22" s="715">
        <f>F22</f>
        <v>100</v>
      </c>
      <c r="T22" s="714" t="s">
        <v>17</v>
      </c>
      <c r="U22" s="715">
        <f>H22</f>
        <v>100</v>
      </c>
      <c r="V22" s="714" t="s">
        <v>17</v>
      </c>
      <c r="W22" s="715">
        <f>J22</f>
        <v>100</v>
      </c>
      <c r="X22" s="1539"/>
      <c r="Y22" s="330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02"/>
      <c r="Q23" s="1536">
        <f>B23</f>
        <v>111</v>
      </c>
      <c r="R23" s="714" t="s">
        <v>17</v>
      </c>
      <c r="S23" s="715">
        <f>F23</f>
        <v>100</v>
      </c>
      <c r="T23" s="714" t="s">
        <v>17</v>
      </c>
      <c r="U23" s="715">
        <f>H23</f>
        <v>100</v>
      </c>
      <c r="V23" s="714" t="s">
        <v>17</v>
      </c>
      <c r="W23" s="715">
        <f>J23</f>
        <v>100</v>
      </c>
      <c r="X23" s="1539"/>
      <c r="Y23" s="330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02"/>
      <c r="Q24" s="1536">
        <f t="shared" ref="Q24:Q34" si="11">B24</f>
        <v>111</v>
      </c>
      <c r="R24" s="714" t="s">
        <v>17</v>
      </c>
      <c r="S24" s="715">
        <f>F24</f>
        <v>100</v>
      </c>
      <c r="T24" s="714" t="s">
        <v>17</v>
      </c>
      <c r="U24" s="715">
        <f>H24</f>
        <v>100</v>
      </c>
      <c r="V24" s="714" t="s">
        <v>17</v>
      </c>
      <c r="W24" s="715">
        <f>J24</f>
        <v>100</v>
      </c>
      <c r="X24" s="1539"/>
      <c r="Y24" s="3302"/>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02"/>
      <c r="Q25" s="1527">
        <f t="shared" si="11"/>
        <v>111</v>
      </c>
      <c r="R25" s="710" t="s">
        <v>17</v>
      </c>
      <c r="S25" s="711">
        <f>F25</f>
        <v>100</v>
      </c>
      <c r="T25" s="710" t="s">
        <v>17</v>
      </c>
      <c r="U25" s="711">
        <f>H25</f>
        <v>100</v>
      </c>
      <c r="V25" s="710" t="s">
        <v>17</v>
      </c>
      <c r="W25" s="711">
        <f>J25</f>
        <v>100</v>
      </c>
      <c r="X25" s="712"/>
      <c r="Y25" s="3302"/>
      <c r="Z25" s="55">
        <f>Q25</f>
        <v>111</v>
      </c>
      <c r="AA25" s="1537">
        <f>D25/F25</f>
        <v>1</v>
      </c>
      <c r="AB25" s="1537">
        <f>D25/H25</f>
        <v>1</v>
      </c>
      <c r="AC25" s="1537">
        <f>D25/J25</f>
        <v>1</v>
      </c>
    </row>
    <row r="26" spans="1:29" ht="30">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57" t="s">
        <v>2380</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06" t="s">
        <v>2380</v>
      </c>
      <c r="Z26" s="1540" t="str">
        <f t="shared" ref="Z26:Z34" si="15">Q26</f>
        <v>公共部分装修</v>
      </c>
      <c r="AA26" s="1537">
        <f t="shared" si="3"/>
        <v>1</v>
      </c>
      <c r="AB26" s="1537">
        <f t="shared" si="4"/>
        <v>1</v>
      </c>
      <c r="AC26" s="1537">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06"/>
      <c r="Q27" s="716" t="str">
        <f t="shared" si="11"/>
        <v>成新率</v>
      </c>
      <c r="R27" s="717" t="s">
        <v>17</v>
      </c>
      <c r="S27" s="718" t="e">
        <f t="shared" si="12"/>
        <v>#N/A</v>
      </c>
      <c r="T27" s="717" t="s">
        <v>17</v>
      </c>
      <c r="U27" s="718" t="e">
        <f t="shared" si="13"/>
        <v>#N/A</v>
      </c>
      <c r="V27" s="717" t="s">
        <v>17</v>
      </c>
      <c r="W27" s="718" t="e">
        <f t="shared" si="14"/>
        <v>#N/A</v>
      </c>
      <c r="X27" s="719"/>
      <c r="Y27" s="3306"/>
      <c r="Z27" s="720" t="str">
        <f t="shared" si="15"/>
        <v>成新率</v>
      </c>
      <c r="AA27" s="1537" t="e">
        <f t="shared" si="3"/>
        <v>#N/A</v>
      </c>
      <c r="AB27" s="1537" t="e">
        <f t="shared" si="4"/>
        <v>#N/A</v>
      </c>
      <c r="AC27" s="1537"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06"/>
      <c r="Q28" s="1536" t="str">
        <f t="shared" si="11"/>
        <v>物业等级</v>
      </c>
      <c r="R28" s="714" t="s">
        <v>17</v>
      </c>
      <c r="S28" s="715">
        <f t="shared" si="12"/>
        <v>100</v>
      </c>
      <c r="T28" s="714" t="s">
        <v>17</v>
      </c>
      <c r="U28" s="715">
        <f t="shared" si="13"/>
        <v>100</v>
      </c>
      <c r="V28" s="714" t="s">
        <v>17</v>
      </c>
      <c r="W28" s="715">
        <f t="shared" si="14"/>
        <v>100</v>
      </c>
      <c r="X28" s="1539"/>
      <c r="Y28" s="3306"/>
      <c r="Z28" s="1540" t="str">
        <f t="shared" si="15"/>
        <v>物业等级</v>
      </c>
      <c r="AA28" s="1537">
        <f t="shared" si="3"/>
        <v>1</v>
      </c>
      <c r="AB28" s="1537">
        <f t="shared" si="4"/>
        <v>1</v>
      </c>
      <c r="AC28" s="1537">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06"/>
      <c r="Q29" s="1536" t="str">
        <f t="shared" si="11"/>
        <v>有无电梯</v>
      </c>
      <c r="R29" s="714" t="s">
        <v>17</v>
      </c>
      <c r="S29" s="715">
        <f t="shared" si="12"/>
        <v>100</v>
      </c>
      <c r="T29" s="714" t="s">
        <v>17</v>
      </c>
      <c r="U29" s="715">
        <f t="shared" si="13"/>
        <v>100</v>
      </c>
      <c r="V29" s="714" t="s">
        <v>17</v>
      </c>
      <c r="W29" s="715">
        <f t="shared" si="14"/>
        <v>100</v>
      </c>
      <c r="X29" s="1539"/>
      <c r="Y29" s="3306"/>
      <c r="Z29" s="1540" t="str">
        <f t="shared" si="15"/>
        <v>有无电梯</v>
      </c>
      <c r="AA29" s="1537">
        <f t="shared" si="3"/>
        <v>1</v>
      </c>
      <c r="AB29" s="1537">
        <f t="shared" si="4"/>
        <v>1</v>
      </c>
      <c r="AC29" s="1537">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06"/>
      <c r="Q30" s="1536" t="str">
        <f t="shared" si="11"/>
        <v>建筑面积</v>
      </c>
      <c r="R30" s="714" t="s">
        <v>17</v>
      </c>
      <c r="S30" s="715" t="e">
        <f t="shared" si="12"/>
        <v>#N/A</v>
      </c>
      <c r="T30" s="714" t="s">
        <v>17</v>
      </c>
      <c r="U30" s="715" t="e">
        <f t="shared" si="13"/>
        <v>#N/A</v>
      </c>
      <c r="V30" s="714" t="s">
        <v>17</v>
      </c>
      <c r="W30" s="715" t="e">
        <f t="shared" si="14"/>
        <v>#N/A</v>
      </c>
      <c r="X30" s="1539"/>
      <c r="Y30" s="3306"/>
      <c r="Z30" s="1540" t="str">
        <f t="shared" si="15"/>
        <v>建筑面积</v>
      </c>
      <c r="AA30" s="1537" t="e">
        <f t="shared" si="3"/>
        <v>#N/A</v>
      </c>
      <c r="AB30" s="1537" t="e">
        <f t="shared" si="4"/>
        <v>#N/A</v>
      </c>
      <c r="AC30" s="1537"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06"/>
      <c r="Q31" s="1527" t="str">
        <f t="shared" si="11"/>
        <v>是否封闭</v>
      </c>
      <c r="R31" s="710" t="s">
        <v>17</v>
      </c>
      <c r="S31" s="711">
        <f t="shared" si="12"/>
        <v>100</v>
      </c>
      <c r="T31" s="710" t="s">
        <v>17</v>
      </c>
      <c r="U31" s="711">
        <f t="shared" si="13"/>
        <v>100</v>
      </c>
      <c r="V31" s="710" t="s">
        <v>17</v>
      </c>
      <c r="W31" s="711">
        <f t="shared" si="14"/>
        <v>100</v>
      </c>
      <c r="X31" s="712"/>
      <c r="Y31" s="330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06" t="s">
        <v>2380</v>
      </c>
      <c r="Q32" s="1536">
        <f t="shared" si="11"/>
        <v>111</v>
      </c>
      <c r="R32" s="714" t="s">
        <v>17</v>
      </c>
      <c r="S32" s="715">
        <f t="shared" si="12"/>
        <v>100</v>
      </c>
      <c r="T32" s="714" t="s">
        <v>17</v>
      </c>
      <c r="U32" s="715">
        <f t="shared" si="13"/>
        <v>100</v>
      </c>
      <c r="V32" s="714" t="s">
        <v>17</v>
      </c>
      <c r="W32" s="715">
        <f t="shared" si="14"/>
        <v>100</v>
      </c>
      <c r="X32" s="1539"/>
      <c r="Y32" s="3306" t="s">
        <v>2380</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06"/>
      <c r="Q33" s="1536">
        <f t="shared" si="11"/>
        <v>111</v>
      </c>
      <c r="R33" s="714" t="s">
        <v>17</v>
      </c>
      <c r="S33" s="715">
        <f t="shared" si="12"/>
        <v>100</v>
      </c>
      <c r="T33" s="714" t="s">
        <v>17</v>
      </c>
      <c r="U33" s="715">
        <f t="shared" si="13"/>
        <v>100</v>
      </c>
      <c r="V33" s="714" t="s">
        <v>17</v>
      </c>
      <c r="W33" s="715">
        <f t="shared" si="14"/>
        <v>100</v>
      </c>
      <c r="X33" s="1539"/>
      <c r="Y33" s="3306"/>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06"/>
      <c r="Q34" s="1536">
        <f t="shared" si="11"/>
        <v>111</v>
      </c>
      <c r="R34" s="714" t="s">
        <v>17</v>
      </c>
      <c r="S34" s="715">
        <f t="shared" si="12"/>
        <v>100</v>
      </c>
      <c r="T34" s="714" t="s">
        <v>17</v>
      </c>
      <c r="U34" s="715">
        <f t="shared" si="13"/>
        <v>100</v>
      </c>
      <c r="V34" s="714" t="s">
        <v>17</v>
      </c>
      <c r="W34" s="715">
        <f t="shared" si="14"/>
        <v>100</v>
      </c>
      <c r="X34" s="1539"/>
      <c r="Y34" s="3306"/>
      <c r="Z34" s="1540">
        <f t="shared" si="15"/>
        <v>111</v>
      </c>
      <c r="AA34" s="1537">
        <f t="shared" si="3"/>
        <v>1</v>
      </c>
      <c r="AB34" s="1537">
        <f t="shared" si="4"/>
        <v>1</v>
      </c>
      <c r="AC34" s="1537">
        <f t="shared" si="5"/>
        <v>1</v>
      </c>
    </row>
    <row r="35" spans="1:30" ht="14.4">
      <c r="A35" s="438" t="s">
        <v>2392</v>
      </c>
      <c r="B35" s="439"/>
      <c r="C35" s="1316" t="s">
        <v>1</v>
      </c>
      <c r="D35" s="1317"/>
      <c r="E35" s="1318"/>
      <c r="F35" s="1319"/>
      <c r="G35" s="1320"/>
      <c r="H35" s="1321"/>
      <c r="I35" s="1318"/>
      <c r="J35" s="1321"/>
      <c r="K35" s="723"/>
      <c r="L35" s="2953"/>
      <c r="M35" s="2954"/>
      <c r="N35" s="2945"/>
      <c r="O35" s="2954"/>
      <c r="P35" s="3299" t="str">
        <f>A35</f>
        <v>成交单价（元/平方米）</v>
      </c>
      <c r="Q35" s="3299"/>
      <c r="R35" s="3300">
        <f>E35</f>
        <v>0</v>
      </c>
      <c r="S35" s="3300"/>
      <c r="T35" s="3300">
        <f>G35</f>
        <v>0</v>
      </c>
      <c r="U35" s="3300"/>
      <c r="V35" s="3300">
        <f>I35</f>
        <v>0</v>
      </c>
      <c r="W35" s="3300"/>
      <c r="X35" s="699"/>
      <c r="Y35" s="721"/>
      <c r="Z35" s="699"/>
      <c r="AA35" s="699"/>
      <c r="AB35" s="699"/>
      <c r="AC35" s="699"/>
    </row>
    <row r="36" spans="1:30" ht="15" thickBot="1">
      <c r="A36" s="445" t="s">
        <v>2484</v>
      </c>
      <c r="B36" s="446"/>
      <c r="C36" s="1322" t="e">
        <f>R37</f>
        <v>#DIV/0!</v>
      </c>
      <c r="D36" s="2538" t="s">
        <v>2873</v>
      </c>
      <c r="E36" s="1323" t="e">
        <f>R36</f>
        <v>#DIV/0!</v>
      </c>
      <c r="F36" s="2539"/>
      <c r="G36" s="1322" t="e">
        <f>T36</f>
        <v>#DIV/0!</v>
      </c>
      <c r="H36" s="2539"/>
      <c r="I36" s="1323" t="e">
        <f>V36</f>
        <v>#DIV/0!</v>
      </c>
      <c r="J36" s="2539"/>
      <c r="K36" s="2541">
        <f>F36+H36+J36</f>
        <v>0</v>
      </c>
      <c r="L36" s="2953"/>
      <c r="M36" s="2954"/>
      <c r="N36" s="2945"/>
      <c r="O36" s="2954"/>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699"/>
      <c r="Y36" s="699"/>
      <c r="Z36" s="699"/>
      <c r="AA36" s="699"/>
      <c r="AB36" s="699"/>
      <c r="AC36" s="699"/>
    </row>
    <row r="37" spans="1:30" ht="15" thickBot="1">
      <c r="A37" s="449" t="s">
        <v>2485</v>
      </c>
      <c r="B37" s="450"/>
      <c r="C37" s="1325" t="e">
        <f>R37</f>
        <v>#DIV/0!</v>
      </c>
      <c r="D37" s="1325"/>
      <c r="E37" s="1325"/>
      <c r="F37" s="1325"/>
      <c r="G37" s="1325"/>
      <c r="H37" s="1325"/>
      <c r="I37" s="1325"/>
      <c r="J37" s="1325"/>
      <c r="K37" s="724"/>
      <c r="L37" s="2953"/>
      <c r="M37" s="2954"/>
      <c r="N37" s="2954"/>
      <c r="O37" s="2954"/>
      <c r="P37" s="3296" t="str">
        <f>A37</f>
        <v>估价对象XX用房的比较价值（楼面单价，元/平方米）</v>
      </c>
      <c r="Q37" s="3297"/>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2.2" thickBot="1">
      <c r="A45" s="703" t="s">
        <v>2489</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4.4">
      <c r="A46" s="462" t="s">
        <v>2363</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5"/>
      <c r="Q46" s="2970"/>
      <c r="R46" s="2970"/>
      <c r="S46" s="2970"/>
      <c r="T46" s="2970"/>
      <c r="U46" s="2970"/>
      <c r="V46" s="2970"/>
      <c r="W46" s="2970"/>
      <c r="X46" s="2970"/>
      <c r="Y46" s="2970"/>
      <c r="Z46" s="2970"/>
      <c r="AA46" s="2970"/>
      <c r="AB46" s="2970"/>
      <c r="AC46" s="2970"/>
      <c r="AD46" s="2970"/>
    </row>
    <row r="47" spans="1:30" s="113" customFormat="1">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 thickBot="1">
      <c r="A48" s="472" t="s">
        <v>2400</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4.4">
      <c r="A49" s="478" t="s">
        <v>2365</v>
      </c>
      <c r="B49" s="467"/>
      <c r="C49" s="479" t="s">
        <v>2467</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4.4"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ht="14.4">
      <c r="A51" s="484" t="s">
        <v>2403</v>
      </c>
      <c r="B51" s="485" t="s">
        <v>2369</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4.4"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9.4" thickTop="1">
      <c r="A53" s="491"/>
      <c r="B53" s="495" t="s">
        <v>2372</v>
      </c>
      <c r="C53" s="496" t="s">
        <v>2404</v>
      </c>
      <c r="D53" s="496" t="s">
        <v>2405</v>
      </c>
      <c r="E53" s="496" t="s">
        <v>2406</v>
      </c>
      <c r="F53" s="496" t="s">
        <v>2407</v>
      </c>
      <c r="G53" s="496" t="s">
        <v>2408</v>
      </c>
      <c r="H53" s="496" t="s">
        <v>2409</v>
      </c>
      <c r="I53" s="496" t="s">
        <v>2410</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4.4"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4.4"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4.4"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4.4"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4.4"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4.4"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9.4" thickTop="1">
      <c r="A63" s="491"/>
      <c r="B63" s="495" t="s">
        <v>2555</v>
      </c>
      <c r="C63" s="535" t="s">
        <v>2412</v>
      </c>
      <c r="D63" s="535" t="s">
        <v>2413</v>
      </c>
      <c r="E63" s="535" t="s">
        <v>2414</v>
      </c>
      <c r="F63" s="535" t="s">
        <v>2415</v>
      </c>
      <c r="G63" s="535" t="s">
        <v>2416</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 thickTop="1">
      <c r="A65" s="491"/>
      <c r="B65" s="503" t="s">
        <v>2504</v>
      </c>
      <c r="C65" s="616" t="s">
        <v>2490</v>
      </c>
      <c r="D65" s="616" t="s">
        <v>2491</v>
      </c>
      <c r="E65" s="616" t="s">
        <v>2492</v>
      </c>
      <c r="F65" s="616" t="s">
        <v>2493</v>
      </c>
      <c r="G65" s="616" t="s">
        <v>2494</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 thickTop="1">
      <c r="A67" s="491"/>
      <c r="B67" s="495" t="s">
        <v>2424</v>
      </c>
      <c r="C67" s="535" t="s">
        <v>2412</v>
      </c>
      <c r="D67" s="535" t="s">
        <v>2413</v>
      </c>
      <c r="E67" s="535" t="s">
        <v>2414</v>
      </c>
      <c r="F67" s="535" t="s">
        <v>2415</v>
      </c>
      <c r="G67" s="535" t="s">
        <v>2416</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 thickTop="1">
      <c r="A69" s="491"/>
      <c r="B69" s="495" t="s">
        <v>2544</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4.4"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4.4"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4.4"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4.4"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4.4"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4.4"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4.4"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2378</v>
      </c>
      <c r="B77" s="485" t="s">
        <v>2431</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2548</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2556</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4.4"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2558</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4.4"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4.4"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4.4"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4.4"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4.4"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4.4"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4.4"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4.4"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4.4">
      <c r="A4" s="361" t="s">
        <v>2460</v>
      </c>
      <c r="B4" s="362"/>
      <c r="C4" s="3314" t="s">
        <v>2461</v>
      </c>
      <c r="D4" s="3315"/>
      <c r="E4" s="3316" t="s">
        <v>2462</v>
      </c>
      <c r="F4" s="3317"/>
      <c r="G4" s="3314" t="s">
        <v>2463</v>
      </c>
      <c r="H4" s="3315"/>
      <c r="I4" s="3314" t="s">
        <v>2464</v>
      </c>
      <c r="J4" s="3315"/>
      <c r="K4" s="567" t="s">
        <v>2465</v>
      </c>
      <c r="L4" s="2944"/>
      <c r="M4" s="2945"/>
      <c r="N4" s="2945"/>
      <c r="O4" s="2945"/>
      <c r="P4" s="3318" t="s">
        <v>2466</v>
      </c>
      <c r="Q4" s="3319"/>
      <c r="R4" s="3324" t="s">
        <v>2462</v>
      </c>
      <c r="S4" s="3325"/>
      <c r="T4" s="3324" t="s">
        <v>2463</v>
      </c>
      <c r="U4" s="3325"/>
      <c r="V4" s="3330" t="s">
        <v>2464</v>
      </c>
      <c r="W4" s="3330"/>
      <c r="X4" s="1539"/>
      <c r="Y4" s="3324" t="s">
        <v>2466</v>
      </c>
      <c r="Z4" s="3325"/>
      <c r="AA4" s="3311" t="s">
        <v>2462</v>
      </c>
      <c r="AB4" s="3312" t="s">
        <v>2463</v>
      </c>
      <c r="AC4" s="3311" t="s">
        <v>2464</v>
      </c>
    </row>
    <row r="5" spans="1:30">
      <c r="A5" s="364"/>
      <c r="B5" s="365"/>
      <c r="C5" s="3333" t="s">
        <v>2357</v>
      </c>
      <c r="D5" s="3334"/>
      <c r="E5" s="3340" t="s">
        <v>2358</v>
      </c>
      <c r="F5" s="3341"/>
      <c r="G5" s="3333" t="s">
        <v>2359</v>
      </c>
      <c r="H5" s="3334"/>
      <c r="I5" s="3333" t="s">
        <v>2360</v>
      </c>
      <c r="J5" s="3334"/>
      <c r="K5" s="567"/>
      <c r="L5" s="2944"/>
      <c r="M5" s="2945"/>
      <c r="N5" s="2945"/>
      <c r="O5" s="2945"/>
      <c r="P5" s="3320"/>
      <c r="Q5" s="3321"/>
      <c r="R5" s="3326"/>
      <c r="S5" s="3327"/>
      <c r="T5" s="3326"/>
      <c r="U5" s="3327"/>
      <c r="V5" s="3330"/>
      <c r="W5" s="3330"/>
      <c r="X5" s="1539"/>
      <c r="Y5" s="3326"/>
      <c r="Z5" s="3327"/>
      <c r="AA5" s="3312"/>
      <c r="AB5" s="3312"/>
      <c r="AC5" s="3312"/>
    </row>
    <row r="6" spans="1:30" ht="15" thickBot="1">
      <c r="A6" s="366"/>
      <c r="B6" s="367"/>
      <c r="C6" s="3331" t="s">
        <v>2361</v>
      </c>
      <c r="D6" s="3332"/>
      <c r="E6" s="3338" t="s">
        <v>2361</v>
      </c>
      <c r="F6" s="3339"/>
      <c r="G6" s="3331" t="s">
        <v>2361</v>
      </c>
      <c r="H6" s="3332"/>
      <c r="I6" s="3331" t="s">
        <v>2361</v>
      </c>
      <c r="J6" s="3332"/>
      <c r="K6" s="567" t="s">
        <v>2362</v>
      </c>
      <c r="L6" s="2944"/>
      <c r="M6" s="2945"/>
      <c r="N6" s="2945"/>
      <c r="O6" s="2945"/>
      <c r="P6" s="3322"/>
      <c r="Q6" s="3323"/>
      <c r="R6" s="3326"/>
      <c r="S6" s="3327"/>
      <c r="T6" s="3328"/>
      <c r="U6" s="3329"/>
      <c r="V6" s="3330"/>
      <c r="W6" s="3330"/>
      <c r="X6" s="1539"/>
      <c r="Y6" s="3328"/>
      <c r="Z6" s="3329"/>
      <c r="AA6" s="3313"/>
      <c r="AB6" s="3313"/>
      <c r="AC6" s="3313"/>
    </row>
    <row r="7" spans="1:30" s="113" customFormat="1" ht="15" thickBot="1">
      <c r="A7" s="368" t="s">
        <v>2363</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35" t="s">
        <v>2364</v>
      </c>
      <c r="Q7" s="3337"/>
      <c r="R7" s="710" t="s">
        <v>17</v>
      </c>
      <c r="S7" s="711">
        <f t="shared" ref="S7:S15" si="0">F7</f>
        <v>0</v>
      </c>
      <c r="T7" s="710" t="s">
        <v>17</v>
      </c>
      <c r="U7" s="711">
        <f t="shared" ref="U7:U15" si="1">H7</f>
        <v>0</v>
      </c>
      <c r="V7" s="710" t="s">
        <v>17</v>
      </c>
      <c r="W7" s="711">
        <f t="shared" ref="W7:W15" si="2">J7</f>
        <v>0</v>
      </c>
      <c r="X7" s="712"/>
      <c r="Y7" s="3335" t="s">
        <v>2364</v>
      </c>
      <c r="Z7" s="3336"/>
      <c r="AA7" s="713" t="e">
        <f>D7/F7</f>
        <v>#DIV/0!</v>
      </c>
      <c r="AB7" s="713" t="e">
        <f>D7/H7</f>
        <v>#DIV/0!</v>
      </c>
      <c r="AC7" s="713" t="e">
        <f>D7/J7</f>
        <v>#DIV/0!</v>
      </c>
    </row>
    <row r="8" spans="1:30" s="113" customFormat="1" ht="1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35" t="s">
        <v>2367</v>
      </c>
      <c r="Q8" s="3336"/>
      <c r="R8" s="710" t="s">
        <v>17</v>
      </c>
      <c r="S8" s="711">
        <f t="shared" si="0"/>
        <v>0</v>
      </c>
      <c r="T8" s="710" t="s">
        <v>17</v>
      </c>
      <c r="U8" s="711">
        <f t="shared" si="1"/>
        <v>0</v>
      </c>
      <c r="V8" s="710" t="s">
        <v>17</v>
      </c>
      <c r="W8" s="711">
        <f t="shared" si="2"/>
        <v>0</v>
      </c>
      <c r="X8" s="712"/>
      <c r="Y8" s="3335" t="s">
        <v>2367</v>
      </c>
      <c r="Z8" s="3336"/>
      <c r="AA8" s="713" t="e">
        <f t="shared" ref="AA8:AA45" si="3">D8/F8</f>
        <v>#DIV/0!</v>
      </c>
      <c r="AB8" s="713" t="e">
        <f t="shared" ref="AB8:AB45" si="4">D8/H8</f>
        <v>#DIV/0!</v>
      </c>
      <c r="AC8" s="713" t="e">
        <f t="shared" ref="AC8:AC45" si="5">D8/J8</f>
        <v>#DIV/0!</v>
      </c>
    </row>
    <row r="9" spans="1:30" s="113" customFormat="1" ht="14.4">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299"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713">
        <f t="shared" si="5"/>
        <v>1</v>
      </c>
    </row>
    <row r="10" spans="1:30" s="386" customFormat="1" ht="28.8">
      <c r="A10" s="380"/>
      <c r="B10" s="381" t="s">
        <v>2372</v>
      </c>
      <c r="C10" s="391"/>
      <c r="D10" s="132">
        <v>100</v>
      </c>
      <c r="E10" s="424"/>
      <c r="F10" s="132">
        <f>ROUND(100/'数据-取费表'!G16,0)</f>
        <v>106</v>
      </c>
      <c r="G10" s="422"/>
      <c r="H10" s="132">
        <f>ROUND(100/'数据-取费表'!G16,0)</f>
        <v>106</v>
      </c>
      <c r="I10" s="422"/>
      <c r="J10" s="132">
        <f>ROUND(100/'数据-取费表'!G16,0)</f>
        <v>106</v>
      </c>
      <c r="K10" s="628"/>
      <c r="L10" s="2948"/>
      <c r="M10" s="2949"/>
      <c r="N10" s="2949"/>
      <c r="O10" s="3002"/>
      <c r="P10" s="3299"/>
      <c r="Q10" s="1527" t="str">
        <f t="shared" si="6"/>
        <v>土地使用年限（年）</v>
      </c>
      <c r="R10" s="710" t="s">
        <v>17</v>
      </c>
      <c r="S10" s="711">
        <f t="shared" si="0"/>
        <v>106</v>
      </c>
      <c r="T10" s="710" t="s">
        <v>17</v>
      </c>
      <c r="U10" s="711">
        <f t="shared" si="1"/>
        <v>106</v>
      </c>
      <c r="V10" s="710" t="s">
        <v>17</v>
      </c>
      <c r="W10" s="711">
        <f t="shared" si="2"/>
        <v>106</v>
      </c>
      <c r="X10" s="712"/>
      <c r="Y10" s="3169"/>
      <c r="Z10" s="55" t="str">
        <f t="shared" si="7"/>
        <v>土地使用年限（年）</v>
      </c>
      <c r="AA10" s="713">
        <f t="shared" si="3"/>
        <v>0.94339622641509435</v>
      </c>
      <c r="AB10" s="713">
        <f t="shared" si="4"/>
        <v>0.94339622641509435</v>
      </c>
      <c r="AC10" s="713">
        <f t="shared" si="5"/>
        <v>0.94339622641509435</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299"/>
      <c r="Q11" s="1527"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299"/>
      <c r="Q12" s="1527" t="str">
        <f t="shared" si="6"/>
        <v>配建</v>
      </c>
      <c r="R12" s="710" t="s">
        <v>17</v>
      </c>
      <c r="S12" s="711">
        <f t="shared" si="0"/>
        <v>100</v>
      </c>
      <c r="T12" s="710" t="s">
        <v>17</v>
      </c>
      <c r="U12" s="711">
        <f t="shared" si="1"/>
        <v>100</v>
      </c>
      <c r="V12" s="710" t="s">
        <v>17</v>
      </c>
      <c r="W12" s="711">
        <f t="shared" si="2"/>
        <v>100</v>
      </c>
      <c r="X12" s="712"/>
      <c r="Y12" s="316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299"/>
      <c r="Q13" s="1527">
        <f t="shared" si="6"/>
        <v>111</v>
      </c>
      <c r="R13" s="710" t="s">
        <v>17</v>
      </c>
      <c r="S13" s="711">
        <f t="shared" si="0"/>
        <v>100</v>
      </c>
      <c r="T13" s="710" t="s">
        <v>17</v>
      </c>
      <c r="U13" s="711">
        <f t="shared" si="1"/>
        <v>100</v>
      </c>
      <c r="V13" s="710" t="s">
        <v>17</v>
      </c>
      <c r="W13" s="711">
        <f t="shared" si="2"/>
        <v>100</v>
      </c>
      <c r="X13" s="712"/>
      <c r="Y13" s="3169"/>
      <c r="Z13" s="55">
        <f t="shared" si="7"/>
        <v>111</v>
      </c>
      <c r="AA13" s="713">
        <f>D13/F13</f>
        <v>1</v>
      </c>
      <c r="AB13" s="713">
        <f>D13/H13</f>
        <v>1</v>
      </c>
      <c r="AC13" s="713">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299"/>
      <c r="Q14" s="1527">
        <f t="shared" si="6"/>
        <v>111</v>
      </c>
      <c r="R14" s="710" t="s">
        <v>17</v>
      </c>
      <c r="S14" s="711">
        <f t="shared" si="0"/>
        <v>100</v>
      </c>
      <c r="T14" s="710" t="s">
        <v>17</v>
      </c>
      <c r="U14" s="711">
        <f t="shared" si="1"/>
        <v>100</v>
      </c>
      <c r="V14" s="710" t="s">
        <v>17</v>
      </c>
      <c r="W14" s="711">
        <f t="shared" si="2"/>
        <v>100</v>
      </c>
      <c r="X14" s="712"/>
      <c r="Y14" s="3169"/>
      <c r="Z14" s="55">
        <f t="shared" si="7"/>
        <v>111</v>
      </c>
      <c r="AA14" s="713">
        <f>D14/F14</f>
        <v>1</v>
      </c>
      <c r="AB14" s="713">
        <f>D14/H14</f>
        <v>1</v>
      </c>
      <c r="AC14" s="713">
        <f>D14/J14</f>
        <v>1</v>
      </c>
    </row>
    <row r="15" spans="1:30" ht="96.6">
      <c r="A15" s="399" t="s">
        <v>2374</v>
      </c>
      <c r="B15" s="65" t="s">
        <v>1940</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1" t="s">
        <v>2375</v>
      </c>
      <c r="Q15" s="1536" t="str">
        <f t="shared" si="6"/>
        <v>居住社区成熟度</v>
      </c>
      <c r="R15" s="714" t="s">
        <v>17</v>
      </c>
      <c r="S15" s="715">
        <f t="shared" si="0"/>
        <v>100</v>
      </c>
      <c r="T15" s="714" t="s">
        <v>17</v>
      </c>
      <c r="U15" s="715">
        <f t="shared" si="1"/>
        <v>100</v>
      </c>
      <c r="V15" s="714" t="s">
        <v>17</v>
      </c>
      <c r="W15" s="715">
        <f t="shared" si="2"/>
        <v>100</v>
      </c>
      <c r="X15" s="1539"/>
      <c r="Y15" s="3301" t="s">
        <v>2375</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02"/>
      <c r="Q16" s="1536"/>
      <c r="R16" s="714"/>
      <c r="S16" s="715"/>
      <c r="T16" s="714"/>
      <c r="U16" s="715"/>
      <c r="V16" s="714"/>
      <c r="W16" s="715"/>
      <c r="X16" s="1539"/>
      <c r="Y16" s="3302"/>
      <c r="Z16" s="1540"/>
      <c r="AA16" s="1537">
        <v>1</v>
      </c>
      <c r="AB16" s="1537">
        <v>1</v>
      </c>
      <c r="AC16" s="1537">
        <v>1</v>
      </c>
    </row>
    <row r="17" spans="1:29" ht="82.8">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02"/>
      <c r="Q17" s="1536" t="str">
        <f>B17</f>
        <v>商业繁华度</v>
      </c>
      <c r="R17" s="714" t="s">
        <v>17</v>
      </c>
      <c r="S17" s="715">
        <f>F17</f>
        <v>100</v>
      </c>
      <c r="T17" s="714" t="s">
        <v>17</v>
      </c>
      <c r="U17" s="715">
        <f>H17</f>
        <v>100</v>
      </c>
      <c r="V17" s="714" t="s">
        <v>17</v>
      </c>
      <c r="W17" s="715">
        <f>J17</f>
        <v>100</v>
      </c>
      <c r="X17" s="1539"/>
      <c r="Y17" s="330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02"/>
      <c r="Q18" s="1536"/>
      <c r="R18" s="714"/>
      <c r="S18" s="715"/>
      <c r="T18" s="714"/>
      <c r="U18" s="715"/>
      <c r="V18" s="714"/>
      <c r="W18" s="715"/>
      <c r="X18" s="1539"/>
      <c r="Y18" s="3302"/>
      <c r="Z18" s="1540"/>
      <c r="AA18" s="1537">
        <v>1</v>
      </c>
      <c r="AB18" s="1537">
        <v>1</v>
      </c>
      <c r="AC18" s="1537">
        <v>1</v>
      </c>
    </row>
    <row r="19" spans="1:29" ht="82.8">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02"/>
      <c r="Q19" s="1536" t="str">
        <f>B19</f>
        <v>办公集聚程度</v>
      </c>
      <c r="R19" s="714" t="s">
        <v>17</v>
      </c>
      <c r="S19" s="715">
        <f>F19</f>
        <v>100</v>
      </c>
      <c r="T19" s="714" t="s">
        <v>17</v>
      </c>
      <c r="U19" s="715">
        <f>H19</f>
        <v>100</v>
      </c>
      <c r="V19" s="714" t="s">
        <v>17</v>
      </c>
      <c r="W19" s="715">
        <f>J19</f>
        <v>100</v>
      </c>
      <c r="X19" s="1539"/>
      <c r="Y19" s="330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02"/>
      <c r="Q20" s="1536"/>
      <c r="R20" s="714"/>
      <c r="S20" s="715"/>
      <c r="T20" s="714"/>
      <c r="U20" s="715"/>
      <c r="V20" s="714"/>
      <c r="W20" s="715"/>
      <c r="X20" s="1539"/>
      <c r="Y20" s="3302"/>
      <c r="Z20" s="1540"/>
      <c r="AA20" s="1537">
        <v>1</v>
      </c>
      <c r="AB20" s="1537">
        <v>1</v>
      </c>
      <c r="AC20" s="1537">
        <v>1</v>
      </c>
    </row>
    <row r="21" spans="1:29" ht="96.6">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02"/>
      <c r="Q21" s="1536" t="str">
        <f>B21</f>
        <v>交通便捷度</v>
      </c>
      <c r="R21" s="714" t="s">
        <v>17</v>
      </c>
      <c r="S21" s="715">
        <f>F21</f>
        <v>100</v>
      </c>
      <c r="T21" s="714" t="s">
        <v>17</v>
      </c>
      <c r="U21" s="715">
        <f>H21</f>
        <v>100</v>
      </c>
      <c r="V21" s="714" t="s">
        <v>17</v>
      </c>
      <c r="W21" s="715">
        <f>J21</f>
        <v>100</v>
      </c>
      <c r="X21" s="1539"/>
      <c r="Y21" s="330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02"/>
      <c r="Q22" s="1536"/>
      <c r="R22" s="714"/>
      <c r="S22" s="715"/>
      <c r="T22" s="714"/>
      <c r="U22" s="715"/>
      <c r="V22" s="714"/>
      <c r="W22" s="715"/>
      <c r="X22" s="1539"/>
      <c r="Y22" s="3302"/>
      <c r="Z22" s="1540"/>
      <c r="AA22" s="1537">
        <v>1</v>
      </c>
      <c r="AB22" s="1537">
        <v>1</v>
      </c>
      <c r="AC22" s="1537">
        <v>1</v>
      </c>
    </row>
    <row r="23" spans="1:29" ht="28.8">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02"/>
      <c r="Q23" s="1536" t="str">
        <f t="shared" ref="Q23:Q37" si="8">B23</f>
        <v>区域土地利用方向</v>
      </c>
      <c r="R23" s="714" t="s">
        <v>17</v>
      </c>
      <c r="S23" s="715">
        <f>F23</f>
        <v>100</v>
      </c>
      <c r="T23" s="714" t="s">
        <v>17</v>
      </c>
      <c r="U23" s="715">
        <f>H23</f>
        <v>100</v>
      </c>
      <c r="V23" s="714" t="s">
        <v>17</v>
      </c>
      <c r="W23" s="715">
        <f>J23</f>
        <v>100</v>
      </c>
      <c r="X23" s="1539"/>
      <c r="Y23" s="330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02"/>
      <c r="Q24" s="1536"/>
      <c r="R24" s="714"/>
      <c r="S24" s="715"/>
      <c r="T24" s="714"/>
      <c r="U24" s="715"/>
      <c r="V24" s="714"/>
      <c r="W24" s="715"/>
      <c r="X24" s="1539"/>
      <c r="Y24" s="3302"/>
      <c r="Z24" s="1540"/>
      <c r="AA24" s="1537"/>
      <c r="AB24" s="1537"/>
      <c r="AC24" s="1537"/>
    </row>
    <row r="25" spans="1:29" ht="55.2">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02"/>
      <c r="Q25" s="1536" t="str">
        <f t="shared" si="8"/>
        <v>自然及人文环境状况</v>
      </c>
      <c r="R25" s="714" t="s">
        <v>17</v>
      </c>
      <c r="S25" s="715">
        <f>F25</f>
        <v>100</v>
      </c>
      <c r="T25" s="714" t="s">
        <v>17</v>
      </c>
      <c r="U25" s="715">
        <f>H25</f>
        <v>100</v>
      </c>
      <c r="V25" s="714" t="s">
        <v>17</v>
      </c>
      <c r="W25" s="715">
        <f>J25</f>
        <v>100</v>
      </c>
      <c r="X25" s="1539"/>
      <c r="Y25" s="330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02"/>
      <c r="Q26" s="1536"/>
      <c r="R26" s="714"/>
      <c r="S26" s="715"/>
      <c r="T26" s="714"/>
      <c r="U26" s="715"/>
      <c r="V26" s="714"/>
      <c r="W26" s="715"/>
      <c r="X26" s="1539"/>
      <c r="Y26" s="3302"/>
      <c r="Z26" s="1540"/>
      <c r="AA26" s="1537">
        <v>1</v>
      </c>
      <c r="AB26" s="1537">
        <v>1</v>
      </c>
      <c r="AC26" s="1537">
        <v>1</v>
      </c>
    </row>
    <row r="27" spans="1:29" s="113" customFormat="1" ht="41.4">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02"/>
      <c r="Q27" s="1527" t="str">
        <f t="shared" si="8"/>
        <v>公共配套设施</v>
      </c>
      <c r="R27" s="710" t="s">
        <v>17</v>
      </c>
      <c r="S27" s="711">
        <f>F27</f>
        <v>100</v>
      </c>
      <c r="T27" s="710" t="s">
        <v>17</v>
      </c>
      <c r="U27" s="711">
        <f>H27</f>
        <v>100</v>
      </c>
      <c r="V27" s="710" t="s">
        <v>17</v>
      </c>
      <c r="W27" s="711">
        <f>J27</f>
        <v>100</v>
      </c>
      <c r="X27" s="712"/>
      <c r="Y27" s="330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02"/>
      <c r="Q28" s="1527"/>
      <c r="R28" s="710"/>
      <c r="S28" s="711"/>
      <c r="T28" s="710"/>
      <c r="U28" s="711"/>
      <c r="V28" s="710"/>
      <c r="W28" s="711"/>
      <c r="X28" s="712"/>
      <c r="Y28" s="3302"/>
      <c r="Z28" s="55"/>
      <c r="AA28" s="1537">
        <v>1</v>
      </c>
      <c r="AB28" s="1537">
        <v>1</v>
      </c>
      <c r="AC28" s="1537">
        <v>1</v>
      </c>
    </row>
    <row r="29" spans="1:29" s="113" customFormat="1" ht="41.4">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02"/>
      <c r="Q29" s="1527" t="str">
        <f t="shared" ref="Q29" si="9">B29</f>
        <v>基础设施水平</v>
      </c>
      <c r="R29" s="710" t="s">
        <v>17</v>
      </c>
      <c r="S29" s="711">
        <f>F29</f>
        <v>100</v>
      </c>
      <c r="T29" s="710" t="s">
        <v>17</v>
      </c>
      <c r="U29" s="711">
        <f>H29</f>
        <v>100</v>
      </c>
      <c r="V29" s="710" t="s">
        <v>17</v>
      </c>
      <c r="W29" s="711">
        <f>J29</f>
        <v>100</v>
      </c>
      <c r="X29" s="712"/>
      <c r="Y29" s="330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02"/>
      <c r="Q30" s="1527"/>
      <c r="R30" s="710"/>
      <c r="S30" s="711"/>
      <c r="T30" s="710"/>
      <c r="U30" s="711"/>
      <c r="V30" s="710"/>
      <c r="W30" s="711"/>
      <c r="X30" s="712"/>
      <c r="Y30" s="3302"/>
      <c r="Z30" s="55"/>
      <c r="AA30" s="1537">
        <v>1</v>
      </c>
      <c r="AB30" s="1537">
        <v>1</v>
      </c>
      <c r="AC30" s="1537">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0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2"/>
      <c r="Z31" s="1540" t="str">
        <f t="shared" ref="Z31:Z45" si="13">Q31</f>
        <v>临街状况</v>
      </c>
      <c r="AA31" s="1537">
        <f t="shared" si="3"/>
        <v>1</v>
      </c>
      <c r="AB31" s="1537">
        <f t="shared" si="4"/>
        <v>1</v>
      </c>
      <c r="AC31" s="1537">
        <f t="shared" si="5"/>
        <v>1</v>
      </c>
    </row>
    <row r="32" spans="1:29" ht="28.8">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02"/>
      <c r="Q32" s="1536" t="str">
        <f t="shared" si="8"/>
        <v>毗邻道路的类型与等级</v>
      </c>
      <c r="R32" s="714" t="s">
        <v>17</v>
      </c>
      <c r="S32" s="715">
        <f t="shared" si="10"/>
        <v>100</v>
      </c>
      <c r="T32" s="714" t="s">
        <v>17</v>
      </c>
      <c r="U32" s="715">
        <f t="shared" si="11"/>
        <v>100</v>
      </c>
      <c r="V32" s="714" t="s">
        <v>17</v>
      </c>
      <c r="W32" s="715">
        <f t="shared" si="12"/>
        <v>100</v>
      </c>
      <c r="X32" s="1539"/>
      <c r="Y32" s="330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02"/>
      <c r="Q33" s="1536"/>
      <c r="R33" s="714"/>
      <c r="S33" s="715"/>
      <c r="T33" s="714"/>
      <c r="U33" s="715"/>
      <c r="V33" s="714"/>
      <c r="W33" s="715"/>
      <c r="X33" s="1539"/>
      <c r="Y33" s="3302"/>
      <c r="Z33" s="1540"/>
      <c r="AA33" s="1537">
        <v>1</v>
      </c>
      <c r="AB33" s="1537">
        <v>1</v>
      </c>
      <c r="AC33" s="1537">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02"/>
      <c r="Q34" s="1536" t="str">
        <f t="shared" si="8"/>
        <v>土地级别</v>
      </c>
      <c r="R34" s="714" t="s">
        <v>17</v>
      </c>
      <c r="S34" s="715">
        <f t="shared" si="10"/>
        <v>100</v>
      </c>
      <c r="T34" s="714" t="s">
        <v>17</v>
      </c>
      <c r="U34" s="715">
        <f t="shared" si="11"/>
        <v>100</v>
      </c>
      <c r="V34" s="714" t="s">
        <v>17</v>
      </c>
      <c r="W34" s="715">
        <f t="shared" si="12"/>
        <v>100</v>
      </c>
      <c r="X34" s="1539"/>
      <c r="Y34" s="330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02"/>
      <c r="Q35" s="1536">
        <f t="shared" si="8"/>
        <v>111</v>
      </c>
      <c r="R35" s="714" t="s">
        <v>17</v>
      </c>
      <c r="S35" s="715">
        <f t="shared" si="10"/>
        <v>100</v>
      </c>
      <c r="T35" s="714" t="s">
        <v>17</v>
      </c>
      <c r="U35" s="715">
        <f t="shared" si="11"/>
        <v>100</v>
      </c>
      <c r="V35" s="714" t="s">
        <v>17</v>
      </c>
      <c r="W35" s="715">
        <f t="shared" si="12"/>
        <v>100</v>
      </c>
      <c r="X35" s="1539"/>
      <c r="Y35" s="330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57" t="s">
        <v>2380</v>
      </c>
      <c r="Q36" s="1536">
        <f t="shared" si="8"/>
        <v>111</v>
      </c>
      <c r="R36" s="714" t="s">
        <v>17</v>
      </c>
      <c r="S36" s="715">
        <f t="shared" si="10"/>
        <v>100</v>
      </c>
      <c r="T36" s="714" t="s">
        <v>17</v>
      </c>
      <c r="U36" s="715">
        <f t="shared" si="11"/>
        <v>100</v>
      </c>
      <c r="V36" s="714" t="s">
        <v>17</v>
      </c>
      <c r="W36" s="715">
        <f t="shared" si="12"/>
        <v>100</v>
      </c>
      <c r="X36" s="1539"/>
      <c r="Y36" s="3306" t="s">
        <v>2380</v>
      </c>
      <c r="Z36" s="1540">
        <f t="shared" si="13"/>
        <v>111</v>
      </c>
      <c r="AA36" s="1537">
        <f t="shared" si="3"/>
        <v>1</v>
      </c>
      <c r="AB36" s="1537">
        <f t="shared" si="4"/>
        <v>1</v>
      </c>
      <c r="AC36" s="1537">
        <f t="shared" si="5"/>
        <v>1</v>
      </c>
    </row>
    <row r="37" spans="1:29" s="430" customFormat="1" ht="15.6"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06"/>
      <c r="Q37" s="1536">
        <f t="shared" si="8"/>
        <v>111</v>
      </c>
      <c r="R37" s="717" t="s">
        <v>17</v>
      </c>
      <c r="S37" s="718">
        <f t="shared" si="10"/>
        <v>100</v>
      </c>
      <c r="T37" s="717" t="s">
        <v>17</v>
      </c>
      <c r="U37" s="718">
        <f t="shared" si="11"/>
        <v>100</v>
      </c>
      <c r="V37" s="717" t="s">
        <v>17</v>
      </c>
      <c r="W37" s="718">
        <f t="shared" si="12"/>
        <v>100</v>
      </c>
      <c r="X37" s="719"/>
      <c r="Y37" s="3306"/>
      <c r="Z37" s="720">
        <f t="shared" si="13"/>
        <v>111</v>
      </c>
      <c r="AA37" s="1537">
        <f t="shared" si="3"/>
        <v>1</v>
      </c>
      <c r="AB37" s="1537">
        <f t="shared" si="4"/>
        <v>1</v>
      </c>
      <c r="AC37" s="1537">
        <f t="shared" si="5"/>
        <v>1</v>
      </c>
    </row>
    <row r="38" spans="1:29" ht="15.6">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06"/>
      <c r="Q38" s="1536" t="str">
        <f>B38</f>
        <v>宗地面积</v>
      </c>
      <c r="R38" s="714" t="s">
        <v>17</v>
      </c>
      <c r="S38" s="715" t="e">
        <f t="shared" si="10"/>
        <v>#N/A</v>
      </c>
      <c r="T38" s="714" t="s">
        <v>17</v>
      </c>
      <c r="U38" s="715" t="e">
        <f t="shared" si="11"/>
        <v>#N/A</v>
      </c>
      <c r="V38" s="714" t="s">
        <v>17</v>
      </c>
      <c r="W38" s="715" t="e">
        <f t="shared" si="12"/>
        <v>#N/A</v>
      </c>
      <c r="X38" s="1539"/>
      <c r="Y38" s="3306"/>
      <c r="Z38" s="1540" t="str">
        <f t="shared" si="13"/>
        <v>宗地面积</v>
      </c>
      <c r="AA38" s="1537" t="e">
        <f t="shared" si="3"/>
        <v>#N/A</v>
      </c>
      <c r="AB38" s="1537" t="e">
        <f t="shared" si="4"/>
        <v>#N/A</v>
      </c>
      <c r="AC38" s="1537"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06"/>
      <c r="Q39" s="1536" t="str">
        <f t="shared" ref="Q39:Q45" si="14">B39</f>
        <v>宗地形状</v>
      </c>
      <c r="R39" s="714" t="s">
        <v>17</v>
      </c>
      <c r="S39" s="715">
        <f t="shared" si="10"/>
        <v>100</v>
      </c>
      <c r="T39" s="714" t="s">
        <v>17</v>
      </c>
      <c r="U39" s="715">
        <f t="shared" si="11"/>
        <v>100</v>
      </c>
      <c r="V39" s="714" t="s">
        <v>17</v>
      </c>
      <c r="W39" s="715">
        <f t="shared" si="12"/>
        <v>100</v>
      </c>
      <c r="X39" s="1539"/>
      <c r="Y39" s="3306"/>
      <c r="Z39" s="1540" t="str">
        <f t="shared" si="13"/>
        <v>宗地形状</v>
      </c>
      <c r="AA39" s="1537">
        <f t="shared" si="3"/>
        <v>1</v>
      </c>
      <c r="AB39" s="1537">
        <f t="shared" si="4"/>
        <v>1</v>
      </c>
      <c r="AC39" s="1537">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06"/>
      <c r="Q40" s="1536" t="str">
        <f t="shared" si="14"/>
        <v>临街宽度及深度</v>
      </c>
      <c r="R40" s="714" t="s">
        <v>17</v>
      </c>
      <c r="S40" s="715">
        <f t="shared" si="10"/>
        <v>100</v>
      </c>
      <c r="T40" s="714" t="s">
        <v>17</v>
      </c>
      <c r="U40" s="715">
        <f t="shared" si="11"/>
        <v>100</v>
      </c>
      <c r="V40" s="714" t="s">
        <v>17</v>
      </c>
      <c r="W40" s="715">
        <f t="shared" si="12"/>
        <v>100</v>
      </c>
      <c r="X40" s="1539"/>
      <c r="Y40" s="3306"/>
      <c r="Z40" s="1540" t="str">
        <f t="shared" si="13"/>
        <v>临街宽度及深度</v>
      </c>
      <c r="AA40" s="1537">
        <f t="shared" si="3"/>
        <v>1</v>
      </c>
      <c r="AB40" s="1537">
        <f t="shared" si="4"/>
        <v>1</v>
      </c>
      <c r="AC40" s="1537">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06"/>
      <c r="Q41" s="1536" t="str">
        <f t="shared" si="14"/>
        <v>宗地开发程度</v>
      </c>
      <c r="R41" s="710" t="s">
        <v>17</v>
      </c>
      <c r="S41" s="711">
        <f t="shared" si="10"/>
        <v>100</v>
      </c>
      <c r="T41" s="710" t="s">
        <v>17</v>
      </c>
      <c r="U41" s="711">
        <f t="shared" si="11"/>
        <v>100</v>
      </c>
      <c r="V41" s="710" t="s">
        <v>17</v>
      </c>
      <c r="W41" s="711">
        <f t="shared" si="12"/>
        <v>100</v>
      </c>
      <c r="X41" s="712"/>
      <c r="Y41" s="3306"/>
      <c r="Z41" s="55" t="str">
        <f t="shared" si="13"/>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06" t="s">
        <v>2380</v>
      </c>
      <c r="Q42" s="1536" t="str">
        <f t="shared" si="14"/>
        <v>工程地质条件</v>
      </c>
      <c r="R42" s="714" t="s">
        <v>17</v>
      </c>
      <c r="S42" s="715">
        <f t="shared" si="10"/>
        <v>100</v>
      </c>
      <c r="T42" s="714" t="s">
        <v>17</v>
      </c>
      <c r="U42" s="715">
        <f t="shared" si="11"/>
        <v>100</v>
      </c>
      <c r="V42" s="714" t="s">
        <v>17</v>
      </c>
      <c r="W42" s="715">
        <f t="shared" si="12"/>
        <v>100</v>
      </c>
      <c r="X42" s="1539"/>
      <c r="Y42" s="3306" t="s">
        <v>2380</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06"/>
      <c r="Q43" s="1536">
        <f t="shared" si="14"/>
        <v>111</v>
      </c>
      <c r="R43" s="714" t="s">
        <v>17</v>
      </c>
      <c r="S43" s="715">
        <f t="shared" si="10"/>
        <v>100</v>
      </c>
      <c r="T43" s="714" t="s">
        <v>17</v>
      </c>
      <c r="U43" s="715">
        <f t="shared" si="11"/>
        <v>100</v>
      </c>
      <c r="V43" s="714" t="s">
        <v>17</v>
      </c>
      <c r="W43" s="715">
        <f t="shared" si="12"/>
        <v>100</v>
      </c>
      <c r="X43" s="1539"/>
      <c r="Y43" s="330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06"/>
      <c r="Q44" s="1536">
        <f t="shared" si="14"/>
        <v>111</v>
      </c>
      <c r="R44" s="714" t="s">
        <v>17</v>
      </c>
      <c r="S44" s="715">
        <f t="shared" si="10"/>
        <v>100</v>
      </c>
      <c r="T44" s="714" t="s">
        <v>17</v>
      </c>
      <c r="U44" s="715">
        <f t="shared" si="11"/>
        <v>100</v>
      </c>
      <c r="V44" s="714" t="s">
        <v>17</v>
      </c>
      <c r="W44" s="715">
        <f t="shared" si="12"/>
        <v>100</v>
      </c>
      <c r="X44" s="1539"/>
      <c r="Y44" s="3306"/>
      <c r="Z44" s="1540">
        <f t="shared" si="13"/>
        <v>111</v>
      </c>
      <c r="AA44" s="1537">
        <f t="shared" si="3"/>
        <v>1</v>
      </c>
      <c r="AB44" s="1537">
        <f t="shared" si="4"/>
        <v>1</v>
      </c>
      <c r="AC44" s="1537">
        <f t="shared" si="5"/>
        <v>1</v>
      </c>
    </row>
    <row r="45" spans="1:29" s="430" customFormat="1" ht="15.6"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06"/>
      <c r="Q45" s="1536">
        <f t="shared" si="14"/>
        <v>111</v>
      </c>
      <c r="R45" s="717" t="s">
        <v>17</v>
      </c>
      <c r="S45" s="718">
        <f t="shared" si="10"/>
        <v>100</v>
      </c>
      <c r="T45" s="717" t="s">
        <v>17</v>
      </c>
      <c r="U45" s="718">
        <f t="shared" si="11"/>
        <v>100</v>
      </c>
      <c r="V45" s="717" t="s">
        <v>17</v>
      </c>
      <c r="W45" s="718">
        <f t="shared" si="12"/>
        <v>100</v>
      </c>
      <c r="X45" s="719"/>
      <c r="Y45" s="3306"/>
      <c r="Z45" s="720">
        <f t="shared" si="13"/>
        <v>111</v>
      </c>
      <c r="AA45" s="1537">
        <f t="shared" si="3"/>
        <v>1</v>
      </c>
      <c r="AB45" s="1537">
        <f t="shared" si="4"/>
        <v>1</v>
      </c>
      <c r="AC45" s="1537">
        <f t="shared" si="5"/>
        <v>1</v>
      </c>
    </row>
    <row r="46" spans="1:29" ht="14.4">
      <c r="A46" s="438" t="s">
        <v>2535</v>
      </c>
      <c r="B46" s="2168" t="s">
        <v>2571</v>
      </c>
      <c r="C46" s="638" t="s">
        <v>1</v>
      </c>
      <c r="D46" s="440"/>
      <c r="E46" s="441"/>
      <c r="F46" s="442"/>
      <c r="G46" s="443"/>
      <c r="H46" s="444"/>
      <c r="I46" s="441"/>
      <c r="J46" s="444"/>
      <c r="K46" s="723"/>
      <c r="L46" s="2953"/>
      <c r="M46" s="2954"/>
      <c r="N46" s="2945"/>
      <c r="O46" s="2954"/>
      <c r="P46" s="3299" t="str">
        <f>A46</f>
        <v>成交单价</v>
      </c>
      <c r="Q46" s="3299"/>
      <c r="R46" s="3330">
        <f>E46</f>
        <v>0</v>
      </c>
      <c r="S46" s="3330"/>
      <c r="T46" s="3330">
        <f>G46</f>
        <v>0</v>
      </c>
      <c r="U46" s="3330"/>
      <c r="V46" s="3330">
        <f>I46</f>
        <v>0</v>
      </c>
      <c r="W46" s="3330"/>
      <c r="X46" s="699"/>
      <c r="Y46" s="721"/>
      <c r="Z46" s="699"/>
      <c r="AA46" s="699"/>
      <c r="AB46" s="699"/>
      <c r="AC46" s="699"/>
    </row>
    <row r="47" spans="1:29" ht="15" thickBot="1">
      <c r="A47" s="445" t="s">
        <v>2484</v>
      </c>
      <c r="B47" s="639"/>
      <c r="C47" s="448" t="e">
        <f>R48</f>
        <v>#DIV/0!</v>
      </c>
      <c r="D47" s="2538" t="s">
        <v>2873</v>
      </c>
      <c r="E47" s="448" t="e">
        <f>R47</f>
        <v>#DIV/0!</v>
      </c>
      <c r="F47" s="2539"/>
      <c r="G47" s="447" t="e">
        <f>T47</f>
        <v>#DIV/0!</v>
      </c>
      <c r="H47" s="2539"/>
      <c r="I47" s="448" t="e">
        <f>V47</f>
        <v>#DIV/0!</v>
      </c>
      <c r="J47" s="2539"/>
      <c r="K47" s="2541">
        <f>F47+H47+J47</f>
        <v>0</v>
      </c>
      <c r="L47" s="2953"/>
      <c r="M47" s="2954"/>
      <c r="N47" s="2954"/>
      <c r="O47" s="2954"/>
      <c r="P47" s="3299" t="str">
        <f>A47</f>
        <v>比较价值（元/平方米）</v>
      </c>
      <c r="Q47" s="3299"/>
      <c r="R47" s="3359" t="e">
        <f>ROUND(PRODUCT(R46,AA7:AA45),0)</f>
        <v>#DIV/0!</v>
      </c>
      <c r="S47" s="3359"/>
      <c r="T47" s="3359" t="e">
        <f>ROUND(PRODUCT(T46,AB7:AB45),0)</f>
        <v>#DIV/0!</v>
      </c>
      <c r="U47" s="3359"/>
      <c r="V47" s="3359" t="e">
        <f>ROUND(PRODUCT(V46,AC7:AC45),0)</f>
        <v>#DIV/0!</v>
      </c>
      <c r="W47" s="3359"/>
      <c r="X47" s="699"/>
      <c r="Y47" s="699"/>
      <c r="Z47" s="699"/>
      <c r="AA47" s="699"/>
      <c r="AB47" s="699"/>
      <c r="AC47" s="699"/>
    </row>
    <row r="48" spans="1:29" ht="15" thickBot="1">
      <c r="A48" s="449" t="s">
        <v>2572</v>
      </c>
      <c r="B48" s="450"/>
      <c r="C48" s="451" t="e">
        <f>R48</f>
        <v>#DIV/0!</v>
      </c>
      <c r="D48" s="451"/>
      <c r="E48" s="451"/>
      <c r="F48" s="451"/>
      <c r="G48" s="451"/>
      <c r="H48" s="451"/>
      <c r="I48" s="451"/>
      <c r="J48" s="451"/>
      <c r="K48" s="724"/>
      <c r="L48" s="2953"/>
      <c r="M48" s="2954"/>
      <c r="N48" s="2954"/>
      <c r="O48" s="2954"/>
      <c r="P48" s="3296" t="str">
        <f>A48</f>
        <v>估价对象XX用房的比较价值（楼面单价，元/平方米）</v>
      </c>
      <c r="Q48" s="3297"/>
      <c r="R48" s="3360" t="e">
        <f>ROUND(IF(D47="简单平均",AVERAGE(R47:W47),R47*F47+T47*H47+V47*J47),0)</f>
        <v>#DIV/0!</v>
      </c>
      <c r="S48" s="3360"/>
      <c r="T48" s="3360"/>
      <c r="U48" s="3360"/>
      <c r="V48" s="3360"/>
      <c r="W48" s="336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4.4"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2573</v>
      </c>
      <c r="B55" s="641" t="s">
        <v>2574</v>
      </c>
      <c r="C55" s="2169" t="s">
        <v>2575</v>
      </c>
      <c r="D55" s="2170" t="s">
        <v>2576</v>
      </c>
      <c r="E55" s="642" t="s">
        <v>2577</v>
      </c>
      <c r="F55" s="1021" t="s">
        <v>2578</v>
      </c>
      <c r="G55" s="3314" t="s">
        <v>2579</v>
      </c>
      <c r="H55" s="3361"/>
      <c r="I55" s="140" t="s">
        <v>2580</v>
      </c>
      <c r="J55" s="2171">
        <f>项目基本情况!F35</f>
        <v>0</v>
      </c>
      <c r="K55" s="2172" t="s">
        <v>2581</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2582</v>
      </c>
      <c r="B56" s="645" t="e">
        <f>C48</f>
        <v>#DIV/0!</v>
      </c>
      <c r="C56" s="646">
        <v>1</v>
      </c>
      <c r="D56" s="1075">
        <v>1</v>
      </c>
      <c r="E56" s="646">
        <f>'数据-汇总表'!E8+'数据-汇总表'!E9</f>
        <v>13846.800000000001</v>
      </c>
      <c r="F56" s="1017" t="e">
        <f t="shared" ref="F56:F65" si="15">ROUND(B56*E56/10000,0)</f>
        <v>#DIV/0!</v>
      </c>
      <c r="G56" s="3310"/>
      <c r="H56" s="329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2583</v>
      </c>
      <c r="B57" s="224" t="e">
        <f>ROUND($C$48*C57*D57,0)</f>
        <v>#DIV/0!</v>
      </c>
      <c r="C57" s="176">
        <f t="shared" ref="C57:C65" si="16">IF($C$55="北京市系数",I57,J57)</f>
        <v>0</v>
      </c>
      <c r="D57" s="1076">
        <v>0.25</v>
      </c>
      <c r="E57" s="650"/>
      <c r="F57" s="1017" t="e">
        <f t="shared" si="15"/>
        <v>#DIV/0!</v>
      </c>
      <c r="G57" s="3362" t="s">
        <v>2584</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2585</v>
      </c>
      <c r="B58" s="224" t="e">
        <f t="shared" ref="B58:B65" si="17">ROUND($C$48*C58*D58,0)</f>
        <v>#DIV/0!</v>
      </c>
      <c r="C58" s="176">
        <f t="shared" si="16"/>
        <v>0</v>
      </c>
      <c r="D58" s="1076">
        <v>0.25</v>
      </c>
      <c r="E58" s="650"/>
      <c r="F58" s="1017" t="e">
        <f t="shared" si="15"/>
        <v>#DIV/0!</v>
      </c>
      <c r="G58" s="336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2586</v>
      </c>
      <c r="B59" s="224" t="e">
        <f t="shared" si="17"/>
        <v>#DIV/0!</v>
      </c>
      <c r="C59" s="176">
        <f t="shared" si="16"/>
        <v>0</v>
      </c>
      <c r="D59" s="1076">
        <v>0.25</v>
      </c>
      <c r="E59" s="650"/>
      <c r="F59" s="1017" t="e">
        <f t="shared" si="15"/>
        <v>#DIV/0!</v>
      </c>
      <c r="G59" s="336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2587</v>
      </c>
      <c r="B60" s="224" t="e">
        <f t="shared" si="17"/>
        <v>#DIV/0!</v>
      </c>
      <c r="C60" s="176">
        <f t="shared" si="16"/>
        <v>0</v>
      </c>
      <c r="D60" s="1076">
        <v>0.25</v>
      </c>
      <c r="E60" s="650"/>
      <c r="F60" s="1017" t="e">
        <f t="shared" si="15"/>
        <v>#DIV/0!</v>
      </c>
      <c r="G60" s="336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2588</v>
      </c>
      <c r="B61" s="224" t="e">
        <f t="shared" si="17"/>
        <v>#DIV/0!</v>
      </c>
      <c r="C61" s="176">
        <f t="shared" si="16"/>
        <v>0</v>
      </c>
      <c r="D61" s="1076">
        <v>0.25</v>
      </c>
      <c r="E61" s="223">
        <f>'数据-汇总表'!E11</f>
        <v>0</v>
      </c>
      <c r="F61" s="1017" t="e">
        <f t="shared" si="15"/>
        <v>#DIV/0!</v>
      </c>
      <c r="G61" s="2173" t="s">
        <v>2589</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2594</v>
      </c>
      <c r="B64" s="224" t="e">
        <f t="shared" si="17"/>
        <v>#DIV/0!</v>
      </c>
      <c r="C64" s="176">
        <f t="shared" si="16"/>
        <v>0</v>
      </c>
      <c r="D64" s="1076">
        <v>0.25</v>
      </c>
      <c r="E64" s="223">
        <f>'数据-汇总表'!E14</f>
        <v>0</v>
      </c>
      <c r="F64" s="1017" t="e">
        <f t="shared" si="15"/>
        <v>#DIV/0!</v>
      </c>
      <c r="G64" s="2173" t="s">
        <v>2584</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4.4" thickBot="1">
      <c r="A65" s="649" t="s">
        <v>2595</v>
      </c>
      <c r="B65" s="224" t="e">
        <f t="shared" si="17"/>
        <v>#DIV/0!</v>
      </c>
      <c r="C65" s="176">
        <f t="shared" si="16"/>
        <v>0</v>
      </c>
      <c r="D65" s="1076">
        <v>0.25</v>
      </c>
      <c r="E65" s="223">
        <f>'数据-汇总表'!E15</f>
        <v>0</v>
      </c>
      <c r="F65" s="1017" t="e">
        <f t="shared" si="15"/>
        <v>#DIV/0!</v>
      </c>
      <c r="G65" s="2174" t="s">
        <v>2589</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thickBot="1">
      <c r="A66" s="651" t="s">
        <v>2596</v>
      </c>
      <c r="B66" s="652" t="s">
        <v>28</v>
      </c>
      <c r="C66" s="652" t="s">
        <v>29</v>
      </c>
      <c r="D66" s="652" t="s">
        <v>997</v>
      </c>
      <c r="E66" s="652">
        <f>IF(B46="楼面地价",SUM(E56:E65),'数据-汇总表'!D3)</f>
        <v>13846.800000000001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4"/>
      <c r="Q68" s="2954"/>
      <c r="R68" s="2954"/>
      <c r="S68" s="2954"/>
      <c r="T68" s="2954"/>
      <c r="U68" s="2954"/>
      <c r="V68" s="2954"/>
      <c r="W68" s="2954"/>
      <c r="X68" s="2954"/>
      <c r="Y68" s="2954"/>
      <c r="Z68" s="2954"/>
      <c r="AA68" s="2954"/>
      <c r="AB68" s="2954"/>
      <c r="AC68" s="2954"/>
    </row>
    <row r="69" spans="1:29" ht="22.2" thickBot="1">
      <c r="A69" s="703" t="s">
        <v>2489</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4.4">
      <c r="A70" s="2175" t="s">
        <v>2597</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2598</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 thickBot="1">
      <c r="A72" s="472" t="s">
        <v>2400</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4.4">
      <c r="A73" s="478" t="s">
        <v>2365</v>
      </c>
      <c r="B73" s="467"/>
      <c r="C73" s="479" t="s">
        <v>2467</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4.4"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ht="14.4">
      <c r="A75" s="484" t="s">
        <v>2403</v>
      </c>
      <c r="B75" s="485" t="s">
        <v>2369</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4.4"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9.4" thickTop="1">
      <c r="A77" s="491"/>
      <c r="B77" s="495" t="s">
        <v>2372</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4.4"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4.4"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4.4"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4.4"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4.4"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4.4"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4.4"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ht="14.4">
      <c r="A88" s="484" t="s">
        <v>2374</v>
      </c>
      <c r="B88" s="485" t="s">
        <v>2411</v>
      </c>
      <c r="C88" s="530" t="s">
        <v>2412</v>
      </c>
      <c r="D88" s="530" t="s">
        <v>2413</v>
      </c>
      <c r="E88" s="530" t="s">
        <v>2414</v>
      </c>
      <c r="F88" s="530" t="s">
        <v>2415</v>
      </c>
      <c r="G88" s="530" t="s">
        <v>2416</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 thickTop="1">
      <c r="A90" s="491"/>
      <c r="B90" s="495" t="s">
        <v>2599</v>
      </c>
      <c r="C90" s="535" t="s">
        <v>2412</v>
      </c>
      <c r="D90" s="535" t="s">
        <v>2413</v>
      </c>
      <c r="E90" s="535" t="s">
        <v>2414</v>
      </c>
      <c r="F90" s="535" t="s">
        <v>2415</v>
      </c>
      <c r="G90" s="535" t="s">
        <v>2416</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 thickTop="1">
      <c r="A92" s="491"/>
      <c r="B92" s="495" t="s">
        <v>2512</v>
      </c>
      <c r="C92" s="535" t="s">
        <v>2412</v>
      </c>
      <c r="D92" s="535" t="s">
        <v>2413</v>
      </c>
      <c r="E92" s="535" t="s">
        <v>2414</v>
      </c>
      <c r="F92" s="535" t="s">
        <v>2415</v>
      </c>
      <c r="G92" s="535" t="s">
        <v>2416</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 thickTop="1">
      <c r="A94" s="491"/>
      <c r="B94" s="495" t="s">
        <v>2417</v>
      </c>
      <c r="C94" s="535" t="s">
        <v>2412</v>
      </c>
      <c r="D94" s="535" t="s">
        <v>2413</v>
      </c>
      <c r="E94" s="535" t="s">
        <v>2414</v>
      </c>
      <c r="F94" s="535" t="s">
        <v>2415</v>
      </c>
      <c r="G94" s="535" t="s">
        <v>2416</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29.4" thickTop="1">
      <c r="A96" s="536"/>
      <c r="B96" s="495" t="s">
        <v>2600</v>
      </c>
      <c r="C96" s="535" t="s">
        <v>2412</v>
      </c>
      <c r="D96" s="535" t="s">
        <v>2413</v>
      </c>
      <c r="E96" s="535" t="s">
        <v>2414</v>
      </c>
      <c r="F96" s="535" t="s">
        <v>2415</v>
      </c>
      <c r="G96" s="535" t="s">
        <v>2416</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9.4" thickTop="1">
      <c r="A98" s="536"/>
      <c r="B98" s="495" t="s">
        <v>2601</v>
      </c>
      <c r="C98" s="530" t="s">
        <v>2412</v>
      </c>
      <c r="D98" s="530" t="s">
        <v>2413</v>
      </c>
      <c r="E98" s="530" t="s">
        <v>2414</v>
      </c>
      <c r="F98" s="530" t="s">
        <v>2415</v>
      </c>
      <c r="G98" s="530" t="s">
        <v>2416</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 thickTop="1">
      <c r="A100" s="510"/>
      <c r="B100" s="495" t="s">
        <v>2469</v>
      </c>
      <c r="C100" s="530" t="s">
        <v>2412</v>
      </c>
      <c r="D100" s="530" t="s">
        <v>2413</v>
      </c>
      <c r="E100" s="530" t="s">
        <v>2414</v>
      </c>
      <c r="F100" s="530" t="s">
        <v>2415</v>
      </c>
      <c r="G100" s="530" t="s">
        <v>2416</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 thickTop="1">
      <c r="A102" s="510"/>
      <c r="B102" s="503" t="s">
        <v>2470</v>
      </c>
      <c r="C102" s="616" t="s">
        <v>2490</v>
      </c>
      <c r="D102" s="616" t="s">
        <v>2491</v>
      </c>
      <c r="E102" s="616" t="s">
        <v>2492</v>
      </c>
      <c r="F102" s="616" t="s">
        <v>2493</v>
      </c>
      <c r="G102" s="616" t="s">
        <v>2494</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 thickTop="1">
      <c r="A104" s="491"/>
      <c r="B104" s="495" t="str">
        <f>B31</f>
        <v>临街状况</v>
      </c>
      <c r="C104" s="496" t="s">
        <v>2602</v>
      </c>
      <c r="D104" s="496" t="s">
        <v>2603</v>
      </c>
      <c r="E104" s="496" t="s">
        <v>2604</v>
      </c>
      <c r="F104" s="496" t="s">
        <v>2605</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9.4" thickTop="1">
      <c r="A106" s="491"/>
      <c r="B106" s="495" t="s">
        <v>2506</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 thickTop="1">
      <c r="A108" s="491"/>
      <c r="B108" s="495" t="s">
        <v>2565</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4.4"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4.4"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4.4"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4.4"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4.4"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4.4"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14.4">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4.4"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2607</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2608</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2609</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2610</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4.4"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4.4"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4.4"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4.4"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4.4"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4.4"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4.4">
      <c r="A4" s="361" t="s">
        <v>2460</v>
      </c>
      <c r="B4" s="362"/>
      <c r="C4" s="3314" t="s">
        <v>2461</v>
      </c>
      <c r="D4" s="3315"/>
      <c r="E4" s="3316" t="s">
        <v>2462</v>
      </c>
      <c r="F4" s="3317"/>
      <c r="G4" s="3314" t="s">
        <v>2463</v>
      </c>
      <c r="H4" s="3315"/>
      <c r="I4" s="3314" t="s">
        <v>2464</v>
      </c>
      <c r="J4" s="3315"/>
      <c r="K4" s="567" t="s">
        <v>2465</v>
      </c>
      <c r="L4" s="2944"/>
      <c r="M4" s="2945"/>
      <c r="N4" s="2945"/>
      <c r="O4" s="2945"/>
      <c r="P4" s="3318" t="s">
        <v>2466</v>
      </c>
      <c r="Q4" s="3319"/>
      <c r="R4" s="3324" t="s">
        <v>2462</v>
      </c>
      <c r="S4" s="3325"/>
      <c r="T4" s="3324" t="s">
        <v>2463</v>
      </c>
      <c r="U4" s="3325"/>
      <c r="V4" s="3330" t="s">
        <v>2464</v>
      </c>
      <c r="W4" s="3330"/>
      <c r="X4" s="1539"/>
      <c r="Y4" s="3324" t="s">
        <v>2466</v>
      </c>
      <c r="Z4" s="3325"/>
      <c r="AA4" s="3311" t="s">
        <v>2462</v>
      </c>
      <c r="AB4" s="3312" t="s">
        <v>2463</v>
      </c>
      <c r="AC4" s="3311" t="s">
        <v>2464</v>
      </c>
    </row>
    <row r="5" spans="1:29">
      <c r="A5" s="364"/>
      <c r="B5" s="365"/>
      <c r="C5" s="3333" t="s">
        <v>2357</v>
      </c>
      <c r="D5" s="3334"/>
      <c r="E5" s="3340" t="s">
        <v>2358</v>
      </c>
      <c r="F5" s="3341"/>
      <c r="G5" s="3333" t="s">
        <v>2359</v>
      </c>
      <c r="H5" s="3334"/>
      <c r="I5" s="3333" t="s">
        <v>2360</v>
      </c>
      <c r="J5" s="3334"/>
      <c r="K5" s="567"/>
      <c r="L5" s="2944"/>
      <c r="M5" s="2945"/>
      <c r="N5" s="2945"/>
      <c r="O5" s="2945"/>
      <c r="P5" s="3320"/>
      <c r="Q5" s="3321"/>
      <c r="R5" s="3326"/>
      <c r="S5" s="3327"/>
      <c r="T5" s="3326"/>
      <c r="U5" s="3327"/>
      <c r="V5" s="3330"/>
      <c r="W5" s="3330"/>
      <c r="X5" s="1539"/>
      <c r="Y5" s="3326"/>
      <c r="Z5" s="3327"/>
      <c r="AA5" s="3312"/>
      <c r="AB5" s="3312"/>
      <c r="AC5" s="3312"/>
    </row>
    <row r="6" spans="1:29" ht="15" thickBot="1">
      <c r="A6" s="366"/>
      <c r="B6" s="367"/>
      <c r="C6" s="3363" t="s">
        <v>2612</v>
      </c>
      <c r="D6" s="3364"/>
      <c r="E6" s="3365" t="s">
        <v>2612</v>
      </c>
      <c r="F6" s="3366"/>
      <c r="G6" s="3363" t="s">
        <v>2612</v>
      </c>
      <c r="H6" s="3364"/>
      <c r="I6" s="3363" t="s">
        <v>2612</v>
      </c>
      <c r="J6" s="3364"/>
      <c r="K6" s="567" t="s">
        <v>2362</v>
      </c>
      <c r="L6" s="2944"/>
      <c r="M6" s="2945"/>
      <c r="N6" s="2945"/>
      <c r="O6" s="2945"/>
      <c r="P6" s="3322"/>
      <c r="Q6" s="3323"/>
      <c r="R6" s="3326"/>
      <c r="S6" s="3327"/>
      <c r="T6" s="3328"/>
      <c r="U6" s="3329"/>
      <c r="V6" s="3330"/>
      <c r="W6" s="3330"/>
      <c r="X6" s="1539"/>
      <c r="Y6" s="3328"/>
      <c r="Z6" s="3329"/>
      <c r="AA6" s="3313"/>
      <c r="AB6" s="3313"/>
      <c r="AC6" s="3313"/>
    </row>
    <row r="7" spans="1:29" s="113" customFormat="1" ht="15" thickBot="1">
      <c r="A7" s="368" t="s">
        <v>2363</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35" t="s">
        <v>2364</v>
      </c>
      <c r="Q7" s="3337"/>
      <c r="R7" s="710" t="s">
        <v>17</v>
      </c>
      <c r="S7" s="711">
        <f t="shared" ref="S7:S15" si="0">F7</f>
        <v>0</v>
      </c>
      <c r="T7" s="710" t="s">
        <v>17</v>
      </c>
      <c r="U7" s="711">
        <f t="shared" ref="U7:U15" si="1">H7</f>
        <v>0</v>
      </c>
      <c r="V7" s="710" t="s">
        <v>17</v>
      </c>
      <c r="W7" s="711">
        <f t="shared" ref="W7:W15" si="2">J7</f>
        <v>0</v>
      </c>
      <c r="X7" s="712"/>
      <c r="Y7" s="3335" t="s">
        <v>2364</v>
      </c>
      <c r="Z7" s="3336"/>
      <c r="AA7" s="713" t="e">
        <f>D7/F7</f>
        <v>#DIV/0!</v>
      </c>
      <c r="AB7" s="713" t="e">
        <f>D7/H7</f>
        <v>#DIV/0!</v>
      </c>
      <c r="AC7" s="713" t="e">
        <f>D7/J7</f>
        <v>#DIV/0!</v>
      </c>
    </row>
    <row r="8" spans="1:29" s="113" customFormat="1" ht="1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35" t="s">
        <v>2367</v>
      </c>
      <c r="Q8" s="3336"/>
      <c r="R8" s="710" t="s">
        <v>17</v>
      </c>
      <c r="S8" s="711">
        <f t="shared" si="0"/>
        <v>0</v>
      </c>
      <c r="T8" s="710" t="s">
        <v>17</v>
      </c>
      <c r="U8" s="711">
        <f t="shared" si="1"/>
        <v>0</v>
      </c>
      <c r="V8" s="710" t="s">
        <v>17</v>
      </c>
      <c r="W8" s="711">
        <f t="shared" si="2"/>
        <v>0</v>
      </c>
      <c r="X8" s="712"/>
      <c r="Y8" s="3335" t="s">
        <v>2367</v>
      </c>
      <c r="Z8" s="3336"/>
      <c r="AA8" s="713" t="e">
        <f t="shared" ref="AA8:AA40" si="3">D8/F8</f>
        <v>#DIV/0!</v>
      </c>
      <c r="AB8" s="713" t="e">
        <f t="shared" ref="AB8:AB40" si="4">D8/H8</f>
        <v>#DIV/0!</v>
      </c>
      <c r="AC8" s="713" t="e">
        <f t="shared" ref="AC8:AC40" si="5">D8/J8</f>
        <v>#DIV/0!</v>
      </c>
    </row>
    <row r="9" spans="1:29" s="113" customFormat="1" ht="14.4">
      <c r="A9" s="375" t="s">
        <v>2368</v>
      </c>
      <c r="B9" s="67" t="s">
        <v>2369</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299" t="s">
        <v>2370</v>
      </c>
      <c r="Q9" s="1527" t="str">
        <f t="shared" ref="Q9:Q15" si="6">B9</f>
        <v>用途</v>
      </c>
      <c r="R9" s="710" t="s">
        <v>17</v>
      </c>
      <c r="S9" s="711">
        <f t="shared" si="0"/>
        <v>100</v>
      </c>
      <c r="T9" s="710" t="s">
        <v>17</v>
      </c>
      <c r="U9" s="711">
        <f t="shared" si="1"/>
        <v>100</v>
      </c>
      <c r="V9" s="710" t="s">
        <v>17</v>
      </c>
      <c r="W9" s="711">
        <f t="shared" si="2"/>
        <v>100</v>
      </c>
      <c r="X9" s="712"/>
      <c r="Y9" s="3169" t="s">
        <v>2371</v>
      </c>
      <c r="Z9" s="55" t="str">
        <f t="shared" ref="Z9:Z15" si="7">Q9</f>
        <v>用途</v>
      </c>
      <c r="AA9" s="713">
        <f t="shared" si="3"/>
        <v>1</v>
      </c>
      <c r="AB9" s="713">
        <f t="shared" si="4"/>
        <v>1</v>
      </c>
      <c r="AC9" s="713">
        <f t="shared" si="5"/>
        <v>1</v>
      </c>
    </row>
    <row r="10" spans="1:29" s="386" customFormat="1" ht="28.8">
      <c r="A10" s="380"/>
      <c r="B10" s="381" t="s">
        <v>2372</v>
      </c>
      <c r="C10" s="391"/>
      <c r="D10" s="132">
        <v>100</v>
      </c>
      <c r="E10" s="391"/>
      <c r="F10" s="132">
        <f>ROUND(100/'数据-取费表'!G16,0)</f>
        <v>106</v>
      </c>
      <c r="G10" s="391"/>
      <c r="H10" s="132">
        <f>ROUND(100/'数据-取费表'!G16,0)</f>
        <v>106</v>
      </c>
      <c r="I10" s="391"/>
      <c r="J10" s="132">
        <f>ROUND(100/'数据-取费表'!G16,0)</f>
        <v>106</v>
      </c>
      <c r="K10" s="628"/>
      <c r="L10" s="2948"/>
      <c r="M10" s="2949"/>
      <c r="N10" s="2949"/>
      <c r="O10" s="3002"/>
      <c r="P10" s="3299"/>
      <c r="Q10" s="1527" t="str">
        <f t="shared" si="6"/>
        <v>土地使用年限（年）</v>
      </c>
      <c r="R10" s="710" t="s">
        <v>17</v>
      </c>
      <c r="S10" s="711">
        <f t="shared" si="0"/>
        <v>106</v>
      </c>
      <c r="T10" s="710" t="s">
        <v>17</v>
      </c>
      <c r="U10" s="711">
        <f t="shared" si="1"/>
        <v>106</v>
      </c>
      <c r="V10" s="710" t="s">
        <v>17</v>
      </c>
      <c r="W10" s="711">
        <f t="shared" si="2"/>
        <v>106</v>
      </c>
      <c r="X10" s="712"/>
      <c r="Y10" s="3169"/>
      <c r="Z10" s="55" t="str">
        <f t="shared" si="7"/>
        <v>土地使用年限（年）</v>
      </c>
      <c r="AA10" s="713">
        <f t="shared" si="3"/>
        <v>0.94339622641509435</v>
      </c>
      <c r="AB10" s="713">
        <f t="shared" si="4"/>
        <v>0.94339622641509435</v>
      </c>
      <c r="AC10" s="713">
        <f t="shared" si="5"/>
        <v>0.94339622641509435</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299"/>
      <c r="Q11" s="1527" t="str">
        <f t="shared" si="6"/>
        <v>容积率</v>
      </c>
      <c r="R11" s="710" t="s">
        <v>17</v>
      </c>
      <c r="S11" s="711" t="e">
        <f t="shared" si="0"/>
        <v>#N/A</v>
      </c>
      <c r="T11" s="710" t="s">
        <v>17</v>
      </c>
      <c r="U11" s="711" t="e">
        <f t="shared" si="1"/>
        <v>#N/A</v>
      </c>
      <c r="V11" s="710" t="s">
        <v>17</v>
      </c>
      <c r="W11" s="711" t="e">
        <f t="shared" si="2"/>
        <v>#N/A</v>
      </c>
      <c r="X11" s="712"/>
      <c r="Y11" s="316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299"/>
      <c r="Q12" s="1527">
        <f t="shared" si="6"/>
        <v>111</v>
      </c>
      <c r="R12" s="710" t="s">
        <v>17</v>
      </c>
      <c r="S12" s="711">
        <f t="shared" si="0"/>
        <v>100</v>
      </c>
      <c r="T12" s="710" t="s">
        <v>17</v>
      </c>
      <c r="U12" s="711">
        <f t="shared" si="1"/>
        <v>100</v>
      </c>
      <c r="V12" s="710" t="s">
        <v>17</v>
      </c>
      <c r="W12" s="711">
        <f t="shared" si="2"/>
        <v>100</v>
      </c>
      <c r="X12" s="712"/>
      <c r="Y12" s="316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299"/>
      <c r="Q13" s="1527">
        <f t="shared" si="6"/>
        <v>111</v>
      </c>
      <c r="R13" s="710" t="s">
        <v>17</v>
      </c>
      <c r="S13" s="711">
        <f t="shared" si="0"/>
        <v>100</v>
      </c>
      <c r="T13" s="710" t="s">
        <v>17</v>
      </c>
      <c r="U13" s="711">
        <f t="shared" si="1"/>
        <v>100</v>
      </c>
      <c r="V13" s="710" t="s">
        <v>17</v>
      </c>
      <c r="W13" s="711">
        <f t="shared" si="2"/>
        <v>100</v>
      </c>
      <c r="X13" s="712"/>
      <c r="Y13" s="3169"/>
      <c r="Z13" s="55">
        <f t="shared" si="7"/>
        <v>111</v>
      </c>
      <c r="AA13" s="713">
        <f t="shared" si="3"/>
        <v>1</v>
      </c>
      <c r="AB13" s="713">
        <f t="shared" si="4"/>
        <v>1</v>
      </c>
      <c r="AC13" s="713">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299"/>
      <c r="Q14" s="1527">
        <f t="shared" si="6"/>
        <v>111</v>
      </c>
      <c r="R14" s="710" t="s">
        <v>17</v>
      </c>
      <c r="S14" s="711">
        <f t="shared" si="0"/>
        <v>100</v>
      </c>
      <c r="T14" s="710" t="s">
        <v>17</v>
      </c>
      <c r="U14" s="711">
        <f t="shared" si="1"/>
        <v>100</v>
      </c>
      <c r="V14" s="710" t="s">
        <v>17</v>
      </c>
      <c r="W14" s="711">
        <f t="shared" si="2"/>
        <v>100</v>
      </c>
      <c r="X14" s="712"/>
      <c r="Y14" s="3169"/>
      <c r="Z14" s="55">
        <f t="shared" si="7"/>
        <v>111</v>
      </c>
      <c r="AA14" s="713">
        <f t="shared" si="3"/>
        <v>1</v>
      </c>
      <c r="AB14" s="713">
        <f t="shared" si="4"/>
        <v>1</v>
      </c>
      <c r="AC14" s="713">
        <f t="shared" si="5"/>
        <v>1</v>
      </c>
    </row>
    <row r="15" spans="1:29" ht="69">
      <c r="A15" s="399" t="s">
        <v>2374</v>
      </c>
      <c r="B15" s="585" t="s">
        <v>2613</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1" t="s">
        <v>2375</v>
      </c>
      <c r="Q15" s="1536" t="str">
        <f t="shared" si="6"/>
        <v>产业集聚程度</v>
      </c>
      <c r="R15" s="714" t="s">
        <v>17</v>
      </c>
      <c r="S15" s="715">
        <f t="shared" si="0"/>
        <v>100</v>
      </c>
      <c r="T15" s="714" t="s">
        <v>17</v>
      </c>
      <c r="U15" s="715">
        <f t="shared" si="1"/>
        <v>100</v>
      </c>
      <c r="V15" s="714" t="s">
        <v>17</v>
      </c>
      <c r="W15" s="715">
        <f t="shared" si="2"/>
        <v>100</v>
      </c>
      <c r="X15" s="1539"/>
      <c r="Y15" s="3301" t="s">
        <v>2375</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02"/>
      <c r="Q16" s="1536"/>
      <c r="R16" s="714"/>
      <c r="S16" s="715"/>
      <c r="T16" s="714"/>
      <c r="U16" s="715"/>
      <c r="V16" s="714"/>
      <c r="W16" s="715"/>
      <c r="X16" s="1539"/>
      <c r="Y16" s="3302"/>
      <c r="Z16" s="1540"/>
      <c r="AA16" s="1537">
        <v>1</v>
      </c>
      <c r="AB16" s="1537">
        <v>1</v>
      </c>
      <c r="AC16" s="1537">
        <v>1</v>
      </c>
    </row>
    <row r="17" spans="1:29" ht="96.6">
      <c r="A17" s="387"/>
      <c r="B17" s="587" t="s">
        <v>2524</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02"/>
      <c r="Q17" s="1536" t="str">
        <f>B17</f>
        <v>交通便捷度</v>
      </c>
      <c r="R17" s="714" t="s">
        <v>17</v>
      </c>
      <c r="S17" s="715">
        <f>F17</f>
        <v>100</v>
      </c>
      <c r="T17" s="714" t="s">
        <v>17</v>
      </c>
      <c r="U17" s="715">
        <f>H17</f>
        <v>100</v>
      </c>
      <c r="V17" s="714" t="s">
        <v>17</v>
      </c>
      <c r="W17" s="715">
        <f>J17</f>
        <v>100</v>
      </c>
      <c r="X17" s="1539"/>
      <c r="Y17" s="330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02"/>
      <c r="Q18" s="1536"/>
      <c r="R18" s="714"/>
      <c r="S18" s="715"/>
      <c r="T18" s="714"/>
      <c r="U18" s="715"/>
      <c r="V18" s="714"/>
      <c r="W18" s="715"/>
      <c r="X18" s="1539"/>
      <c r="Y18" s="3302"/>
      <c r="Z18" s="1540"/>
      <c r="AA18" s="1537">
        <v>1</v>
      </c>
      <c r="AB18" s="1537">
        <v>1</v>
      </c>
      <c r="AC18" s="1537">
        <v>1</v>
      </c>
    </row>
    <row r="19" spans="1:29" ht="28.8">
      <c r="A19" s="387"/>
      <c r="B19" s="587" t="s">
        <v>2563</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02"/>
      <c r="Q19" s="1536" t="str">
        <f t="shared" ref="Q19:Q33" si="8">B19</f>
        <v>区域土地利用方向</v>
      </c>
      <c r="R19" s="714" t="s">
        <v>17</v>
      </c>
      <c r="S19" s="715">
        <f>F19</f>
        <v>100</v>
      </c>
      <c r="T19" s="714" t="s">
        <v>17</v>
      </c>
      <c r="U19" s="715">
        <f>H19</f>
        <v>100</v>
      </c>
      <c r="V19" s="714" t="s">
        <v>17</v>
      </c>
      <c r="W19" s="715">
        <f>J19</f>
        <v>100</v>
      </c>
      <c r="X19" s="1539"/>
      <c r="Y19" s="330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02"/>
      <c r="Q20" s="1536"/>
      <c r="R20" s="714"/>
      <c r="S20" s="715"/>
      <c r="T20" s="714"/>
      <c r="U20" s="715"/>
      <c r="V20" s="714"/>
      <c r="W20" s="715"/>
      <c r="X20" s="1539"/>
      <c r="Y20" s="3302"/>
      <c r="Z20" s="1540"/>
      <c r="AA20" s="1537"/>
      <c r="AB20" s="1537"/>
      <c r="AC20" s="1537"/>
    </row>
    <row r="21" spans="1:29" ht="82.8">
      <c r="A21" s="364"/>
      <c r="B21" s="587" t="s">
        <v>2614</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02"/>
      <c r="Q21" s="1536" t="str">
        <f t="shared" si="8"/>
        <v>环境状况</v>
      </c>
      <c r="R21" s="714" t="s">
        <v>17</v>
      </c>
      <c r="S21" s="715">
        <f>F21</f>
        <v>100</v>
      </c>
      <c r="T21" s="714" t="s">
        <v>17</v>
      </c>
      <c r="U21" s="715">
        <f>H21</f>
        <v>100</v>
      </c>
      <c r="V21" s="714" t="s">
        <v>17</v>
      </c>
      <c r="W21" s="715">
        <f>J21</f>
        <v>100</v>
      </c>
      <c r="X21" s="1539"/>
      <c r="Y21" s="330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02"/>
      <c r="Q22" s="1536"/>
      <c r="R22" s="714"/>
      <c r="S22" s="715"/>
      <c r="T22" s="714"/>
      <c r="U22" s="715"/>
      <c r="V22" s="714"/>
      <c r="W22" s="715"/>
      <c r="X22" s="1539"/>
      <c r="Y22" s="3302"/>
      <c r="Z22" s="1540"/>
      <c r="AA22" s="1537">
        <v>1</v>
      </c>
      <c r="AB22" s="1537">
        <v>1</v>
      </c>
      <c r="AC22" s="1537">
        <v>1</v>
      </c>
    </row>
    <row r="23" spans="1:29" s="113" customFormat="1" ht="41.4">
      <c r="A23" s="605"/>
      <c r="B23" s="589" t="s">
        <v>2469</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02"/>
      <c r="Q23" s="1527" t="str">
        <f t="shared" si="8"/>
        <v>公共配套设施</v>
      </c>
      <c r="R23" s="710" t="s">
        <v>17</v>
      </c>
      <c r="S23" s="711">
        <f>F23</f>
        <v>100</v>
      </c>
      <c r="T23" s="710" t="s">
        <v>17</v>
      </c>
      <c r="U23" s="711">
        <f>H23</f>
        <v>100</v>
      </c>
      <c r="V23" s="710" t="s">
        <v>17</v>
      </c>
      <c r="W23" s="711">
        <f>J23</f>
        <v>100</v>
      </c>
      <c r="X23" s="712"/>
      <c r="Y23" s="330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02"/>
      <c r="Q24" s="1527"/>
      <c r="R24" s="710"/>
      <c r="S24" s="711"/>
      <c r="T24" s="710"/>
      <c r="U24" s="711"/>
      <c r="V24" s="710"/>
      <c r="W24" s="711"/>
      <c r="X24" s="712"/>
      <c r="Y24" s="3302"/>
      <c r="Z24" s="55"/>
      <c r="AA24" s="713">
        <v>1</v>
      </c>
      <c r="AB24" s="713">
        <v>1</v>
      </c>
      <c r="AC24" s="713">
        <v>1</v>
      </c>
    </row>
    <row r="25" spans="1:29" s="113" customFormat="1" ht="41.4">
      <c r="A25" s="605"/>
      <c r="B25" s="589" t="s">
        <v>2470</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02"/>
      <c r="Q25" s="1527" t="str">
        <f t="shared" ref="Q25" si="9">B25</f>
        <v>基础设施水平</v>
      </c>
      <c r="R25" s="710" t="s">
        <v>17</v>
      </c>
      <c r="S25" s="711">
        <f>F25</f>
        <v>100</v>
      </c>
      <c r="T25" s="710" t="s">
        <v>17</v>
      </c>
      <c r="U25" s="711">
        <f>H25</f>
        <v>100</v>
      </c>
      <c r="V25" s="710" t="s">
        <v>17</v>
      </c>
      <c r="W25" s="711">
        <f>J25</f>
        <v>100</v>
      </c>
      <c r="X25" s="712"/>
      <c r="Y25" s="330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02"/>
      <c r="Q26" s="1527"/>
      <c r="R26" s="710"/>
      <c r="S26" s="711"/>
      <c r="T26" s="710"/>
      <c r="U26" s="711"/>
      <c r="V26" s="710"/>
      <c r="W26" s="711"/>
      <c r="X26" s="712"/>
      <c r="Y26" s="3302"/>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0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2"/>
      <c r="Z27" s="1540" t="str">
        <f t="shared" ref="Z27:Z40" si="13">Q27</f>
        <v>临街状况</v>
      </c>
      <c r="AA27" s="1537">
        <f t="shared" si="3"/>
        <v>1</v>
      </c>
      <c r="AB27" s="1537">
        <f t="shared" si="4"/>
        <v>1</v>
      </c>
      <c r="AC27" s="1537">
        <f t="shared" si="5"/>
        <v>1</v>
      </c>
    </row>
    <row r="28" spans="1:29" ht="28.8">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02"/>
      <c r="Q28" s="1536" t="str">
        <f t="shared" si="8"/>
        <v>毗邻道路的类型与等级</v>
      </c>
      <c r="R28" s="714" t="s">
        <v>17</v>
      </c>
      <c r="S28" s="715">
        <f t="shared" si="10"/>
        <v>100</v>
      </c>
      <c r="T28" s="714" t="s">
        <v>17</v>
      </c>
      <c r="U28" s="715">
        <f t="shared" si="11"/>
        <v>100</v>
      </c>
      <c r="V28" s="714" t="s">
        <v>17</v>
      </c>
      <c r="W28" s="715">
        <f t="shared" si="12"/>
        <v>100</v>
      </c>
      <c r="X28" s="1539"/>
      <c r="Y28" s="330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02"/>
      <c r="Q29" s="1536"/>
      <c r="R29" s="714"/>
      <c r="S29" s="715"/>
      <c r="T29" s="714"/>
      <c r="U29" s="715"/>
      <c r="V29" s="714"/>
      <c r="W29" s="715"/>
      <c r="X29" s="1539"/>
      <c r="Y29" s="3302"/>
      <c r="Z29" s="1540"/>
      <c r="AA29" s="1537">
        <v>1</v>
      </c>
      <c r="AB29" s="1537">
        <v>1</v>
      </c>
      <c r="AC29" s="1537">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02"/>
      <c r="Q30" s="1536" t="str">
        <f t="shared" si="8"/>
        <v>土地级别</v>
      </c>
      <c r="R30" s="714" t="s">
        <v>17</v>
      </c>
      <c r="S30" s="715">
        <f t="shared" si="10"/>
        <v>100</v>
      </c>
      <c r="T30" s="714" t="s">
        <v>17</v>
      </c>
      <c r="U30" s="715">
        <f t="shared" si="11"/>
        <v>100</v>
      </c>
      <c r="V30" s="714" t="s">
        <v>17</v>
      </c>
      <c r="W30" s="715">
        <f t="shared" si="12"/>
        <v>100</v>
      </c>
      <c r="X30" s="1539"/>
      <c r="Y30" s="330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02"/>
      <c r="Q31" s="1536">
        <f t="shared" si="8"/>
        <v>111</v>
      </c>
      <c r="R31" s="714" t="s">
        <v>17</v>
      </c>
      <c r="S31" s="715">
        <f t="shared" si="10"/>
        <v>100</v>
      </c>
      <c r="T31" s="714" t="s">
        <v>17</v>
      </c>
      <c r="U31" s="715">
        <f t="shared" si="11"/>
        <v>100</v>
      </c>
      <c r="V31" s="714" t="s">
        <v>17</v>
      </c>
      <c r="W31" s="715">
        <f t="shared" si="12"/>
        <v>100</v>
      </c>
      <c r="X31" s="1539"/>
      <c r="Y31" s="330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57" t="s">
        <v>2380</v>
      </c>
      <c r="Q32" s="1536">
        <f t="shared" si="8"/>
        <v>111</v>
      </c>
      <c r="R32" s="714" t="s">
        <v>17</v>
      </c>
      <c r="S32" s="715">
        <f t="shared" si="10"/>
        <v>100</v>
      </c>
      <c r="T32" s="714" t="s">
        <v>17</v>
      </c>
      <c r="U32" s="715">
        <f t="shared" si="11"/>
        <v>100</v>
      </c>
      <c r="V32" s="714" t="s">
        <v>17</v>
      </c>
      <c r="W32" s="715">
        <f t="shared" si="12"/>
        <v>100</v>
      </c>
      <c r="X32" s="1539"/>
      <c r="Y32" s="3306" t="s">
        <v>2380</v>
      </c>
      <c r="Z32" s="1540">
        <f t="shared" si="13"/>
        <v>111</v>
      </c>
      <c r="AA32" s="1537">
        <f t="shared" si="3"/>
        <v>1</v>
      </c>
      <c r="AB32" s="1537">
        <f t="shared" si="4"/>
        <v>1</v>
      </c>
      <c r="AC32" s="1537">
        <f t="shared" si="5"/>
        <v>1</v>
      </c>
    </row>
    <row r="33" spans="1:31" s="430" customFormat="1" ht="15.6"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06"/>
      <c r="Q33" s="1536">
        <f t="shared" si="8"/>
        <v>111</v>
      </c>
      <c r="R33" s="717" t="s">
        <v>17</v>
      </c>
      <c r="S33" s="718">
        <f t="shared" si="10"/>
        <v>100</v>
      </c>
      <c r="T33" s="717" t="s">
        <v>17</v>
      </c>
      <c r="U33" s="718">
        <f t="shared" si="11"/>
        <v>100</v>
      </c>
      <c r="V33" s="717" t="s">
        <v>17</v>
      </c>
      <c r="W33" s="718">
        <f t="shared" si="12"/>
        <v>100</v>
      </c>
      <c r="X33" s="719"/>
      <c r="Y33" s="3306"/>
      <c r="Z33" s="720">
        <f t="shared" si="13"/>
        <v>111</v>
      </c>
      <c r="AA33" s="1537">
        <f t="shared" si="3"/>
        <v>1</v>
      </c>
      <c r="AB33" s="1537">
        <f t="shared" si="4"/>
        <v>1</v>
      </c>
      <c r="AC33" s="1537">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06"/>
      <c r="Q34" s="1536" t="str">
        <f>B34</f>
        <v>宗地面积</v>
      </c>
      <c r="R34" s="714" t="s">
        <v>17</v>
      </c>
      <c r="S34" s="715" t="e">
        <f t="shared" si="10"/>
        <v>#N/A</v>
      </c>
      <c r="T34" s="714" t="s">
        <v>17</v>
      </c>
      <c r="U34" s="715" t="e">
        <f t="shared" si="11"/>
        <v>#N/A</v>
      </c>
      <c r="V34" s="714" t="s">
        <v>17</v>
      </c>
      <c r="W34" s="715" t="e">
        <f t="shared" si="12"/>
        <v>#N/A</v>
      </c>
      <c r="X34" s="1539"/>
      <c r="Y34" s="3306"/>
      <c r="Z34" s="1540" t="str">
        <f t="shared" si="13"/>
        <v>宗地面积</v>
      </c>
      <c r="AA34" s="1537" t="e">
        <f t="shared" si="3"/>
        <v>#N/A</v>
      </c>
      <c r="AB34" s="1537" t="e">
        <f t="shared" si="4"/>
        <v>#N/A</v>
      </c>
      <c r="AC34" s="1537" t="e">
        <f t="shared" si="5"/>
        <v>#N/A</v>
      </c>
    </row>
    <row r="35" spans="1:31" ht="15">
      <c r="A35" s="431"/>
      <c r="B35" s="381" t="s">
        <v>2567</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06"/>
      <c r="Q35" s="1536" t="str">
        <f t="shared" ref="Q35:Q40" si="14">B35</f>
        <v>宗地形状</v>
      </c>
      <c r="R35" s="714" t="s">
        <v>17</v>
      </c>
      <c r="S35" s="715">
        <f t="shared" si="10"/>
        <v>100</v>
      </c>
      <c r="T35" s="714" t="s">
        <v>17</v>
      </c>
      <c r="U35" s="715">
        <f t="shared" si="11"/>
        <v>100</v>
      </c>
      <c r="V35" s="714" t="s">
        <v>17</v>
      </c>
      <c r="W35" s="715">
        <f t="shared" si="12"/>
        <v>100</v>
      </c>
      <c r="X35" s="1539"/>
      <c r="Y35" s="3306"/>
      <c r="Z35" s="1540" t="str">
        <f t="shared" si="13"/>
        <v>宗地形状</v>
      </c>
      <c r="AA35" s="1537">
        <f t="shared" si="3"/>
        <v>1</v>
      </c>
      <c r="AB35" s="1537">
        <f t="shared" si="4"/>
        <v>1</v>
      </c>
      <c r="AC35" s="1537">
        <f t="shared" si="5"/>
        <v>1</v>
      </c>
    </row>
    <row r="36" spans="1:31" s="113" customFormat="1" ht="15">
      <c r="A36" s="432"/>
      <c r="B36" s="381" t="s">
        <v>2569</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06"/>
      <c r="Q36" s="1536" t="str">
        <f t="shared" si="14"/>
        <v>宗地开发程度</v>
      </c>
      <c r="R36" s="710" t="s">
        <v>17</v>
      </c>
      <c r="S36" s="711">
        <f t="shared" si="10"/>
        <v>100</v>
      </c>
      <c r="T36" s="710" t="s">
        <v>17</v>
      </c>
      <c r="U36" s="711">
        <f t="shared" si="11"/>
        <v>100</v>
      </c>
      <c r="V36" s="710" t="s">
        <v>17</v>
      </c>
      <c r="W36" s="711">
        <f t="shared" si="12"/>
        <v>100</v>
      </c>
      <c r="X36" s="712"/>
      <c r="Y36" s="3306"/>
      <c r="Z36" s="55" t="str">
        <f t="shared" si="13"/>
        <v>宗地开发程度</v>
      </c>
      <c r="AA36" s="713">
        <f t="shared" si="3"/>
        <v>1</v>
      </c>
      <c r="AB36" s="713">
        <f t="shared" si="4"/>
        <v>1</v>
      </c>
      <c r="AC36" s="713">
        <f t="shared" si="5"/>
        <v>1</v>
      </c>
    </row>
    <row r="37" spans="1:31" ht="15">
      <c r="A37" s="431"/>
      <c r="B37" s="381" t="s">
        <v>2570</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06" t="s">
        <v>2380</v>
      </c>
      <c r="Q37" s="1536" t="str">
        <f t="shared" si="14"/>
        <v>工程地质条件</v>
      </c>
      <c r="R37" s="714" t="s">
        <v>17</v>
      </c>
      <c r="S37" s="715">
        <f t="shared" si="10"/>
        <v>100</v>
      </c>
      <c r="T37" s="714" t="s">
        <v>17</v>
      </c>
      <c r="U37" s="715">
        <f t="shared" si="11"/>
        <v>100</v>
      </c>
      <c r="V37" s="714" t="s">
        <v>17</v>
      </c>
      <c r="W37" s="715">
        <f t="shared" si="12"/>
        <v>100</v>
      </c>
      <c r="X37" s="1539"/>
      <c r="Y37" s="3306" t="s">
        <v>2380</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06"/>
      <c r="Q38" s="1536">
        <f t="shared" si="14"/>
        <v>111</v>
      </c>
      <c r="R38" s="714" t="s">
        <v>17</v>
      </c>
      <c r="S38" s="715">
        <f t="shared" si="10"/>
        <v>100</v>
      </c>
      <c r="T38" s="714" t="s">
        <v>17</v>
      </c>
      <c r="U38" s="715">
        <f t="shared" si="11"/>
        <v>100</v>
      </c>
      <c r="V38" s="714" t="s">
        <v>17</v>
      </c>
      <c r="W38" s="715">
        <f t="shared" si="12"/>
        <v>100</v>
      </c>
      <c r="X38" s="1539"/>
      <c r="Y38" s="330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06"/>
      <c r="Q39" s="1536">
        <f t="shared" si="14"/>
        <v>111</v>
      </c>
      <c r="R39" s="714" t="s">
        <v>17</v>
      </c>
      <c r="S39" s="715">
        <f t="shared" si="10"/>
        <v>100</v>
      </c>
      <c r="T39" s="714" t="s">
        <v>17</v>
      </c>
      <c r="U39" s="715">
        <f t="shared" si="11"/>
        <v>100</v>
      </c>
      <c r="V39" s="714" t="s">
        <v>17</v>
      </c>
      <c r="W39" s="715">
        <f t="shared" si="12"/>
        <v>100</v>
      </c>
      <c r="X39" s="1539"/>
      <c r="Y39" s="3306"/>
      <c r="Z39" s="1540">
        <f t="shared" si="13"/>
        <v>111</v>
      </c>
      <c r="AA39" s="1537">
        <f t="shared" si="3"/>
        <v>1</v>
      </c>
      <c r="AB39" s="1537">
        <f t="shared" si="4"/>
        <v>1</v>
      </c>
      <c r="AC39" s="1537">
        <f t="shared" si="5"/>
        <v>1</v>
      </c>
    </row>
    <row r="40" spans="1:31" s="430" customFormat="1" ht="15.6"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06"/>
      <c r="Q40" s="1536">
        <f t="shared" si="14"/>
        <v>111</v>
      </c>
      <c r="R40" s="717" t="s">
        <v>17</v>
      </c>
      <c r="S40" s="718">
        <f t="shared" si="10"/>
        <v>100</v>
      </c>
      <c r="T40" s="717" t="s">
        <v>17</v>
      </c>
      <c r="U40" s="718">
        <f t="shared" si="11"/>
        <v>100</v>
      </c>
      <c r="V40" s="717" t="s">
        <v>17</v>
      </c>
      <c r="W40" s="718">
        <f t="shared" si="12"/>
        <v>100</v>
      </c>
      <c r="X40" s="719"/>
      <c r="Y40" s="3306"/>
      <c r="Z40" s="720">
        <f t="shared" si="13"/>
        <v>111</v>
      </c>
      <c r="AA40" s="1537">
        <f t="shared" si="3"/>
        <v>1</v>
      </c>
      <c r="AB40" s="1537">
        <f t="shared" si="4"/>
        <v>1</v>
      </c>
      <c r="AC40" s="1537">
        <f t="shared" si="5"/>
        <v>1</v>
      </c>
    </row>
    <row r="41" spans="1:31" ht="14.4">
      <c r="A41" s="438" t="s">
        <v>2535</v>
      </c>
      <c r="B41" s="2168" t="s">
        <v>2615</v>
      </c>
      <c r="C41" s="638" t="s">
        <v>1</v>
      </c>
      <c r="D41" s="440"/>
      <c r="E41" s="441"/>
      <c r="F41" s="442"/>
      <c r="G41" s="443"/>
      <c r="H41" s="444"/>
      <c r="I41" s="441"/>
      <c r="J41" s="444"/>
      <c r="K41" s="723"/>
      <c r="L41" s="2953"/>
      <c r="M41" s="2945"/>
      <c r="N41" s="2945"/>
      <c r="O41" s="2954"/>
      <c r="P41" s="3299" t="str">
        <f>A41</f>
        <v>成交单价</v>
      </c>
      <c r="Q41" s="3299"/>
      <c r="R41" s="3330">
        <f>E41</f>
        <v>0</v>
      </c>
      <c r="S41" s="3330"/>
      <c r="T41" s="3330">
        <f>G41</f>
        <v>0</v>
      </c>
      <c r="U41" s="3330"/>
      <c r="V41" s="3330">
        <f>I41</f>
        <v>0</v>
      </c>
      <c r="W41" s="3330"/>
      <c r="X41" s="699"/>
      <c r="Y41" s="721"/>
      <c r="Z41" s="699"/>
      <c r="AA41" s="699"/>
      <c r="AB41" s="699"/>
      <c r="AC41" s="699"/>
    </row>
    <row r="42" spans="1:31" ht="15" thickBot="1">
      <c r="A42" s="445" t="s">
        <v>2484</v>
      </c>
      <c r="B42" s="639"/>
      <c r="C42" s="448" t="e">
        <f>R43</f>
        <v>#DIV/0!</v>
      </c>
      <c r="D42" s="2538" t="s">
        <v>2873</v>
      </c>
      <c r="E42" s="448" t="e">
        <f>R42</f>
        <v>#DIV/0!</v>
      </c>
      <c r="F42" s="2539"/>
      <c r="G42" s="447" t="e">
        <f>T42</f>
        <v>#DIV/0!</v>
      </c>
      <c r="H42" s="2539"/>
      <c r="I42" s="448" t="e">
        <f>V42</f>
        <v>#DIV/0!</v>
      </c>
      <c r="J42" s="2539"/>
      <c r="K42" s="2541">
        <f>F42+H42+J42</f>
        <v>0</v>
      </c>
      <c r="L42" s="2953"/>
      <c r="M42" s="2945"/>
      <c r="N42" s="2945"/>
      <c r="O42" s="2954"/>
      <c r="P42" s="3299" t="str">
        <f>A42</f>
        <v>比较价值（元/平方米）</v>
      </c>
      <c r="Q42" s="3299"/>
      <c r="R42" s="3359" t="e">
        <f>ROUND(PRODUCT(R41,AA7:AA40),0)</f>
        <v>#DIV/0!</v>
      </c>
      <c r="S42" s="3359"/>
      <c r="T42" s="3359" t="e">
        <f>ROUND(PRODUCT(T41,AB7:AB40),0)</f>
        <v>#DIV/0!</v>
      </c>
      <c r="U42" s="3359"/>
      <c r="V42" s="3359" t="e">
        <f>ROUND(PRODUCT(V41,AC7:AC40),0)</f>
        <v>#DIV/0!</v>
      </c>
      <c r="W42" s="3359"/>
      <c r="X42" s="699"/>
      <c r="Y42" s="699"/>
      <c r="Z42" s="699"/>
      <c r="AA42" s="699"/>
      <c r="AB42" s="699"/>
      <c r="AC42" s="699"/>
    </row>
    <row r="43" spans="1:31" ht="15" thickBot="1">
      <c r="A43" s="449" t="s">
        <v>2485</v>
      </c>
      <c r="B43" s="450"/>
      <c r="C43" s="451" t="e">
        <f>R43</f>
        <v>#DIV/0!</v>
      </c>
      <c r="D43" s="451"/>
      <c r="E43" s="451"/>
      <c r="F43" s="451"/>
      <c r="G43" s="451"/>
      <c r="H43" s="451"/>
      <c r="I43" s="451"/>
      <c r="J43" s="451"/>
      <c r="K43" s="724"/>
      <c r="L43" s="2953"/>
      <c r="M43" s="2945"/>
      <c r="N43" s="2945"/>
      <c r="O43" s="2954"/>
      <c r="P43" s="3296" t="str">
        <f>A43</f>
        <v>估价对象XX用房的比较价值（楼面单价，元/平方米）</v>
      </c>
      <c r="Q43" s="3297"/>
      <c r="R43" s="3360" t="e">
        <f>ROUND(IF(D42="简单平均",AVERAGE(R42:W42),R42*F42+T42*H42+V42*J42),0)</f>
        <v>#DIV/0!</v>
      </c>
      <c r="S43" s="3360"/>
      <c r="T43" s="3360"/>
      <c r="U43" s="3360"/>
      <c r="V43" s="3360"/>
      <c r="W43" s="336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4.4"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8.8">
      <c r="A50" s="640" t="s">
        <v>2573</v>
      </c>
      <c r="B50" s="641" t="s">
        <v>2574</v>
      </c>
      <c r="C50" s="2169" t="s">
        <v>2575</v>
      </c>
      <c r="D50" s="2170" t="s">
        <v>2576</v>
      </c>
      <c r="E50" s="642" t="s">
        <v>2577</v>
      </c>
      <c r="F50" s="643" t="s">
        <v>2578</v>
      </c>
      <c r="G50" s="3314" t="s">
        <v>2579</v>
      </c>
      <c r="H50" s="3361"/>
      <c r="I50" s="1540" t="s">
        <v>2616</v>
      </c>
      <c r="J50" s="1540">
        <f>项目基本情况!F35</f>
        <v>0</v>
      </c>
      <c r="K50" s="2172" t="s">
        <v>2581</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2582</v>
      </c>
      <c r="B51" s="645" t="e">
        <f>C43</f>
        <v>#DIV/0!</v>
      </c>
      <c r="C51" s="646">
        <v>1</v>
      </c>
      <c r="D51" s="1075">
        <v>1</v>
      </c>
      <c r="E51" s="646">
        <f>'数据-汇总表'!E8+'数据-汇总表'!E9</f>
        <v>13846.800000000001</v>
      </c>
      <c r="F51" s="647" t="e">
        <f t="shared" ref="F51:F60" si="15">ROUND(B51*E51/10000,0)</f>
        <v>#DIV/0!</v>
      </c>
      <c r="G51" s="3310"/>
      <c r="H51" s="329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2583</v>
      </c>
      <c r="B52" s="224" t="e">
        <f>ROUND($C$43*C52*D52,0)</f>
        <v>#DIV/0!</v>
      </c>
      <c r="C52" s="176">
        <f t="shared" ref="C52:C60" si="16">IF($C$50="北京市系数",I52,J52)</f>
        <v>0</v>
      </c>
      <c r="D52" s="1076">
        <v>0.25</v>
      </c>
      <c r="E52" s="650"/>
      <c r="F52" s="647" t="e">
        <f t="shared" si="15"/>
        <v>#DIV/0!</v>
      </c>
      <c r="G52" s="3362" t="s">
        <v>2584</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2585</v>
      </c>
      <c r="B53" s="224" t="e">
        <f t="shared" ref="B53:B60" si="17">ROUND($C$43*C53*D53,0)</f>
        <v>#DIV/0!</v>
      </c>
      <c r="C53" s="176">
        <f t="shared" si="16"/>
        <v>0</v>
      </c>
      <c r="D53" s="1076">
        <v>0.25</v>
      </c>
      <c r="E53" s="650"/>
      <c r="F53" s="647" t="e">
        <f t="shared" si="15"/>
        <v>#DIV/0!</v>
      </c>
      <c r="G53" s="336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2586</v>
      </c>
      <c r="B54" s="224" t="e">
        <f t="shared" si="17"/>
        <v>#DIV/0!</v>
      </c>
      <c r="C54" s="176">
        <f t="shared" si="16"/>
        <v>0</v>
      </c>
      <c r="D54" s="1076">
        <v>0.25</v>
      </c>
      <c r="E54" s="650"/>
      <c r="F54" s="647" t="e">
        <f t="shared" si="15"/>
        <v>#DIV/0!</v>
      </c>
      <c r="G54" s="336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2587</v>
      </c>
      <c r="B55" s="224" t="e">
        <f t="shared" si="17"/>
        <v>#DIV/0!</v>
      </c>
      <c r="C55" s="176">
        <f t="shared" si="16"/>
        <v>0</v>
      </c>
      <c r="D55" s="1076">
        <v>0.25</v>
      </c>
      <c r="E55" s="650"/>
      <c r="F55" s="647" t="e">
        <f t="shared" si="15"/>
        <v>#DIV/0!</v>
      </c>
      <c r="G55" s="336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2588</v>
      </c>
      <c r="B56" s="224" t="e">
        <f t="shared" si="17"/>
        <v>#DIV/0!</v>
      </c>
      <c r="C56" s="176">
        <f t="shared" si="16"/>
        <v>0</v>
      </c>
      <c r="D56" s="1076">
        <v>0.25</v>
      </c>
      <c r="E56" s="223">
        <f>'数据-汇总表'!E11</f>
        <v>0</v>
      </c>
      <c r="F56" s="647" t="e">
        <f t="shared" si="15"/>
        <v>#DIV/0!</v>
      </c>
      <c r="G56" s="2173" t="s">
        <v>2589</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2594</v>
      </c>
      <c r="B59" s="224" t="e">
        <f t="shared" si="17"/>
        <v>#DIV/0!</v>
      </c>
      <c r="C59" s="176">
        <f t="shared" si="16"/>
        <v>0</v>
      </c>
      <c r="D59" s="1076">
        <v>0.25</v>
      </c>
      <c r="E59" s="223">
        <f>'数据-汇总表'!E14</f>
        <v>0</v>
      </c>
      <c r="F59" s="647" t="e">
        <f t="shared" si="15"/>
        <v>#DIV/0!</v>
      </c>
      <c r="G59" s="2173" t="s">
        <v>2584</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4.4" thickBot="1">
      <c r="A60" s="649" t="s">
        <v>2595</v>
      </c>
      <c r="B60" s="224" t="e">
        <f t="shared" si="17"/>
        <v>#DIV/0!</v>
      </c>
      <c r="C60" s="176">
        <f t="shared" si="16"/>
        <v>0</v>
      </c>
      <c r="D60" s="1076">
        <v>0.25</v>
      </c>
      <c r="E60" s="223">
        <f>'数据-汇总表'!E15</f>
        <v>0</v>
      </c>
      <c r="F60" s="647" t="e">
        <f t="shared" si="15"/>
        <v>#DIV/0!</v>
      </c>
      <c r="G60" s="2174" t="s">
        <v>2589</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4.4" thickBot="1">
      <c r="A61" s="651" t="s">
        <v>2596</v>
      </c>
      <c r="B61" s="652" t="s">
        <v>28</v>
      </c>
      <c r="C61" s="652" t="s">
        <v>29</v>
      </c>
      <c r="D61" s="652" t="s">
        <v>997</v>
      </c>
      <c r="E61" s="652">
        <f>IF(B41="楼面地价",SUM(E51:E60),'数据-汇总表'!D3)</f>
        <v>9053.6</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4"/>
      <c r="Q63" s="2954"/>
      <c r="R63" s="2954"/>
      <c r="S63" s="2954"/>
      <c r="T63" s="2954"/>
      <c r="U63" s="2954"/>
      <c r="V63" s="2954"/>
      <c r="W63" s="2954"/>
      <c r="X63" s="2954"/>
      <c r="Y63" s="2954"/>
      <c r="Z63" s="2954"/>
      <c r="AA63" s="2954"/>
      <c r="AB63" s="2954"/>
      <c r="AC63" s="2954"/>
      <c r="AD63" s="2954"/>
      <c r="AE63" s="2954"/>
    </row>
    <row r="64" spans="1:31" ht="22.2" thickBot="1">
      <c r="A64" s="703" t="s">
        <v>2489</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4.4">
      <c r="A65" s="2175" t="s">
        <v>2597</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2617</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 thickBot="1">
      <c r="A67" s="472" t="s">
        <v>2400</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4.4">
      <c r="A68" s="478" t="s">
        <v>2365</v>
      </c>
      <c r="B68" s="467"/>
      <c r="C68" s="479" t="s">
        <v>2467</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4.4"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ht="14.4">
      <c r="A70" s="484" t="s">
        <v>2403</v>
      </c>
      <c r="B70" s="485" t="s">
        <v>2369</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4.4"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9.4" thickTop="1">
      <c r="A72" s="491"/>
      <c r="B72" s="495" t="s">
        <v>2372</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4.4"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4.4"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4.4"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4.4"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4.4"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4.4"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4.4"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ht="14.4">
      <c r="A83" s="484" t="s">
        <v>2374</v>
      </c>
      <c r="B83" s="485" t="s">
        <v>2520</v>
      </c>
      <c r="C83" s="530" t="s">
        <v>2412</v>
      </c>
      <c r="D83" s="530" t="s">
        <v>2413</v>
      </c>
      <c r="E83" s="530" t="s">
        <v>2414</v>
      </c>
      <c r="F83" s="530" t="s">
        <v>2415</v>
      </c>
      <c r="G83" s="530" t="s">
        <v>2416</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 thickTop="1">
      <c r="A85" s="491"/>
      <c r="B85" s="495" t="s">
        <v>2417</v>
      </c>
      <c r="C85" s="535" t="s">
        <v>2412</v>
      </c>
      <c r="D85" s="535" t="s">
        <v>2413</v>
      </c>
      <c r="E85" s="535" t="s">
        <v>2414</v>
      </c>
      <c r="F85" s="535" t="s">
        <v>2415</v>
      </c>
      <c r="G85" s="535" t="s">
        <v>2416</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29.4" thickTop="1">
      <c r="A87" s="536"/>
      <c r="B87" s="495" t="s">
        <v>2600</v>
      </c>
      <c r="C87" s="530" t="s">
        <v>2412</v>
      </c>
      <c r="D87" s="530" t="s">
        <v>2413</v>
      </c>
      <c r="E87" s="530" t="s">
        <v>2414</v>
      </c>
      <c r="F87" s="530" t="s">
        <v>2415</v>
      </c>
      <c r="G87" s="530" t="s">
        <v>2416</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9.4" thickTop="1">
      <c r="A89" s="536"/>
      <c r="B89" s="495" t="s">
        <v>2601</v>
      </c>
      <c r="C89" s="530" t="s">
        <v>2412</v>
      </c>
      <c r="D89" s="530" t="s">
        <v>2413</v>
      </c>
      <c r="E89" s="530" t="s">
        <v>2414</v>
      </c>
      <c r="F89" s="530" t="s">
        <v>2415</v>
      </c>
      <c r="G89" s="530" t="s">
        <v>2416</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 thickTop="1">
      <c r="A91" s="510"/>
      <c r="B91" s="495" t="s">
        <v>2469</v>
      </c>
      <c r="C91" s="530" t="s">
        <v>2412</v>
      </c>
      <c r="D91" s="530" t="s">
        <v>2413</v>
      </c>
      <c r="E91" s="530" t="s">
        <v>2414</v>
      </c>
      <c r="F91" s="530" t="s">
        <v>2415</v>
      </c>
      <c r="G91" s="530" t="s">
        <v>2416</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 thickTop="1">
      <c r="A93" s="510"/>
      <c r="B93" s="503" t="s">
        <v>2618</v>
      </c>
      <c r="C93" s="616" t="s">
        <v>2490</v>
      </c>
      <c r="D93" s="616" t="s">
        <v>2491</v>
      </c>
      <c r="E93" s="616" t="s">
        <v>2492</v>
      </c>
      <c r="F93" s="616" t="s">
        <v>2493</v>
      </c>
      <c r="G93" s="616" t="s">
        <v>2494</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 thickTop="1">
      <c r="A95" s="491"/>
      <c r="B95" s="495" t="str">
        <f>B27</f>
        <v>临街状况</v>
      </c>
      <c r="C95" s="496" t="s">
        <v>2602</v>
      </c>
      <c r="D95" s="496" t="s">
        <v>2603</v>
      </c>
      <c r="E95" s="496" t="s">
        <v>2604</v>
      </c>
      <c r="F95" s="496" t="s">
        <v>2605</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9.4" thickTop="1">
      <c r="A97" s="491"/>
      <c r="B97" s="495" t="s">
        <v>2506</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 thickTop="1">
      <c r="A99" s="491"/>
      <c r="B99" s="495" t="s">
        <v>2565</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4.4"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4.4"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4.4"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4.4"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4.4"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4.4"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14.4">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4.4"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2607</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2609</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2610</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4.4"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4.4"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4.4"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4.4"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4.4"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4.4"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85" zoomScaleNormal="80" zoomScaleSheetLayoutView="85" workbookViewId="0">
      <selection activeCell="D30" sqref="D30"/>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2" customWidth="1"/>
    <col min="33" max="36" width="9.33203125" style="2250" customWidth="1"/>
    <col min="37" max="38" width="9.33203125" style="2184" customWidth="1"/>
    <col min="39" max="16384" width="12" style="2184"/>
  </cols>
  <sheetData>
    <row r="1" spans="1:36" ht="31.2">
      <c r="A1" s="202" t="s">
        <v>2619</v>
      </c>
      <c r="B1" s="203"/>
      <c r="C1" s="207" t="s">
        <v>2620</v>
      </c>
      <c r="D1" s="348">
        <f>SUM(D29:D30,D33:D39)</f>
        <v>13846.800000000001</v>
      </c>
      <c r="E1" s="2181"/>
      <c r="F1" s="2181"/>
      <c r="G1" s="2181"/>
      <c r="H1" s="2181"/>
      <c r="I1" s="2181"/>
      <c r="J1" s="2181"/>
      <c r="K1" s="1280"/>
      <c r="L1" s="2182" t="s">
        <v>2621</v>
      </c>
      <c r="M1" s="994">
        <f>SUMPRODUCT((区片价!B5:B9=I2)*(区片价!C3:F3=E2)*(区片价!C5:F9))</f>
        <v>0</v>
      </c>
      <c r="N1" s="997">
        <f>SUMPRODUCT((因素修正幅度!B5:B9=I2)*(因素修正幅度!C3:F3=E2)*(因素修正幅度!C5:F9))</f>
        <v>0</v>
      </c>
      <c r="O1" s="2183"/>
      <c r="P1" s="2183"/>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6">
      <c r="A2" s="207" t="s">
        <v>2627</v>
      </c>
      <c r="B2" s="210">
        <f>C26</f>
        <v>2264</v>
      </c>
      <c r="C2" s="2185" t="s">
        <v>2628</v>
      </c>
      <c r="D2" s="2186" t="s">
        <v>2629</v>
      </c>
      <c r="E2" s="2187" t="s">
        <v>6</v>
      </c>
      <c r="F2" s="2186" t="s">
        <v>2630</v>
      </c>
      <c r="G2" s="2188" t="str">
        <f>IF(E2="商业",项目基本情况!B37,IF(E2="办公",项目基本情况!C37,IF(E2="住宅",项目基本情况!D37,项目基本情况!E37)))</f>
        <v>七级</v>
      </c>
      <c r="H2" s="2186" t="s">
        <v>2631</v>
      </c>
      <c r="I2" s="2188" t="str">
        <f>IF(E2="商业",项目基本情况!B38,IF(E2="办公",项目基本情况!C38,IF(E2="住宅",项目基本情况!D38,项目基本情况!E38)))</f>
        <v>Ⅶ-亦1</v>
      </c>
      <c r="J2" s="2189"/>
      <c r="K2" s="1280"/>
      <c r="L2" s="2190"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3389</v>
      </c>
      <c r="U2" s="1375"/>
      <c r="V2" s="1374">
        <f>ROUND(T2*U2/10000,0)</f>
        <v>0</v>
      </c>
      <c r="W2" s="1378"/>
      <c r="X2" s="1378"/>
      <c r="Y2" s="1378"/>
      <c r="Z2" s="1378"/>
      <c r="AA2" s="1378"/>
      <c r="AB2" s="1378"/>
      <c r="AC2" s="1379"/>
      <c r="AD2" s="1380"/>
      <c r="AE2" s="1380"/>
      <c r="AF2" s="1380"/>
      <c r="AG2" s="1380"/>
      <c r="AH2" s="1380"/>
      <c r="AI2" s="1380"/>
      <c r="AJ2" s="1381"/>
    </row>
    <row r="3" spans="1:36" ht="15.6">
      <c r="A3" s="209" t="s">
        <v>2633</v>
      </c>
      <c r="B3" s="210">
        <f>ROUND(B2*10000/D1,0)</f>
        <v>1635</v>
      </c>
      <c r="C3" s="2185" t="s">
        <v>2634</v>
      </c>
      <c r="D3" s="2186" t="s">
        <v>2635</v>
      </c>
      <c r="E3" s="2191" t="s">
        <v>3097</v>
      </c>
      <c r="F3" s="2192" t="s">
        <v>3094</v>
      </c>
      <c r="G3" s="855">
        <f>IF(F3="宗地容积率",'数据-汇总表'!I4,IF(F3="估价对象容积率",'数据-汇总表'!I6,'数据-汇总表'!I7))</f>
        <v>1.53</v>
      </c>
      <c r="H3" s="175" t="s">
        <v>2636</v>
      </c>
      <c r="I3" s="881"/>
      <c r="J3" s="2189" t="s">
        <v>2637</v>
      </c>
      <c r="K3" s="1280"/>
      <c r="L3" s="2190" t="s">
        <v>2638</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2433</v>
      </c>
      <c r="U3" s="1375"/>
      <c r="V3" s="1374">
        <f t="shared" ref="V3:V16" si="1">ROUND(T3*U3/10000,0)</f>
        <v>0</v>
      </c>
      <c r="W3" s="1378"/>
      <c r="X3" s="1378"/>
      <c r="Y3" s="1378"/>
      <c r="Z3" s="1378"/>
      <c r="AA3" s="1378"/>
      <c r="AB3" s="1378"/>
      <c r="AC3" s="1379"/>
      <c r="AD3" s="1380"/>
      <c r="AE3" s="1380"/>
      <c r="AF3" s="1380"/>
      <c r="AG3" s="1380"/>
      <c r="AH3" s="1380"/>
      <c r="AI3" s="1380"/>
      <c r="AJ3" s="1381"/>
    </row>
    <row r="4" spans="1:36" ht="15.6">
      <c r="A4" s="3370"/>
      <c r="B4" s="3371"/>
      <c r="C4" s="3371"/>
      <c r="D4" s="3372"/>
      <c r="E4" s="3372"/>
      <c r="F4" s="3372"/>
      <c r="G4" s="3372"/>
      <c r="H4" s="3372"/>
      <c r="I4" s="3372"/>
      <c r="J4" s="3373"/>
      <c r="K4" s="1280"/>
      <c r="L4" s="2190" t="s">
        <v>2639</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1962</v>
      </c>
      <c r="U4" s="1375"/>
      <c r="V4" s="1374">
        <f t="shared" si="1"/>
        <v>0</v>
      </c>
      <c r="W4" s="1378"/>
      <c r="X4" s="1378"/>
      <c r="Y4" s="1378"/>
      <c r="Z4" s="1378"/>
      <c r="AA4" s="1378"/>
      <c r="AB4" s="1378"/>
      <c r="AC4" s="1379"/>
      <c r="AD4" s="1380"/>
      <c r="AE4" s="1380"/>
      <c r="AF4" s="1380"/>
      <c r="AG4" s="1380"/>
      <c r="AH4" s="1380"/>
      <c r="AI4" s="1380"/>
      <c r="AJ4" s="1381"/>
    </row>
    <row r="5" spans="1:36" s="2202" customFormat="1" ht="15.6" thickBot="1">
      <c r="A5" s="2193" t="s">
        <v>807</v>
      </c>
      <c r="B5" s="2194" t="s">
        <v>2640</v>
      </c>
      <c r="C5" s="856">
        <f>ROUND(IF(E2="商业",C6*C7+C16,(IF(E2="住宅",C6*C12+C16,C6+C16))),0)</f>
        <v>1285</v>
      </c>
      <c r="D5" s="1523">
        <f>ROUND(C6+C16,0)</f>
        <v>1285</v>
      </c>
      <c r="E5" s="1523"/>
      <c r="F5" s="2195"/>
      <c r="G5" s="2196"/>
      <c r="H5" s="2196"/>
      <c r="I5" s="2196"/>
      <c r="J5" s="2197"/>
      <c r="K5" s="2198"/>
      <c r="L5" s="2190" t="s">
        <v>2641</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1575</v>
      </c>
      <c r="U5" s="1375"/>
      <c r="V5" s="1374">
        <f t="shared" si="1"/>
        <v>0</v>
      </c>
      <c r="W5" s="1378"/>
      <c r="X5" s="1378"/>
      <c r="Y5" s="1378"/>
      <c r="Z5" s="1378"/>
      <c r="AA5" s="1378"/>
      <c r="AB5" s="1378"/>
      <c r="AC5" s="2199"/>
      <c r="AD5" s="2200"/>
      <c r="AE5" s="2200"/>
      <c r="AF5" s="2200"/>
      <c r="AG5" s="2200"/>
      <c r="AH5" s="2200"/>
      <c r="AI5" s="2200"/>
      <c r="AJ5" s="2201"/>
    </row>
    <row r="6" spans="1:36" ht="15.6" thickBot="1">
      <c r="A6" s="2203" t="s">
        <v>2642</v>
      </c>
      <c r="B6" s="2204" t="s">
        <v>2643</v>
      </c>
      <c r="C6" s="857">
        <f>SUMIF(L1:L12,G2,M1:M12)</f>
        <v>1360</v>
      </c>
      <c r="D6" s="2205" t="s">
        <v>2644</v>
      </c>
      <c r="E6" s="2206"/>
      <c r="F6" s="2206"/>
      <c r="G6" s="2207"/>
      <c r="H6" s="2207"/>
      <c r="I6" s="2207"/>
      <c r="J6" s="2208"/>
      <c r="K6" s="1568"/>
      <c r="L6" s="2190" t="s">
        <v>2645</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1341</v>
      </c>
      <c r="U6" s="1375"/>
      <c r="V6" s="1374">
        <f t="shared" si="1"/>
        <v>0</v>
      </c>
      <c r="W6" s="1378"/>
      <c r="X6" s="1378"/>
      <c r="Y6" s="1378"/>
      <c r="Z6" s="1378"/>
      <c r="AA6" s="1378"/>
      <c r="AB6" s="1378"/>
      <c r="AC6" s="2199"/>
      <c r="AD6" s="2200"/>
      <c r="AE6" s="2200"/>
      <c r="AF6" s="2200"/>
      <c r="AG6" s="2200"/>
      <c r="AH6" s="2200"/>
      <c r="AI6" s="2200"/>
      <c r="AJ6" s="2201"/>
    </row>
    <row r="7" spans="1:36" ht="24">
      <c r="A7" s="3374" t="str">
        <f>IF(E2="商业",IF(C8="不临58条商业街","",2),"")</f>
        <v/>
      </c>
      <c r="B7" s="2209" t="s">
        <v>2646</v>
      </c>
      <c r="C7" s="858" t="e">
        <f>IF(C8="不临58条商业街",1,ROUND(1+(1.6*E8+1.2*E9+0.8*E10+0.4*E11)*C9,4))</f>
        <v>#DIV/0!</v>
      </c>
      <c r="D7" s="2210" t="s">
        <v>2647</v>
      </c>
      <c r="E7" s="882"/>
      <c r="F7" s="2211"/>
      <c r="G7" s="2212"/>
      <c r="H7" s="2212"/>
      <c r="I7" s="2212"/>
      <c r="J7" s="2213"/>
      <c r="K7" s="1568"/>
      <c r="L7" s="2190" t="s">
        <v>2648</v>
      </c>
      <c r="M7" s="995">
        <f>SUMPRODUCT((区片价!B158:B205=I2)*(区片价!C3:F3=E2)*(区片价!C158:F205))</f>
        <v>1360</v>
      </c>
      <c r="N7" s="997">
        <f>SUMPRODUCT((因素修正幅度!B158:B205=I2)*(因素修正幅度!C3:F3=E2)*(因素修正幅度!C158:F205))</f>
        <v>0.13</v>
      </c>
      <c r="O7" s="1280"/>
      <c r="P7" s="1280"/>
      <c r="Q7" s="1280"/>
      <c r="R7" s="1374">
        <v>6</v>
      </c>
      <c r="S7" s="1374">
        <f>ROUND(IF(G3&gt;1,IF(R7&lt;7,SUMPRODUCT((B93:B98=R7)*(C92:N92=G2)*(C93:N98)),SUMIF(C92:N92,G2,C100:N100)),IF(R7&lt;7,SUMPRODUCT((B102:B107=R7)*(C92:N92=G2)*(C102:N107)),SUMIF(C92:N92,G2,C109:N109))),4)</f>
        <v>0.6482</v>
      </c>
      <c r="T7" s="1374">
        <f t="shared" si="0"/>
        <v>1179</v>
      </c>
      <c r="U7" s="1375"/>
      <c r="V7" s="1374">
        <f t="shared" si="1"/>
        <v>0</v>
      </c>
      <c r="W7" s="1542" t="s">
        <v>2649</v>
      </c>
      <c r="X7" s="1376" t="str">
        <f>G2</f>
        <v>七级</v>
      </c>
      <c r="Y7" s="1376" t="s">
        <v>2650</v>
      </c>
      <c r="Z7" s="1377">
        <f>G3</f>
        <v>1.53</v>
      </c>
      <c r="AA7" s="1378"/>
      <c r="AB7" s="1378"/>
      <c r="AC7" s="1379"/>
      <c r="AD7" s="1380"/>
      <c r="AE7" s="1380"/>
      <c r="AF7" s="1380"/>
      <c r="AG7" s="1380"/>
      <c r="AH7" s="1380"/>
      <c r="AI7" s="1380"/>
      <c r="AJ7" s="1381"/>
    </row>
    <row r="8" spans="1:36" ht="15">
      <c r="A8" s="3375"/>
      <c r="B8" s="175" t="s">
        <v>2651</v>
      </c>
      <c r="C8" s="2214"/>
      <c r="D8" s="859" t="s">
        <v>139</v>
      </c>
      <c r="E8" s="860" t="e">
        <f>ROUND(C11/E7,4)</f>
        <v>#DIV/0!</v>
      </c>
      <c r="F8" s="2215" t="s">
        <v>2652</v>
      </c>
      <c r="G8" s="2216"/>
      <c r="H8" s="2216"/>
      <c r="I8" s="2216"/>
      <c r="J8" s="2217"/>
      <c r="K8" s="1280"/>
      <c r="L8" s="2190" t="s">
        <v>2653</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67" t="s">
        <v>2654</v>
      </c>
      <c r="X8" s="3368"/>
      <c r="Y8" s="1382" t="s">
        <v>2655</v>
      </c>
      <c r="Z8" s="1382" t="s">
        <v>2656</v>
      </c>
      <c r="AA8" s="1382" t="s">
        <v>2657</v>
      </c>
      <c r="AB8" s="1382" t="s">
        <v>2658</v>
      </c>
      <c r="AC8" s="1382" t="s">
        <v>2659</v>
      </c>
      <c r="AD8" s="1382" t="s">
        <v>2660</v>
      </c>
      <c r="AE8" s="1382" t="s">
        <v>2661</v>
      </c>
      <c r="AF8" s="1382" t="s">
        <v>2662</v>
      </c>
      <c r="AG8" s="1382" t="s">
        <v>2663</v>
      </c>
      <c r="AH8" s="1382" t="s">
        <v>2664</v>
      </c>
      <c r="AI8" s="1382" t="s">
        <v>2665</v>
      </c>
      <c r="AJ8" s="1382" t="s">
        <v>2666</v>
      </c>
    </row>
    <row r="9" spans="1:36" ht="15">
      <c r="A9" s="3375"/>
      <c r="B9" s="175" t="s">
        <v>2667</v>
      </c>
      <c r="C9" s="861">
        <f>SUMIF(修正!C59:C119,C8,修正!E59:E119)</f>
        <v>0</v>
      </c>
      <c r="D9" s="176" t="s">
        <v>140</v>
      </c>
      <c r="E9" s="176" t="e">
        <f>ROUND(C11/E7,4)</f>
        <v>#DIV/0!</v>
      </c>
      <c r="F9" s="2215" t="s">
        <v>2668</v>
      </c>
      <c r="G9" s="2216"/>
      <c r="H9" s="2216"/>
      <c r="I9" s="2216"/>
      <c r="J9" s="2217"/>
      <c r="K9" s="1280"/>
      <c r="L9" s="2190" t="s">
        <v>2669</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69" t="s">
        <v>2670</v>
      </c>
      <c r="X9" s="1383" t="s">
        <v>2671</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2672</v>
      </c>
      <c r="C10" s="176">
        <f>SUMIF(修正!C59:C119,C8,修正!F59:F119)</f>
        <v>0</v>
      </c>
      <c r="D10" s="176" t="s">
        <v>141</v>
      </c>
      <c r="E10" s="176" t="e">
        <f>ROUND(C11/E7,4)</f>
        <v>#DIV/0!</v>
      </c>
      <c r="F10" s="2215" t="s">
        <v>2673</v>
      </c>
      <c r="G10" s="2216"/>
      <c r="H10" s="2216"/>
      <c r="I10" s="2216"/>
      <c r="J10" s="2217"/>
      <c r="K10" s="1280"/>
      <c r="L10" s="2190" t="s">
        <v>2674</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6" thickBot="1">
      <c r="A11" s="3375"/>
      <c r="B11" s="2218" t="s">
        <v>2675</v>
      </c>
      <c r="C11" s="862">
        <f>C10/4</f>
        <v>0</v>
      </c>
      <c r="D11" s="862" t="s">
        <v>142</v>
      </c>
      <c r="E11" s="862" t="e">
        <f>ROUND(C11/E7,4)</f>
        <v>#DIV/0!</v>
      </c>
      <c r="F11" s="2219" t="s">
        <v>2676</v>
      </c>
      <c r="G11" s="2220"/>
      <c r="H11" s="2220"/>
      <c r="I11" s="2220"/>
      <c r="J11" s="2221"/>
      <c r="K11" s="1280"/>
      <c r="L11" s="2190" t="s">
        <v>2677</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69" t="s">
        <v>2678</v>
      </c>
      <c r="X11" s="1386" t="s">
        <v>2679</v>
      </c>
      <c r="Y11" s="1387">
        <f>$G$3</f>
        <v>1.53</v>
      </c>
      <c r="Z11" s="1387">
        <f t="shared" ref="Z11:AJ11" si="3">$G$3</f>
        <v>1.53</v>
      </c>
      <c r="AA11" s="1387">
        <f t="shared" si="3"/>
        <v>1.53</v>
      </c>
      <c r="AB11" s="1387">
        <f t="shared" si="3"/>
        <v>1.53</v>
      </c>
      <c r="AC11" s="1387">
        <f t="shared" si="3"/>
        <v>1.53</v>
      </c>
      <c r="AD11" s="1387">
        <f t="shared" si="3"/>
        <v>1.53</v>
      </c>
      <c r="AE11" s="1387">
        <f t="shared" si="3"/>
        <v>1.53</v>
      </c>
      <c r="AF11" s="1387">
        <f t="shared" si="3"/>
        <v>1.53</v>
      </c>
      <c r="AG11" s="1387">
        <f t="shared" si="3"/>
        <v>1.53</v>
      </c>
      <c r="AH11" s="1387">
        <f t="shared" si="3"/>
        <v>1.53</v>
      </c>
      <c r="AI11" s="1387">
        <f t="shared" si="3"/>
        <v>1.53</v>
      </c>
      <c r="AJ11" s="1387">
        <f t="shared" si="3"/>
        <v>1.53</v>
      </c>
    </row>
    <row r="12" spans="1:36" ht="25.8" thickBot="1">
      <c r="A12" s="3374" t="s">
        <v>2680</v>
      </c>
      <c r="B12" s="2222" t="s">
        <v>2681</v>
      </c>
      <c r="C12" s="858">
        <f>ROUND(C15*D15*E15*F15*G15*H15*I15*J15,4)</f>
        <v>1</v>
      </c>
      <c r="D12" s="2223" t="s">
        <v>2682</v>
      </c>
      <c r="E12" s="2224"/>
      <c r="F12" s="2224"/>
      <c r="G12" s="2225"/>
      <c r="H12" s="2225"/>
      <c r="I12" s="2225"/>
      <c r="J12" s="2226"/>
      <c r="K12" s="1280"/>
      <c r="L12" s="2227" t="s">
        <v>2683</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69"/>
      <c r="X12" s="1388" t="s">
        <v>2684</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2685</v>
      </c>
      <c r="C13" s="2229" t="s">
        <v>2686</v>
      </c>
      <c r="D13" s="1534" t="s">
        <v>2687</v>
      </c>
      <c r="E13" s="1534" t="s">
        <v>2688</v>
      </c>
      <c r="F13" s="30" t="s">
        <v>2689</v>
      </c>
      <c r="G13" s="2230" t="s">
        <v>2690</v>
      </c>
      <c r="H13" s="2230" t="s">
        <v>2690</v>
      </c>
      <c r="I13" s="2230" t="s">
        <v>2690</v>
      </c>
      <c r="J13" s="2231" t="s">
        <v>2690</v>
      </c>
      <c r="K13" s="1280"/>
      <c r="L13" s="1280"/>
      <c r="M13" s="1280"/>
      <c r="N13" s="1280"/>
      <c r="O13" s="1280"/>
      <c r="P13" s="1280"/>
      <c r="Q13" s="1280"/>
      <c r="R13" s="1374">
        <v>12</v>
      </c>
      <c r="S13" s="1375"/>
      <c r="T13" s="1374">
        <f t="shared" si="0"/>
        <v>0</v>
      </c>
      <c r="U13" s="1375"/>
      <c r="V13" s="1374">
        <f t="shared" si="1"/>
        <v>0</v>
      </c>
      <c r="W13" s="3369"/>
      <c r="X13" s="1388"/>
      <c r="Y13" s="1385">
        <f>(-0.163*(Y12^2)-0.59*Y12+7617)*(10^(-4))/Y11</f>
        <v>0.49784313725490198</v>
      </c>
      <c r="Z13" s="1385">
        <f t="shared" ref="Z13:AJ13" si="5">(-0.163*(Z12^2)-0.59*Z12+7617)*(10^(-4))/Z11</f>
        <v>0.49784313725490198</v>
      </c>
      <c r="AA13" s="1385">
        <f t="shared" si="5"/>
        <v>0.49784313725490198</v>
      </c>
      <c r="AB13" s="1385">
        <f t="shared" si="5"/>
        <v>0.49784313725490198</v>
      </c>
      <c r="AC13" s="1385">
        <f t="shared" si="5"/>
        <v>0.49784313725490198</v>
      </c>
      <c r="AD13" s="1385">
        <f t="shared" si="5"/>
        <v>0.49784313725490198</v>
      </c>
      <c r="AE13" s="1385">
        <f t="shared" si="5"/>
        <v>0.49784313725490198</v>
      </c>
      <c r="AF13" s="1385">
        <f t="shared" si="5"/>
        <v>0.49784313725490198</v>
      </c>
      <c r="AG13" s="1385">
        <f t="shared" si="5"/>
        <v>0.49784313725490198</v>
      </c>
      <c r="AH13" s="1385">
        <f t="shared" si="5"/>
        <v>0.49784313725490198</v>
      </c>
      <c r="AI13" s="1385">
        <f t="shared" si="5"/>
        <v>0.49784313725490198</v>
      </c>
      <c r="AJ13" s="1385">
        <f t="shared" si="5"/>
        <v>0.49784313725490198</v>
      </c>
    </row>
    <row r="14" spans="1:36" ht="15">
      <c r="A14" s="3376"/>
      <c r="B14" s="2232"/>
      <c r="C14" s="2233"/>
      <c r="D14" s="2234"/>
      <c r="E14" s="2234"/>
      <c r="F14" s="2235"/>
      <c r="G14" s="2236" t="s">
        <v>2691</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6" thickBot="1">
      <c r="A15" s="3377"/>
      <c r="B15" s="2240" t="s">
        <v>2692</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74" t="s">
        <v>2697</v>
      </c>
      <c r="B16" s="2209" t="s">
        <v>2698</v>
      </c>
      <c r="C16" s="2371">
        <f>ROUND(IF(F17="与级别开发程度一致",0,(G17-E17)/C17),0)</f>
        <v>-75</v>
      </c>
      <c r="D16" s="3390" t="s">
        <v>2702</v>
      </c>
      <c r="E16" s="3391"/>
      <c r="F16" s="3390" t="s">
        <v>2699</v>
      </c>
      <c r="G16" s="3391"/>
      <c r="H16" s="2241" t="s">
        <v>3066</v>
      </c>
      <c r="I16" s="2241" t="s">
        <v>3067</v>
      </c>
      <c r="J16" s="2375" t="s">
        <v>3068</v>
      </c>
      <c r="K16" s="2241" t="s">
        <v>3069</v>
      </c>
      <c r="L16" s="2241" t="s">
        <v>3070</v>
      </c>
      <c r="M16" s="2241" t="s">
        <v>3071</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7" thickBot="1">
      <c r="A17" s="3378"/>
      <c r="B17" s="2382" t="s">
        <v>2701</v>
      </c>
      <c r="C17" s="2383">
        <f>SUMPRODUCT((修正!A2:A5=E2)*(修正!B1:M1=G2)*(修正!B2:M5))</f>
        <v>1.2</v>
      </c>
      <c r="D17" s="193" t="str">
        <f>IF(OR(G2="八级",G2="九级",G2="十级",G2="十一级",G2="十二级"),"五通一平","七通一平")</f>
        <v>七通一平</v>
      </c>
      <c r="E17" s="2372">
        <f>SUMPRODUCT((修正!B1:M1=G2)*(修正!B15:M15))</f>
        <v>300</v>
      </c>
      <c r="F17" s="2373" t="s">
        <v>3095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 thickBot="1">
      <c r="A18" s="2376" t="s">
        <v>808</v>
      </c>
      <c r="B18" s="2377" t="s">
        <v>2704</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4" thickBot="1">
      <c r="A19" s="2246" t="s">
        <v>809</v>
      </c>
      <c r="B19" s="2247" t="s">
        <v>2705</v>
      </c>
      <c r="C19" s="863">
        <f>ROUND(IF(H19="按公示增长率计算",SUMPRODUCT((地价!A3:A35=YEAR(G19)&amp;"-"&amp;ROUNDUP(MONTH(G19)/3,0))*(地价!X2:AB2=E2)*(地价!X3:AB35)),IF(H19="地价指数",M20/M19,(1+I19)^O19)),4)</f>
        <v>1.446</v>
      </c>
      <c r="D19" s="2251" t="s">
        <v>2706</v>
      </c>
      <c r="E19" s="864">
        <v>41640</v>
      </c>
      <c r="F19" s="2251" t="s">
        <v>2707</v>
      </c>
      <c r="G19" s="865">
        <f>'数据-取费表'!B2</f>
        <v>44385</v>
      </c>
      <c r="H19" s="2252" t="s">
        <v>3096</v>
      </c>
      <c r="I19" s="866" t="str">
        <f>IF(H19="季度增幅（自定义）",SUMIF(N21:N24,E2,O21:O24),"")</f>
        <v/>
      </c>
      <c r="J19" s="2249"/>
      <c r="K19" s="1287"/>
      <c r="L19" s="2253" t="s">
        <v>2708</v>
      </c>
      <c r="M19" s="1496">
        <f>ROUND(SUMIF(地价!B2:F2,E2,地价!B35:F35),0)</f>
        <v>230</v>
      </c>
      <c r="N19" s="2254" t="s">
        <v>2709</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9.4" thickBot="1">
      <c r="A20" s="2256" t="s">
        <v>810</v>
      </c>
      <c r="B20" s="2257" t="s">
        <v>2710</v>
      </c>
      <c r="C20" s="868">
        <f>ROUND(POWER(1+G20,J20-I20)*(POWER(1+G20,I20)-1)/(POWER(1+G20,J20)-1),4)</f>
        <v>0.95189999999999997</v>
      </c>
      <c r="D20" s="2258" t="s">
        <v>2711</v>
      </c>
      <c r="E20" s="1505">
        <f>存贷款利率!E18/100</f>
        <v>4.3499999999999997E-2</v>
      </c>
      <c r="F20" s="2258" t="s">
        <v>2703</v>
      </c>
      <c r="G20" s="873">
        <f>SUMIF(M26:P26,E2,M28:P28)</f>
        <v>4.8000000000000001E-2</v>
      </c>
      <c r="H20" s="2258" t="s">
        <v>2712</v>
      </c>
      <c r="I20" s="874">
        <f>SUMIF('数据-取费表'!C6:C15,E2,'数据-取费表'!F6:F15)/COUNTIF('数据-取费表'!C6:C15,E2)</f>
        <v>42.02</v>
      </c>
      <c r="J20" s="875">
        <f>IF(E2="住宅",70,IF(E2="商业",40,50))</f>
        <v>50</v>
      </c>
      <c r="K20" s="1287"/>
      <c r="L20" s="2259" t="s">
        <v>2713</v>
      </c>
      <c r="M20" s="1497">
        <f>ROUND(SUMPRODUCT((地价!A4:A35=YEAR(G19)&amp;"-"&amp;ROUNDUP(MONTH(G19)/3,0))*(地价!B2:F2=E2)*(地价!B4:F35)),0)</f>
        <v>332</v>
      </c>
      <c r="N20" s="2260" t="s">
        <v>2714</v>
      </c>
      <c r="O20" s="2261" t="s">
        <v>2715</v>
      </c>
      <c r="P20" s="2262" t="s">
        <v>2716</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4.4">
      <c r="A21" s="2263" t="s">
        <v>811</v>
      </c>
      <c r="B21" s="2264" t="s">
        <v>3093</v>
      </c>
      <c r="C21" s="876">
        <f>IF(B21="容积率修正",IF(G3&lt;=10,D22,J22),C23)</f>
        <v>0.89890000000000003</v>
      </c>
      <c r="D21" s="2265"/>
      <c r="E21" s="2265"/>
      <c r="F21" s="2265"/>
      <c r="G21" s="2265"/>
      <c r="H21" s="2265"/>
      <c r="I21" s="2265"/>
      <c r="J21" s="2266"/>
      <c r="K21" s="1287"/>
      <c r="L21" s="3019"/>
      <c r="M21" s="3019"/>
      <c r="N21" s="2267" t="s">
        <v>2717</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4">
      <c r="A22" s="2141" t="s">
        <v>2718</v>
      </c>
      <c r="B22" s="2268" t="s">
        <v>2719</v>
      </c>
      <c r="C22" s="1536" t="s">
        <v>2720</v>
      </c>
      <c r="D22" s="1536">
        <f>IF(E22=G22,F22,IF(G3&lt;=10,ROUND(F22+(H22-F22)*(G3-E22)/(G22-E22),4),"——"))</f>
        <v>0.89890000000000003</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536" t="s">
        <v>155</v>
      </c>
      <c r="J22" s="877" t="str">
        <f>IF(G3&gt;10,D113,"——")</f>
        <v>——</v>
      </c>
      <c r="K22" s="1287"/>
      <c r="L22" s="3019"/>
      <c r="M22" s="3019"/>
      <c r="N22" s="2267" t="s">
        <v>2721</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9.4" thickBot="1">
      <c r="A23" s="2141" t="s">
        <v>2722</v>
      </c>
      <c r="B23" s="2269" t="s">
        <v>2723</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2724</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 thickBot="1">
      <c r="A24" s="2256" t="s">
        <v>812</v>
      </c>
      <c r="B24" s="2247" t="s">
        <v>2725</v>
      </c>
      <c r="C24" s="863">
        <f>SUMIF(A45:A88,E2,B45:B88)</f>
        <v>1.0285</v>
      </c>
      <c r="D24" s="2248"/>
      <c r="E24" s="2275"/>
      <c r="F24" s="2275"/>
      <c r="G24" s="2275"/>
      <c r="H24" s="2275"/>
      <c r="I24" s="2275"/>
      <c r="J24" s="2276"/>
      <c r="K24" s="1287"/>
      <c r="L24" s="3019"/>
      <c r="M24" s="3019"/>
      <c r="N24" s="2277" t="s">
        <v>2726</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 thickBot="1">
      <c r="A25" s="2256" t="s">
        <v>813</v>
      </c>
      <c r="B25" s="2278" t="s">
        <v>2727</v>
      </c>
      <c r="C25" s="869"/>
      <c r="D25" s="2212"/>
      <c r="E25" s="2212"/>
      <c r="F25" s="2279"/>
      <c r="G25" s="2212"/>
      <c r="H25" s="2212"/>
      <c r="I25" s="2212"/>
      <c r="J25" s="2213"/>
      <c r="K25" s="1280"/>
      <c r="L25" s="2183"/>
      <c r="M25" s="2183"/>
      <c r="N25" s="3014" t="s">
        <v>2728</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4.4">
      <c r="A26" s="2280"/>
      <c r="B26" s="2268" t="s">
        <v>2729</v>
      </c>
      <c r="C26" s="2542">
        <f>IF(B21="容积率修正",E29+SUM(E33:E39),SUM(V2:V16)+SUM(E33:E39))</f>
        <v>2264</v>
      </c>
      <c r="D26" s="2281"/>
      <c r="E26" s="2237"/>
      <c r="F26" s="2282"/>
      <c r="G26" s="2237"/>
      <c r="H26" s="2237"/>
      <c r="I26" s="2237"/>
      <c r="J26" s="2283"/>
      <c r="K26" s="1280"/>
      <c r="L26" s="3017" t="s">
        <v>2629</v>
      </c>
      <c r="M26" s="2210" t="s">
        <v>2693</v>
      </c>
      <c r="N26" s="2210" t="s">
        <v>2694</v>
      </c>
      <c r="O26" s="2210" t="s">
        <v>2695</v>
      </c>
      <c r="P26" s="3018" t="s">
        <v>2696</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 thickBot="1">
      <c r="A27" s="2280"/>
      <c r="B27" s="2284" t="s">
        <v>2730</v>
      </c>
      <c r="C27" s="870">
        <f>E30+SUM(I33:I39)</f>
        <v>0</v>
      </c>
      <c r="D27" s="2285"/>
      <c r="E27" s="2286"/>
      <c r="F27" s="2287"/>
      <c r="G27" s="2286"/>
      <c r="H27" s="2286"/>
      <c r="I27" s="2286"/>
      <c r="J27" s="2288"/>
      <c r="K27" s="1280"/>
      <c r="L27" s="2243" t="s">
        <v>2700</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 thickBot="1">
      <c r="A28" s="2289"/>
      <c r="B28" s="2290" t="s">
        <v>2731</v>
      </c>
      <c r="C28" s="2291" t="s">
        <v>2732</v>
      </c>
      <c r="D28" s="2291" t="s">
        <v>2733</v>
      </c>
      <c r="E28" s="2292" t="s">
        <v>2734</v>
      </c>
      <c r="F28" s="2293"/>
      <c r="G28" s="2225"/>
      <c r="H28" s="2225"/>
      <c r="I28" s="2225"/>
      <c r="J28" s="2226"/>
      <c r="K28" s="1280"/>
      <c r="L28" s="2244" t="s">
        <v>2703</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2735</v>
      </c>
      <c r="C29" s="180">
        <f>ROUND(C5*C18*C19*C20*C21*C24,0)</f>
        <v>1635</v>
      </c>
      <c r="D29" s="2296">
        <f>'数据-汇总表'!E6</f>
        <v>13846.800000000001</v>
      </c>
      <c r="E29" s="879">
        <f>ROUND(C29*D29/10000,0)</f>
        <v>2264</v>
      </c>
      <c r="F29" s="2297" t="s">
        <v>2736</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8" thickBot="1">
      <c r="A30" s="2300"/>
      <c r="B30" s="2301" t="s">
        <v>2737</v>
      </c>
      <c r="C30" s="193">
        <f>ROUND(IF(E2="工业",C29*M39,C29*M38),0)</f>
        <v>245</v>
      </c>
      <c r="D30" s="2302"/>
      <c r="E30" s="879">
        <f>ROUND(C30*D30/10000,0)</f>
        <v>0</v>
      </c>
      <c r="F30" s="2303" t="s">
        <v>2738</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3.8">
      <c r="A31" s="2306"/>
      <c r="B31" s="2307" t="s">
        <v>2739</v>
      </c>
      <c r="C31" s="2308" t="s">
        <v>2740</v>
      </c>
      <c r="D31" s="2225"/>
      <c r="E31" s="2308"/>
      <c r="F31" s="2308"/>
      <c r="G31" s="2223" t="s">
        <v>2741</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36">
      <c r="A32" s="2294"/>
      <c r="B32" s="2310"/>
      <c r="C32" s="458" t="s">
        <v>2732</v>
      </c>
      <c r="D32" s="455" t="s">
        <v>2733</v>
      </c>
      <c r="E32" s="455" t="s">
        <v>2734</v>
      </c>
      <c r="F32" s="348" t="s">
        <v>2742</v>
      </c>
      <c r="G32" s="2311" t="s">
        <v>2732</v>
      </c>
      <c r="H32" s="2311" t="s">
        <v>2733</v>
      </c>
      <c r="I32" s="2311" t="s">
        <v>2734</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7"/>
      <c r="B33" s="2312" t="s">
        <v>2743</v>
      </c>
      <c r="C33" s="180">
        <f>ROUND(D5*C19*C20*C24*F33,0)</f>
        <v>1273</v>
      </c>
      <c r="D33" s="2296"/>
      <c r="E33" s="176">
        <f>ROUND(C33*D33/10000,0)</f>
        <v>0</v>
      </c>
      <c r="F33" s="176">
        <f>SUMIF(修正!A45:A56,G2,修正!B45:B56)</f>
        <v>0.7</v>
      </c>
      <c r="G33" s="176">
        <f t="shared" ref="G33" si="6">ROUND(IF(E2="工业",C33*$M$39,C33*$M$38),0)</f>
        <v>191</v>
      </c>
      <c r="H33" s="176">
        <f>D33</f>
        <v>0</v>
      </c>
      <c r="I33" s="176">
        <f>ROUND(G33*H33/10000,0)</f>
        <v>0</v>
      </c>
      <c r="J33" s="3392" t="s">
        <v>3047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3.8">
      <c r="A34" s="3388"/>
      <c r="B34" s="2229" t="s">
        <v>2744</v>
      </c>
      <c r="C34" s="180">
        <f>ROUND(D5*C19*C20*C24*F34,0)</f>
        <v>728</v>
      </c>
      <c r="D34" s="2296"/>
      <c r="E34" s="176">
        <f t="shared" ref="E34:E39" si="7">ROUND(C34*D34/10000,0)</f>
        <v>0</v>
      </c>
      <c r="F34" s="176">
        <f>SUMIF(修正!A45:A56,G2,修正!C45:C56)</f>
        <v>0.4</v>
      </c>
      <c r="G34" s="176">
        <f>ROUND(IF(E2="工业",C34*$M$39,C34*$M$38),0)</f>
        <v>109</v>
      </c>
      <c r="H34" s="176">
        <f t="shared" ref="H34:H39" si="8">D34</f>
        <v>0</v>
      </c>
      <c r="I34" s="176">
        <f t="shared" ref="I34:I39" si="9">ROUND(G34*H34/10000,0)</f>
        <v>0</v>
      </c>
      <c r="J34" s="338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8"/>
      <c r="B35" s="2229" t="s">
        <v>2745</v>
      </c>
      <c r="C35" s="180">
        <f>ROUND(D5*C19*C20*C24*F35,0)</f>
        <v>509</v>
      </c>
      <c r="D35" s="2296"/>
      <c r="E35" s="176">
        <f t="shared" si="7"/>
        <v>0</v>
      </c>
      <c r="F35" s="176">
        <f>SUMIF(修正!A45:A56,G2,修正!D45:D56)</f>
        <v>0.28000000000000003</v>
      </c>
      <c r="G35" s="176">
        <f>ROUND(IF(E2="工业",C35*$M$39,C35*$M$38),0)</f>
        <v>76</v>
      </c>
      <c r="H35" s="176">
        <f t="shared" si="8"/>
        <v>0</v>
      </c>
      <c r="I35" s="176">
        <f t="shared" si="9"/>
        <v>0</v>
      </c>
      <c r="J35" s="338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8" thickBot="1">
      <c r="A36" s="3389"/>
      <c r="B36" s="2229" t="s">
        <v>2746</v>
      </c>
      <c r="C36" s="180">
        <f>ROUND(D5*C19*C20*C24*F36,0)</f>
        <v>455</v>
      </c>
      <c r="D36" s="2296"/>
      <c r="E36" s="176">
        <f t="shared" si="7"/>
        <v>0</v>
      </c>
      <c r="F36" s="176">
        <f>SUMIF(修正!A45:A56,G2,修正!E45:E56)</f>
        <v>0.25</v>
      </c>
      <c r="G36" s="176">
        <f>ROUND(IF(E2="工业",C36*$M$39,C36*$M$38),0)</f>
        <v>68</v>
      </c>
      <c r="H36" s="176">
        <f t="shared" si="8"/>
        <v>0</v>
      </c>
      <c r="I36" s="176">
        <f t="shared" si="9"/>
        <v>0</v>
      </c>
      <c r="J36" s="338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2747</v>
      </c>
      <c r="C37" s="176">
        <f>ROUND(D5*C19*C20*C24*F37,0)</f>
        <v>455</v>
      </c>
      <c r="D37" s="2296"/>
      <c r="E37" s="176">
        <f t="shared" si="7"/>
        <v>0</v>
      </c>
      <c r="F37" s="180">
        <f>SUMIF(修正!A45:A56,G2,修正!F45:F56)</f>
        <v>0.25</v>
      </c>
      <c r="G37" s="176">
        <f>ROUND(IF(E2="工业",C37*$M$39,C37*$M$38),0)</f>
        <v>68</v>
      </c>
      <c r="H37" s="176">
        <f t="shared" si="8"/>
        <v>0</v>
      </c>
      <c r="I37" s="176">
        <f t="shared" si="9"/>
        <v>0</v>
      </c>
      <c r="J37" s="2313"/>
      <c r="K37" s="1280"/>
      <c r="L37" s="2315" t="s">
        <v>2748</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2749</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2750</v>
      </c>
      <c r="M38" s="2317">
        <v>0.25</v>
      </c>
      <c r="N38" s="1280"/>
      <c r="O38" s="1280"/>
      <c r="P38" s="1280"/>
      <c r="Q38" s="1280"/>
      <c r="R38" s="1280"/>
      <c r="S38" s="1280"/>
      <c r="T38" s="1280"/>
      <c r="U38" s="1280"/>
      <c r="V38" s="1280"/>
      <c r="W38" s="1280"/>
      <c r="X38" s="1280"/>
      <c r="Y38" s="1280"/>
      <c r="Z38" s="1281"/>
      <c r="AA38" s="1281"/>
      <c r="AB38" s="1281"/>
      <c r="AC38" s="1281"/>
      <c r="AD38" s="1281"/>
    </row>
    <row r="39" spans="1:37" ht="13.8" thickBot="1">
      <c r="A39" s="2300"/>
      <c r="B39" s="2318" t="s">
        <v>2751</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2696</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ht="24">
      <c r="A41" s="1281"/>
      <c r="B41" s="2370" t="s">
        <v>2856</v>
      </c>
      <c r="C41" s="348">
        <f>ROUND(POWER(1+E41,H41-G41)*(POWER(1+E41,G41)-1)/(POWER(1+E41,H41)-1),4)</f>
        <v>0</v>
      </c>
      <c r="D41" s="176" t="s">
        <v>2703</v>
      </c>
      <c r="E41" s="2369">
        <f>G20</f>
        <v>4.8000000000000001E-2</v>
      </c>
      <c r="F41" s="176" t="s">
        <v>2712</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 thickBot="1">
      <c r="A45" s="2323" t="s">
        <v>2752</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4.4">
      <c r="A46" s="2325" t="s">
        <v>2753</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5.2">
      <c r="A47" s="2329" t="s">
        <v>2754</v>
      </c>
      <c r="B47" s="1535" t="s">
        <v>2755</v>
      </c>
      <c r="C47" s="1535" t="s">
        <v>2756</v>
      </c>
      <c r="D47" s="1535" t="s">
        <v>2757</v>
      </c>
      <c r="E47" s="758" t="s">
        <v>2758</v>
      </c>
      <c r="F47" s="2330" t="s">
        <v>2759</v>
      </c>
      <c r="G47" s="1535" t="s">
        <v>754</v>
      </c>
      <c r="H47" s="2331" t="s">
        <v>2760</v>
      </c>
      <c r="I47" s="1535" t="s">
        <v>2761</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52.8">
      <c r="A48" s="2329" t="s">
        <v>2762</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66">
      <c r="A49" s="2329" t="s">
        <v>2763</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2764</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50.4">
      <c r="A51" s="2329" t="s">
        <v>2765</v>
      </c>
      <c r="B51" s="2334" t="s">
        <v>2766</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2767</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36">
      <c r="A53" s="2329" t="s">
        <v>2768</v>
      </c>
      <c r="B53" s="2335" t="s">
        <v>2769</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6.4">
      <c r="A54" s="2336" t="s">
        <v>2770</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6.4">
      <c r="A55" s="2336" t="s">
        <v>2771</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40.200000000000003" thickBot="1">
      <c r="A56" s="2337" t="s">
        <v>2772</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4.4">
      <c r="A57" s="2325" t="s">
        <v>2773</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5.2">
      <c r="A58" s="2329" t="s">
        <v>2754</v>
      </c>
      <c r="B58" s="1535"/>
      <c r="C58" s="1535" t="s">
        <v>2756</v>
      </c>
      <c r="D58" s="1535" t="s">
        <v>2757</v>
      </c>
      <c r="E58" s="758" t="s">
        <v>2758</v>
      </c>
      <c r="F58" s="2330" t="s">
        <v>2774</v>
      </c>
      <c r="G58" s="1535" t="s">
        <v>754</v>
      </c>
      <c r="H58" s="2331" t="s">
        <v>2760</v>
      </c>
      <c r="I58" s="1535" t="s">
        <v>2761</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52.8">
      <c r="A59" s="2329" t="s">
        <v>2775</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66">
      <c r="A60" s="2329" t="s">
        <v>2763</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2764</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50.4">
      <c r="A62" s="2329" t="s">
        <v>2765</v>
      </c>
      <c r="B62" s="2334" t="s">
        <v>2766</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2767</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36">
      <c r="A64" s="2329" t="s">
        <v>2768</v>
      </c>
      <c r="B64" s="2335" t="s">
        <v>2769</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6.4">
      <c r="A65" s="2329" t="s">
        <v>2770</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6.4">
      <c r="A66" s="2329" t="s">
        <v>2771</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40.200000000000003" thickBot="1">
      <c r="A67" s="2337" t="s">
        <v>2772</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4.4">
      <c r="A68" s="2325" t="s">
        <v>2776</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5.2">
      <c r="A69" s="2329" t="s">
        <v>2754</v>
      </c>
      <c r="B69" s="1535"/>
      <c r="C69" s="1535" t="s">
        <v>2756</v>
      </c>
      <c r="D69" s="1535" t="s">
        <v>2757</v>
      </c>
      <c r="E69" s="758" t="s">
        <v>2758</v>
      </c>
      <c r="F69" s="2330" t="s">
        <v>2774</v>
      </c>
      <c r="G69" s="1535" t="s">
        <v>754</v>
      </c>
      <c r="H69" s="2331" t="s">
        <v>2760</v>
      </c>
      <c r="I69" s="1535" t="s">
        <v>2761</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66">
      <c r="A70" s="2329" t="s">
        <v>2777</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66">
      <c r="A71" s="2329" t="s">
        <v>2763</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2764</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3.8">
      <c r="A73" s="2329" t="s">
        <v>2778</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6.4">
      <c r="A74" s="2329" t="s">
        <v>2770</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6.4">
      <c r="A75" s="2329" t="s">
        <v>2771</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36">
      <c r="A76" s="2329" t="s">
        <v>2768</v>
      </c>
      <c r="B76" s="2335" t="s">
        <v>2769</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9.6">
      <c r="A77" s="2329" t="s">
        <v>2772</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36.6" thickBot="1">
      <c r="A78" s="2337" t="s">
        <v>2779</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4.4">
      <c r="A79" s="2325" t="s">
        <v>2780</v>
      </c>
      <c r="B79" s="2326">
        <f>1+E81</f>
        <v>1.0285</v>
      </c>
      <c r="C79" s="753"/>
      <c r="D79" s="753"/>
      <c r="E79" s="754"/>
      <c r="F79" s="2328"/>
      <c r="G79" s="6"/>
      <c r="H79" s="6"/>
      <c r="I79" s="6"/>
      <c r="J79" s="7"/>
      <c r="K79" s="7"/>
      <c r="L79" s="7"/>
      <c r="M79" s="7"/>
      <c r="N79" s="7"/>
      <c r="Z79" s="2184"/>
      <c r="AA79" s="2250"/>
      <c r="AG79" s="1282"/>
      <c r="AK79" s="2250"/>
    </row>
    <row r="80" spans="1:37" ht="25.2">
      <c r="A80" s="2329" t="s">
        <v>2754</v>
      </c>
      <c r="B80" s="1535"/>
      <c r="C80" s="1535" t="s">
        <v>2756</v>
      </c>
      <c r="D80" s="1535" t="s">
        <v>2757</v>
      </c>
      <c r="E80" s="758" t="s">
        <v>2758</v>
      </c>
      <c r="F80" s="2330" t="s">
        <v>2774</v>
      </c>
      <c r="G80" s="1535" t="s">
        <v>754</v>
      </c>
      <c r="H80" s="2331" t="s">
        <v>2760</v>
      </c>
      <c r="I80" s="1535" t="s">
        <v>2761</v>
      </c>
      <c r="J80" s="560" t="s">
        <v>2412</v>
      </c>
      <c r="K80" s="560" t="s">
        <v>2413</v>
      </c>
      <c r="L80" s="560" t="s">
        <v>2414</v>
      </c>
      <c r="M80" s="560" t="s">
        <v>2415</v>
      </c>
      <c r="N80" s="560" t="s">
        <v>2416</v>
      </c>
      <c r="Z80" s="2184"/>
      <c r="AA80" s="2250"/>
      <c r="AG80" s="1282"/>
      <c r="AK80" s="2250"/>
    </row>
    <row r="81" spans="1:37" ht="39.6">
      <c r="A81" s="2329" t="s">
        <v>2781</v>
      </c>
      <c r="B81" s="2333" t="str">
        <f>估价对象房地状况!G15</f>
        <v>估价对象位于XX开发区，园区建设成熟度XX，产业集聚程度XX</v>
      </c>
      <c r="C81" s="2234" t="s">
        <v>3098</v>
      </c>
      <c r="D81" s="1196">
        <f t="shared" ref="D81:D88" si="25">SUMIF($J$80:$N$80,C81,J81:N81)</f>
        <v>1.6899999999999998E-2</v>
      </c>
      <c r="E81" s="760">
        <f>ROUND(SUM(D81:D88),4)</f>
        <v>2.8500000000000001E-2</v>
      </c>
      <c r="F81" s="2000">
        <f>IF(E2="工业",SUMIF(L1:L12,G2,N1:N12),"——")</f>
        <v>0.13</v>
      </c>
      <c r="G81" s="1194">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2"/>
      <c r="AK81" s="2250"/>
    </row>
    <row r="82" spans="1:37" ht="66">
      <c r="A82" s="2329" t="s">
        <v>2763</v>
      </c>
      <c r="B82" s="2333" t="str">
        <f>估价对象房地状况!G16</f>
        <v>估价对象周边道路状况、公共交通通达情况、停车便捷程度，综合评价交通便捷度较好</v>
      </c>
      <c r="C82" s="2234" t="s">
        <v>3099</v>
      </c>
      <c r="D82" s="1196">
        <f t="shared" si="25"/>
        <v>0</v>
      </c>
      <c r="E82" s="765"/>
      <c r="F82" s="2000"/>
      <c r="G82" s="1194">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2"/>
      <c r="AK82" s="2250"/>
    </row>
    <row r="83" spans="1:37" ht="24">
      <c r="A83" s="2329" t="s">
        <v>2764</v>
      </c>
      <c r="B83" s="2333">
        <f>估价对象房地状况!G17</f>
        <v>0</v>
      </c>
      <c r="C83" s="2234" t="s">
        <v>3098</v>
      </c>
      <c r="D83" s="1196">
        <f t="shared" si="25"/>
        <v>3.2000000000000002E-3</v>
      </c>
      <c r="E83" s="765"/>
      <c r="F83" s="2000"/>
      <c r="G83" s="1194">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2"/>
      <c r="AK83" s="2250"/>
    </row>
    <row r="84" spans="1:37" ht="13.8">
      <c r="A84" s="2329" t="s">
        <v>2778</v>
      </c>
      <c r="B84" s="2333">
        <f>估价对象房地状况!G22</f>
        <v>0</v>
      </c>
      <c r="C84" s="2234" t="s">
        <v>3100</v>
      </c>
      <c r="D84" s="1196">
        <f t="shared" si="25"/>
        <v>-2.5999999999999999E-3</v>
      </c>
      <c r="E84" s="765"/>
      <c r="F84" s="2000"/>
      <c r="G84" s="1194">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2"/>
      <c r="AK84" s="2250"/>
    </row>
    <row r="85" spans="1:37" ht="26.4">
      <c r="A85" s="2329" t="s">
        <v>2770</v>
      </c>
      <c r="B85" s="1494" t="str">
        <f>估价对象房地状况!G19</f>
        <v>估价对象所在区域公共配套设施齐备情况</v>
      </c>
      <c r="C85" s="2234" t="s">
        <v>3098</v>
      </c>
      <c r="D85" s="1196">
        <f t="shared" si="25"/>
        <v>3.8999999999999998E-3</v>
      </c>
      <c r="E85" s="765"/>
      <c r="F85" s="2000"/>
      <c r="G85" s="1194">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2"/>
      <c r="AK85" s="2250"/>
    </row>
    <row r="86" spans="1:37" ht="26.4">
      <c r="A86" s="2329" t="s">
        <v>2771</v>
      </c>
      <c r="B86" s="1494" t="str">
        <f>估价对象房地状况!G20</f>
        <v>估价对象所在区域基础设施水平</v>
      </c>
      <c r="C86" s="2234" t="s">
        <v>3099</v>
      </c>
      <c r="D86" s="1196">
        <f t="shared" si="25"/>
        <v>0</v>
      </c>
      <c r="E86" s="765"/>
      <c r="F86" s="2000"/>
      <c r="G86" s="1194">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2"/>
      <c r="AK86" s="2250"/>
    </row>
    <row r="87" spans="1:37" ht="36">
      <c r="A87" s="2329" t="s">
        <v>2768</v>
      </c>
      <c r="B87" s="2335" t="s">
        <v>2782</v>
      </c>
      <c r="C87" s="2234" t="s">
        <v>3098</v>
      </c>
      <c r="D87" s="1196">
        <f t="shared" si="25"/>
        <v>3.2000000000000002E-3</v>
      </c>
      <c r="E87" s="765"/>
      <c r="F87" s="2000"/>
      <c r="G87" s="1194">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2"/>
      <c r="AK87" s="2250"/>
    </row>
    <row r="88" spans="1:37" ht="53.4" thickBot="1">
      <c r="A88" s="2337" t="s">
        <v>2783</v>
      </c>
      <c r="B88" s="2342" t="str">
        <f>估价对象房地状况!G18</f>
        <v>该园区内是否有污染型企业，绿化情况，卫生条件，整体环境状况判断</v>
      </c>
      <c r="C88" s="2234" t="s">
        <v>3098</v>
      </c>
      <c r="D88" s="1196">
        <f t="shared" si="25"/>
        <v>3.8999999999999998E-3</v>
      </c>
      <c r="E88" s="766"/>
      <c r="F88" s="2000"/>
      <c r="G88" s="1194">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2"/>
      <c r="AK88" s="2250"/>
    </row>
    <row r="90" spans="1:37">
      <c r="A90" s="3379" t="s">
        <v>2784</v>
      </c>
      <c r="B90" s="3379"/>
      <c r="C90" s="3379"/>
      <c r="D90" s="3379"/>
      <c r="E90" s="3379"/>
      <c r="F90" s="3379"/>
      <c r="G90" s="3379"/>
      <c r="H90" s="3379"/>
      <c r="I90" s="3379"/>
      <c r="J90" s="3379"/>
      <c r="K90" s="2343"/>
      <c r="L90" s="2343"/>
      <c r="M90" s="2343"/>
      <c r="N90" s="2343"/>
    </row>
    <row r="91" spans="1:37">
      <c r="A91" s="3381" t="s">
        <v>2785</v>
      </c>
      <c r="B91" s="3381" t="s">
        <v>2786</v>
      </c>
      <c r="C91" s="2297" t="s">
        <v>2787</v>
      </c>
      <c r="D91" s="2298"/>
      <c r="E91" s="2298"/>
      <c r="F91" s="2298"/>
      <c r="G91" s="2298"/>
      <c r="H91" s="2298"/>
      <c r="I91" s="2298"/>
      <c r="J91" s="2344"/>
      <c r="K91" s="2345"/>
      <c r="L91" s="2345"/>
      <c r="M91" s="2345"/>
      <c r="N91" s="2345"/>
    </row>
    <row r="92" spans="1:37">
      <c r="A92" s="3381"/>
      <c r="B92" s="3381"/>
      <c r="C92" s="879" t="s">
        <v>2655</v>
      </c>
      <c r="D92" s="879" t="s">
        <v>2656</v>
      </c>
      <c r="E92" s="879" t="s">
        <v>2657</v>
      </c>
      <c r="F92" s="879" t="s">
        <v>2658</v>
      </c>
      <c r="G92" s="879" t="s">
        <v>2659</v>
      </c>
      <c r="H92" s="879" t="s">
        <v>2660</v>
      </c>
      <c r="I92" s="879" t="s">
        <v>2661</v>
      </c>
      <c r="J92" s="879" t="s">
        <v>2662</v>
      </c>
      <c r="K92" s="879" t="s">
        <v>2663</v>
      </c>
      <c r="L92" s="879" t="s">
        <v>2664</v>
      </c>
      <c r="M92" s="879" t="s">
        <v>2665</v>
      </c>
      <c r="N92" s="879" t="s">
        <v>2666</v>
      </c>
    </row>
    <row r="93" spans="1:37">
      <c r="A93" s="3382" t="s">
        <v>2788</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3"/>
      <c r="B99" s="2346" t="s">
        <v>2671</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2" t="s">
        <v>2789</v>
      </c>
      <c r="B101" s="2350" t="s">
        <v>2790</v>
      </c>
      <c r="C101" s="2351">
        <f>$G$3</f>
        <v>1.53</v>
      </c>
      <c r="D101" s="2351">
        <f t="shared" ref="D101:N101" si="31">$G$3</f>
        <v>1.53</v>
      </c>
      <c r="E101" s="2351">
        <f t="shared" si="31"/>
        <v>1.53</v>
      </c>
      <c r="F101" s="2351">
        <f t="shared" si="31"/>
        <v>1.53</v>
      </c>
      <c r="G101" s="2351">
        <f t="shared" si="31"/>
        <v>1.53</v>
      </c>
      <c r="H101" s="2351">
        <f t="shared" si="31"/>
        <v>1.53</v>
      </c>
      <c r="I101" s="2351">
        <f t="shared" si="31"/>
        <v>1.53</v>
      </c>
      <c r="J101" s="2351">
        <f t="shared" si="31"/>
        <v>1.53</v>
      </c>
      <c r="K101" s="2351">
        <f t="shared" si="31"/>
        <v>1.53</v>
      </c>
      <c r="L101" s="2351">
        <f t="shared" si="31"/>
        <v>1.53</v>
      </c>
      <c r="M101" s="2351">
        <f t="shared" si="31"/>
        <v>1.53</v>
      </c>
      <c r="N101" s="2351">
        <f t="shared" si="31"/>
        <v>1.53</v>
      </c>
    </row>
    <row r="102" spans="1:14">
      <c r="A102" s="3383"/>
      <c r="B102" s="2346">
        <v>1</v>
      </c>
      <c r="C102" s="2347">
        <f>1.9362/C101</f>
        <v>1.2654901960784313</v>
      </c>
      <c r="D102" s="2347">
        <f>1.9362/D101</f>
        <v>1.2654901960784313</v>
      </c>
      <c r="E102" s="2347">
        <f>1.8629/E101</f>
        <v>1.2175816993464053</v>
      </c>
      <c r="F102" s="2347">
        <f>1.8629/F101</f>
        <v>1.2175816993464053</v>
      </c>
      <c r="G102" s="2347">
        <f>1.8629/G101</f>
        <v>1.2175816993464053</v>
      </c>
      <c r="H102" s="2347">
        <f>1.8629/H101</f>
        <v>1.2175816993464053</v>
      </c>
      <c r="I102" s="2347">
        <f>1.8629/I101</f>
        <v>1.2175816993464053</v>
      </c>
      <c r="J102" s="2347">
        <f>1.942/J101</f>
        <v>1.2692810457516339</v>
      </c>
      <c r="K102" s="2347">
        <f>1.942/K101</f>
        <v>1.2692810457516339</v>
      </c>
      <c r="L102" s="2347">
        <f>1.942/L101</f>
        <v>1.2692810457516339</v>
      </c>
      <c r="M102" s="2347">
        <f>1.942/M101</f>
        <v>1.2692810457516339</v>
      </c>
      <c r="N102" s="2347">
        <f>1.942/N101</f>
        <v>1.2692810457516339</v>
      </c>
    </row>
    <row r="103" spans="1:14">
      <c r="A103" s="3383"/>
      <c r="B103" s="2346">
        <v>2</v>
      </c>
      <c r="C103" s="2347">
        <f>1.4198/C101</f>
        <v>0.92797385620915029</v>
      </c>
      <c r="D103" s="2347">
        <f>1.4198/D101</f>
        <v>0.92797385620915029</v>
      </c>
      <c r="E103" s="2347">
        <f>1.3372/E101</f>
        <v>0.87398692810457512</v>
      </c>
      <c r="F103" s="2347">
        <f>1.3372/F101</f>
        <v>0.87398692810457512</v>
      </c>
      <c r="G103" s="2347">
        <f>1.3372/G101</f>
        <v>0.87398692810457512</v>
      </c>
      <c r="H103" s="2347">
        <f>1.3372/H101</f>
        <v>0.87398692810457512</v>
      </c>
      <c r="I103" s="2347">
        <f>1.3372/I101</f>
        <v>0.87398692810457512</v>
      </c>
      <c r="J103" s="2347">
        <f>1.2799/J101</f>
        <v>0.83653594771241835</v>
      </c>
      <c r="K103" s="2347">
        <f>1.2799/K101</f>
        <v>0.83653594771241835</v>
      </c>
      <c r="L103" s="2347">
        <f>1.2799/L101</f>
        <v>0.83653594771241835</v>
      </c>
      <c r="M103" s="2347">
        <f>1.2799/M101</f>
        <v>0.83653594771241835</v>
      </c>
      <c r="N103" s="2347">
        <f>1.2799/N101</f>
        <v>0.83653594771241835</v>
      </c>
    </row>
    <row r="104" spans="1:14">
      <c r="A104" s="3383"/>
      <c r="B104" s="2346">
        <v>3</v>
      </c>
      <c r="C104" s="2347">
        <f>1.1594/C101</f>
        <v>0.75777777777777777</v>
      </c>
      <c r="D104" s="2347">
        <f>1.1594/D101</f>
        <v>0.75777777777777777</v>
      </c>
      <c r="E104" s="2347">
        <f>1.0788/E101</f>
        <v>0.70509803921568626</v>
      </c>
      <c r="F104" s="2347">
        <f>1.0788/F101</f>
        <v>0.70509803921568626</v>
      </c>
      <c r="G104" s="2347">
        <f>1.0788/G101</f>
        <v>0.70509803921568626</v>
      </c>
      <c r="H104" s="2347">
        <f>1.0788/H101</f>
        <v>0.70509803921568626</v>
      </c>
      <c r="I104" s="2347">
        <f>1.0788/I101</f>
        <v>0.70509803921568626</v>
      </c>
      <c r="J104" s="2347">
        <f>1.0072/J101</f>
        <v>0.6583006535947713</v>
      </c>
      <c r="K104" s="2347">
        <f>1.0072/K101</f>
        <v>0.6583006535947713</v>
      </c>
      <c r="L104" s="2347">
        <f>1.0072/L101</f>
        <v>0.6583006535947713</v>
      </c>
      <c r="M104" s="2347">
        <f>1.0072/M101</f>
        <v>0.6583006535947713</v>
      </c>
      <c r="N104" s="2347">
        <f>1.0072/N101</f>
        <v>0.6583006535947713</v>
      </c>
    </row>
    <row r="105" spans="1:14">
      <c r="A105" s="3383"/>
      <c r="B105" s="2346">
        <v>4</v>
      </c>
      <c r="C105" s="2347">
        <f>0.9622/C101</f>
        <v>0.62888888888888894</v>
      </c>
      <c r="D105" s="2347">
        <f>0.9622/D101</f>
        <v>0.62888888888888894</v>
      </c>
      <c r="E105" s="2347">
        <f>0.8656/E101</f>
        <v>0.56575163398692807</v>
      </c>
      <c r="F105" s="2347">
        <f>0.8656/F101</f>
        <v>0.56575163398692807</v>
      </c>
      <c r="G105" s="2347">
        <f>0.8656/G101</f>
        <v>0.56575163398692807</v>
      </c>
      <c r="H105" s="2347">
        <f>0.8656/H101</f>
        <v>0.56575163398692807</v>
      </c>
      <c r="I105" s="2347">
        <f>0.8656/I101</f>
        <v>0.56575163398692807</v>
      </c>
      <c r="J105" s="2347">
        <f>0.7525/J101</f>
        <v>0.4918300653594771</v>
      </c>
      <c r="K105" s="2347">
        <f>0.7525/K101</f>
        <v>0.4918300653594771</v>
      </c>
      <c r="L105" s="2347">
        <f>0.7525/L101</f>
        <v>0.4918300653594771</v>
      </c>
      <c r="M105" s="2347">
        <f>0.7525/M101</f>
        <v>0.4918300653594771</v>
      </c>
      <c r="N105" s="2347">
        <f>0.7525/N101</f>
        <v>0.4918300653594771</v>
      </c>
    </row>
    <row r="106" spans="1:14">
      <c r="A106" s="3383"/>
      <c r="B106" s="2346">
        <v>5</v>
      </c>
      <c r="C106" s="2347">
        <f>0.8417/C101</f>
        <v>0.55013071895424837</v>
      </c>
      <c r="D106" s="2347">
        <f>0.8417/D101</f>
        <v>0.55013071895424837</v>
      </c>
      <c r="E106" s="2347">
        <f>0.7371/E101</f>
        <v>0.48176470588235293</v>
      </c>
      <c r="F106" s="2347">
        <f>0.7371/F101</f>
        <v>0.48176470588235293</v>
      </c>
      <c r="G106" s="2347">
        <f>0.7371/G101</f>
        <v>0.48176470588235293</v>
      </c>
      <c r="H106" s="2347">
        <f>0.7371/H101</f>
        <v>0.48176470588235293</v>
      </c>
      <c r="I106" s="2347">
        <f>0.7371/I101</f>
        <v>0.48176470588235293</v>
      </c>
      <c r="J106" s="2347">
        <f>0.5659/J101</f>
        <v>0.36986928104575162</v>
      </c>
      <c r="K106" s="2347">
        <f>0.5659/K101</f>
        <v>0.36986928104575162</v>
      </c>
      <c r="L106" s="2347">
        <f>0.5659/L101</f>
        <v>0.36986928104575162</v>
      </c>
      <c r="M106" s="2347">
        <f>0.5659/M101</f>
        <v>0.36986928104575162</v>
      </c>
      <c r="N106" s="2347">
        <f>0.5659/N101</f>
        <v>0.36986928104575162</v>
      </c>
    </row>
    <row r="107" spans="1:14">
      <c r="A107" s="3383"/>
      <c r="B107" s="2346">
        <v>6</v>
      </c>
      <c r="C107" s="2347">
        <f>0.7608/C101</f>
        <v>0.49725490196078431</v>
      </c>
      <c r="D107" s="2347">
        <f>0.7608/D101</f>
        <v>0.49725490196078431</v>
      </c>
      <c r="E107" s="2347">
        <f>0.6482/E101</f>
        <v>0.42366013071895425</v>
      </c>
      <c r="F107" s="2347">
        <f>0.6482/F101</f>
        <v>0.42366013071895425</v>
      </c>
      <c r="G107" s="2347">
        <f>0.6482/G101</f>
        <v>0.42366013071895425</v>
      </c>
      <c r="H107" s="2347">
        <f>0.6482/H101</f>
        <v>0.42366013071895425</v>
      </c>
      <c r="I107" s="2347">
        <f>0.6482/I101</f>
        <v>0.42366013071895425</v>
      </c>
      <c r="J107" s="2347">
        <f>0.4525/J101</f>
        <v>0.29575163398692811</v>
      </c>
      <c r="K107" s="2347">
        <f>0.4525/K101</f>
        <v>0.29575163398692811</v>
      </c>
      <c r="L107" s="2347">
        <f>0.4525/L101</f>
        <v>0.29575163398692811</v>
      </c>
      <c r="M107" s="2347">
        <f>0.4525/M101</f>
        <v>0.29575163398692811</v>
      </c>
      <c r="N107" s="2347">
        <f>0.4525/N101</f>
        <v>0.29575163398692811</v>
      </c>
    </row>
    <row r="108" spans="1:14">
      <c r="A108" s="3383"/>
      <c r="B108" s="3385" t="s">
        <v>2791</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4"/>
      <c r="B109" s="3386"/>
      <c r="C109" s="2349">
        <f>(-0.163*(C108^2)-0.59*C108+7617)*(10^(-4))/C101</f>
        <v>0.49784313725490198</v>
      </c>
      <c r="D109" s="2349">
        <f>(-0.163*(D108^2)-0.59*D108+7617)*(10^(-4))/D101</f>
        <v>0.49784313725490198</v>
      </c>
      <c r="E109" s="2349">
        <f>(-0.161*(E108^2)-7.509*E108+6533)*(10^(-4))/E101</f>
        <v>0.42699346405228755</v>
      </c>
      <c r="F109" s="2349">
        <f>(-0.161*(F108^2)-7.509*F108+6533)*(10^(-4))/F101</f>
        <v>0.42699346405228755</v>
      </c>
      <c r="G109" s="2349">
        <f>(-0.161*(G108^2)-7.509*G108+6533)*(10^(-4))/G101</f>
        <v>0.42699346405228755</v>
      </c>
      <c r="H109" s="2349">
        <f>(-0.161*(H108^2)-7.509*H108+6533)*(10^(-4))/H101</f>
        <v>0.42699346405228755</v>
      </c>
      <c r="I109" s="2349">
        <f>(-0.161*(I108^2)-7.509*I108+6533)*(10^(-4))/I101</f>
        <v>0.42699346405228755</v>
      </c>
      <c r="J109" s="2349">
        <f>(-0.214*(J108^2)-21.991*J108+4665)*(10^(-4))/J101</f>
        <v>0.30490196078431375</v>
      </c>
      <c r="K109" s="2349">
        <f>(-0.214*(K108^2)-21.991*K108+4665)*(10^(-4))/K101</f>
        <v>0.30490196078431375</v>
      </c>
      <c r="L109" s="2349">
        <f>(-0.214*(L108^2)-21.991*L108+4665)*(10^(-4))/L101</f>
        <v>0.30490196078431375</v>
      </c>
      <c r="M109" s="2349">
        <f>(-0.214*(M108^2)-21.991*M108+4665)*(10^(-4))/M101</f>
        <v>0.30490196078431375</v>
      </c>
      <c r="N109" s="2349">
        <f>(-0.214*(N108^2)-21.991*N108+4665)*(10^(-4))/N101</f>
        <v>0.30490196078431375</v>
      </c>
    </row>
    <row r="110" spans="1:14">
      <c r="A110" s="3380" t="s">
        <v>2792</v>
      </c>
      <c r="B110" s="3380"/>
      <c r="C110" s="3380"/>
      <c r="D110" s="3380"/>
      <c r="E110" s="3380"/>
      <c r="F110" s="3380"/>
      <c r="G110" s="3380"/>
      <c r="H110" s="3380"/>
      <c r="I110" s="3380"/>
      <c r="J110" s="3380"/>
      <c r="K110" s="2352"/>
      <c r="L110" s="2352"/>
      <c r="M110" s="2352"/>
      <c r="N110" s="2352"/>
    </row>
    <row r="112" spans="1:14" ht="13.8" thickBot="1"/>
    <row r="113" spans="1:13" ht="25.8" thickBot="1">
      <c r="A113" s="842" t="s">
        <v>2793</v>
      </c>
      <c r="B113" s="1197">
        <f>G3</f>
        <v>1.53</v>
      </c>
      <c r="C113" s="843" t="s">
        <v>2794</v>
      </c>
      <c r="D113" s="844">
        <f>SUMPRODUCT((A115:A118=F113)*(B114:M114=H113)*B115:M118)</f>
        <v>0.61119999999999997</v>
      </c>
      <c r="E113" s="2188" t="s">
        <v>2629</v>
      </c>
      <c r="F113" s="2354" t="str">
        <f>E2</f>
        <v>工业</v>
      </c>
      <c r="G113" s="2188" t="s">
        <v>2630</v>
      </c>
      <c r="H113" s="2354" t="str">
        <f>G2</f>
        <v>七级</v>
      </c>
      <c r="I113" s="2188"/>
      <c r="J113" s="2355"/>
      <c r="K113" s="2355"/>
      <c r="L113" s="2355"/>
      <c r="M113" s="2355"/>
    </row>
    <row r="114" spans="1:13">
      <c r="A114" s="847"/>
      <c r="B114" s="2356" t="s">
        <v>2795</v>
      </c>
      <c r="C114" s="2356" t="s">
        <v>2796</v>
      </c>
      <c r="D114" s="2356" t="s">
        <v>2797</v>
      </c>
      <c r="E114" s="2357" t="s">
        <v>2798</v>
      </c>
      <c r="F114" s="2357" t="s">
        <v>2799</v>
      </c>
      <c r="G114" s="2357" t="s">
        <v>2800</v>
      </c>
      <c r="H114" s="2358" t="s">
        <v>2801</v>
      </c>
      <c r="I114" s="2358" t="s">
        <v>2802</v>
      </c>
      <c r="J114" s="2359" t="s">
        <v>2803</v>
      </c>
      <c r="K114" s="2359" t="s">
        <v>2804</v>
      </c>
      <c r="L114" s="2359" t="s">
        <v>2805</v>
      </c>
      <c r="M114" s="2360" t="s">
        <v>2806</v>
      </c>
    </row>
    <row r="115" spans="1:13">
      <c r="A115" s="848" t="s">
        <v>2693</v>
      </c>
      <c r="B115" s="849">
        <f>ROUND(0.9335-0.0094*B113,4)</f>
        <v>0.91910000000000003</v>
      </c>
      <c r="C115" s="849">
        <f>B115</f>
        <v>0.91910000000000003</v>
      </c>
      <c r="D115" s="849">
        <f>ROUND(0.8331-0.0109*B113,4)</f>
        <v>0.81640000000000001</v>
      </c>
      <c r="E115" s="849">
        <f>D115</f>
        <v>0.81640000000000001</v>
      </c>
      <c r="F115" s="849">
        <f>E115</f>
        <v>0.81640000000000001</v>
      </c>
      <c r="G115" s="849">
        <f>F115</f>
        <v>0.81640000000000001</v>
      </c>
      <c r="H115" s="849">
        <f>G115</f>
        <v>0.81640000000000001</v>
      </c>
      <c r="I115" s="849">
        <f>ROUND(0.689-0.0155*B113,4)</f>
        <v>0.6653</v>
      </c>
      <c r="J115" s="849">
        <f t="shared" ref="J115:M118" si="33">I115</f>
        <v>0.6653</v>
      </c>
      <c r="K115" s="849">
        <f t="shared" si="33"/>
        <v>0.6653</v>
      </c>
      <c r="L115" s="849">
        <f t="shared" si="33"/>
        <v>0.6653</v>
      </c>
      <c r="M115" s="850">
        <f t="shared" si="33"/>
        <v>0.6653</v>
      </c>
    </row>
    <row r="116" spans="1:13">
      <c r="A116" s="848" t="s">
        <v>2694</v>
      </c>
      <c r="B116" s="849">
        <f>ROUND(0.949-0.012*B113,4)</f>
        <v>0.93059999999999998</v>
      </c>
      <c r="C116" s="849">
        <f>B116</f>
        <v>0.93059999999999998</v>
      </c>
      <c r="D116" s="849">
        <f>ROUND(0.8567-0.013*B113,4)</f>
        <v>0.83679999999999999</v>
      </c>
      <c r="E116" s="849">
        <f t="shared" ref="E116:H117" si="34">D116</f>
        <v>0.83679999999999999</v>
      </c>
      <c r="F116" s="849">
        <f t="shared" si="34"/>
        <v>0.83679999999999999</v>
      </c>
      <c r="G116" s="849">
        <f t="shared" si="34"/>
        <v>0.83679999999999999</v>
      </c>
      <c r="H116" s="849">
        <f t="shared" si="34"/>
        <v>0.83679999999999999</v>
      </c>
      <c r="I116" s="849">
        <f>ROUND(0.7694-0.014*B113,4)</f>
        <v>0.748</v>
      </c>
      <c r="J116" s="849">
        <f t="shared" si="33"/>
        <v>0.748</v>
      </c>
      <c r="K116" s="849">
        <f t="shared" si="33"/>
        <v>0.748</v>
      </c>
      <c r="L116" s="849">
        <f t="shared" si="33"/>
        <v>0.748</v>
      </c>
      <c r="M116" s="850">
        <f t="shared" si="33"/>
        <v>0.748</v>
      </c>
    </row>
    <row r="117" spans="1:13">
      <c r="A117" s="848" t="s">
        <v>2695</v>
      </c>
      <c r="B117" s="849">
        <f>ROUND(0.8808-0.006*B113,4)</f>
        <v>0.87160000000000004</v>
      </c>
      <c r="C117" s="849">
        <f>B117</f>
        <v>0.87160000000000004</v>
      </c>
      <c r="D117" s="849">
        <f>ROUND(0.8748-0.008*B113,4)</f>
        <v>0.86260000000000003</v>
      </c>
      <c r="E117" s="849">
        <f t="shared" si="34"/>
        <v>0.86260000000000003</v>
      </c>
      <c r="F117" s="849">
        <f t="shared" si="34"/>
        <v>0.86260000000000003</v>
      </c>
      <c r="G117" s="849">
        <f t="shared" si="34"/>
        <v>0.86260000000000003</v>
      </c>
      <c r="H117" s="849">
        <f t="shared" si="34"/>
        <v>0.86260000000000003</v>
      </c>
      <c r="I117" s="849">
        <f>ROUND(0.7412-0.0095*B113,4)</f>
        <v>0.72670000000000001</v>
      </c>
      <c r="J117" s="849">
        <f t="shared" si="33"/>
        <v>0.72670000000000001</v>
      </c>
      <c r="K117" s="849">
        <f t="shared" si="33"/>
        <v>0.72670000000000001</v>
      </c>
      <c r="L117" s="849">
        <f t="shared" si="33"/>
        <v>0.72670000000000001</v>
      </c>
      <c r="M117" s="850">
        <f t="shared" si="33"/>
        <v>0.72670000000000001</v>
      </c>
    </row>
    <row r="118" spans="1:13" ht="13.8" thickBot="1">
      <c r="A118" s="670" t="s">
        <v>2696</v>
      </c>
      <c r="B118" s="851">
        <f>ROUND(0.7275-0.01*B113,4)</f>
        <v>0.71220000000000006</v>
      </c>
      <c r="C118" s="851">
        <f>B118</f>
        <v>0.71220000000000006</v>
      </c>
      <c r="D118" s="851">
        <f>ROUND(0.7043-0.012*B113,4)</f>
        <v>0.68589999999999995</v>
      </c>
      <c r="E118" s="851">
        <f>D118</f>
        <v>0.68589999999999995</v>
      </c>
      <c r="F118" s="851">
        <f>E118</f>
        <v>0.68589999999999995</v>
      </c>
      <c r="G118" s="851">
        <f>ROUND(0.6299-0.0122*B113,4)</f>
        <v>0.61119999999999997</v>
      </c>
      <c r="H118" s="851">
        <f>G118</f>
        <v>0.61119999999999997</v>
      </c>
      <c r="I118" s="851">
        <f>ROUND(0.5667-0.0136*B113,4)</f>
        <v>0.54590000000000005</v>
      </c>
      <c r="J118" s="851">
        <f t="shared" si="33"/>
        <v>0.54590000000000005</v>
      </c>
      <c r="K118" s="851">
        <f t="shared" si="33"/>
        <v>0.54590000000000005</v>
      </c>
      <c r="L118" s="851">
        <f t="shared" si="33"/>
        <v>0.54590000000000005</v>
      </c>
      <c r="M118" s="852">
        <f t="shared" si="33"/>
        <v>0.54590000000000005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2858</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393" t="s">
        <v>614</v>
      </c>
      <c r="C61" s="757" t="s">
        <v>615</v>
      </c>
      <c r="D61" s="757" t="s">
        <v>616</v>
      </c>
      <c r="E61" s="834">
        <v>0.5</v>
      </c>
      <c r="F61" s="821">
        <v>80</v>
      </c>
    </row>
    <row r="62" spans="1:8" s="817" customFormat="1" ht="36">
      <c r="A62" s="821">
        <v>2</v>
      </c>
      <c r="B62" s="3393"/>
      <c r="C62" s="757" t="s">
        <v>617</v>
      </c>
      <c r="D62" s="757" t="s">
        <v>618</v>
      </c>
      <c r="E62" s="834">
        <v>0.5</v>
      </c>
      <c r="F62" s="821">
        <v>80</v>
      </c>
    </row>
    <row r="63" spans="1:8" s="817" customFormat="1" ht="48">
      <c r="A63" s="821">
        <v>3</v>
      </c>
      <c r="B63" s="3393"/>
      <c r="C63" s="757" t="s">
        <v>619</v>
      </c>
      <c r="D63" s="757" t="s">
        <v>620</v>
      </c>
      <c r="E63" s="834">
        <v>0.5</v>
      </c>
      <c r="F63" s="821">
        <v>80</v>
      </c>
    </row>
    <row r="64" spans="1:8" s="817" customFormat="1" ht="48">
      <c r="A64" s="821">
        <v>4</v>
      </c>
      <c r="B64" s="3393"/>
      <c r="C64" s="757" t="s">
        <v>621</v>
      </c>
      <c r="D64" s="757" t="s">
        <v>622</v>
      </c>
      <c r="E64" s="834">
        <v>0.4</v>
      </c>
      <c r="F64" s="821">
        <v>60</v>
      </c>
    </row>
    <row r="65" spans="1:6" s="817" customFormat="1" ht="48">
      <c r="A65" s="821">
        <v>5</v>
      </c>
      <c r="B65" s="3393"/>
      <c r="C65" s="757" t="s">
        <v>623</v>
      </c>
      <c r="D65" s="757" t="s">
        <v>624</v>
      </c>
      <c r="E65" s="834">
        <v>0.2</v>
      </c>
      <c r="F65" s="821">
        <v>30</v>
      </c>
    </row>
    <row r="66" spans="1:6" s="817" customFormat="1" ht="48">
      <c r="A66" s="821">
        <v>6</v>
      </c>
      <c r="B66" s="3393"/>
      <c r="C66" s="757" t="s">
        <v>625</v>
      </c>
      <c r="D66" s="757" t="s">
        <v>626</v>
      </c>
      <c r="E66" s="834">
        <v>0.3</v>
      </c>
      <c r="F66" s="821">
        <v>50</v>
      </c>
    </row>
    <row r="67" spans="1:6" s="817" customFormat="1" ht="48">
      <c r="A67" s="821">
        <v>7</v>
      </c>
      <c r="B67" s="3393"/>
      <c r="C67" s="757" t="s">
        <v>627</v>
      </c>
      <c r="D67" s="757" t="s">
        <v>628</v>
      </c>
      <c r="E67" s="834">
        <v>0.2</v>
      </c>
      <c r="F67" s="821">
        <v>30</v>
      </c>
    </row>
    <row r="68" spans="1:6" s="817" customFormat="1" ht="48">
      <c r="A68" s="821">
        <v>8</v>
      </c>
      <c r="B68" s="3393"/>
      <c r="C68" s="757" t="s">
        <v>629</v>
      </c>
      <c r="D68" s="757" t="s">
        <v>630</v>
      </c>
      <c r="E68" s="834">
        <v>0.2</v>
      </c>
      <c r="F68" s="821">
        <v>30</v>
      </c>
    </row>
    <row r="69" spans="1:6" s="817" customFormat="1" ht="48">
      <c r="A69" s="821">
        <v>9</v>
      </c>
      <c r="B69" s="3393"/>
      <c r="C69" s="757" t="s">
        <v>631</v>
      </c>
      <c r="D69" s="757" t="s">
        <v>632</v>
      </c>
      <c r="E69" s="834">
        <v>0.2</v>
      </c>
      <c r="F69" s="821">
        <v>30</v>
      </c>
    </row>
    <row r="70" spans="1:6" s="817" customFormat="1" ht="60">
      <c r="A70" s="821">
        <v>10</v>
      </c>
      <c r="B70" s="3393"/>
      <c r="C70" s="757" t="s">
        <v>633</v>
      </c>
      <c r="D70" s="757" t="s">
        <v>634</v>
      </c>
      <c r="E70" s="834">
        <v>0.2</v>
      </c>
      <c r="F70" s="821">
        <v>30</v>
      </c>
    </row>
    <row r="71" spans="1:6" s="817" customFormat="1" ht="60">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36">
      <c r="A73" s="821">
        <v>13</v>
      </c>
      <c r="B73" s="3393"/>
      <c r="C73" s="757" t="s">
        <v>639</v>
      </c>
      <c r="D73" s="757" t="s">
        <v>640</v>
      </c>
      <c r="E73" s="834">
        <v>0.4</v>
      </c>
      <c r="F73" s="821">
        <v>60</v>
      </c>
    </row>
    <row r="74" spans="1:6" s="817" customFormat="1" ht="36">
      <c r="A74" s="821">
        <v>14</v>
      </c>
      <c r="B74" s="3393"/>
      <c r="C74" s="757" t="s">
        <v>641</v>
      </c>
      <c r="D74" s="757" t="s">
        <v>642</v>
      </c>
      <c r="E74" s="834">
        <v>0.2</v>
      </c>
      <c r="F74" s="821">
        <v>30</v>
      </c>
    </row>
    <row r="75" spans="1:6" s="817" customFormat="1" ht="36">
      <c r="A75" s="821">
        <v>15</v>
      </c>
      <c r="B75" s="3393"/>
      <c r="C75" s="757" t="s">
        <v>643</v>
      </c>
      <c r="D75" s="757" t="s">
        <v>644</v>
      </c>
      <c r="E75" s="834">
        <v>0.2</v>
      </c>
      <c r="F75" s="821">
        <v>30</v>
      </c>
    </row>
    <row r="76" spans="1:6" s="817" customFormat="1" ht="36">
      <c r="A76" s="821">
        <v>16</v>
      </c>
      <c r="B76" s="3393" t="s">
        <v>645</v>
      </c>
      <c r="C76" s="757" t="s">
        <v>646</v>
      </c>
      <c r="D76" s="757" t="s">
        <v>647</v>
      </c>
      <c r="E76" s="834">
        <v>0.5</v>
      </c>
      <c r="F76" s="821">
        <v>80</v>
      </c>
    </row>
    <row r="77" spans="1:6" s="817" customFormat="1" ht="36">
      <c r="A77" s="821">
        <v>17</v>
      </c>
      <c r="B77" s="3393"/>
      <c r="C77" s="757" t="s">
        <v>648</v>
      </c>
      <c r="D77" s="757" t="s">
        <v>649</v>
      </c>
      <c r="E77" s="834">
        <v>0.5</v>
      </c>
      <c r="F77" s="821">
        <v>80</v>
      </c>
    </row>
    <row r="78" spans="1:6" s="817" customFormat="1" ht="36">
      <c r="A78" s="821">
        <v>18</v>
      </c>
      <c r="B78" s="3393"/>
      <c r="C78" s="757" t="s">
        <v>650</v>
      </c>
      <c r="D78" s="757" t="s">
        <v>651</v>
      </c>
      <c r="E78" s="834">
        <v>0.2</v>
      </c>
      <c r="F78" s="821">
        <v>30</v>
      </c>
    </row>
    <row r="79" spans="1:6" s="817" customFormat="1" ht="36">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60">
      <c r="A82" s="821">
        <v>22</v>
      </c>
      <c r="B82" s="3393"/>
      <c r="C82" s="757" t="s">
        <v>658</v>
      </c>
      <c r="D82" s="757" t="s">
        <v>659</v>
      </c>
      <c r="E82" s="834">
        <v>0.2</v>
      </c>
      <c r="F82" s="821">
        <v>30</v>
      </c>
    </row>
    <row r="83" spans="1:6" s="817" customFormat="1" ht="60">
      <c r="A83" s="821">
        <v>23</v>
      </c>
      <c r="B83" s="3393"/>
      <c r="C83" s="757" t="s">
        <v>660</v>
      </c>
      <c r="D83" s="757" t="s">
        <v>661</v>
      </c>
      <c r="E83" s="834">
        <v>0.2</v>
      </c>
      <c r="F83" s="821">
        <v>30</v>
      </c>
    </row>
    <row r="84" spans="1:6" s="817" customFormat="1" ht="48">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36">
      <c r="A89" s="821">
        <v>29</v>
      </c>
      <c r="B89" s="3393"/>
      <c r="C89" s="757" t="s">
        <v>672</v>
      </c>
      <c r="D89" s="757" t="s">
        <v>673</v>
      </c>
      <c r="E89" s="834">
        <v>0.2</v>
      </c>
      <c r="F89" s="821">
        <v>30</v>
      </c>
    </row>
    <row r="90" spans="1:6" s="817" customFormat="1" ht="36">
      <c r="A90" s="821">
        <v>30</v>
      </c>
      <c r="B90" s="3393"/>
      <c r="C90" s="757" t="s">
        <v>674</v>
      </c>
      <c r="D90" s="757" t="s">
        <v>675</v>
      </c>
      <c r="E90" s="834">
        <v>0.2</v>
      </c>
      <c r="F90" s="821">
        <v>30</v>
      </c>
    </row>
    <row r="91" spans="1:6" s="817" customFormat="1" ht="48">
      <c r="A91" s="821">
        <v>31</v>
      </c>
      <c r="B91" s="3393"/>
      <c r="C91" s="757" t="s">
        <v>676</v>
      </c>
      <c r="D91" s="757" t="s">
        <v>677</v>
      </c>
      <c r="E91" s="834">
        <v>0.2</v>
      </c>
      <c r="F91" s="821">
        <v>30</v>
      </c>
    </row>
    <row r="92" spans="1:6" s="817" customFormat="1" ht="36">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60">
      <c r="A94" s="821">
        <v>34</v>
      </c>
      <c r="B94" s="3393"/>
      <c r="C94" s="821" t="s">
        <v>683</v>
      </c>
      <c r="D94" s="757" t="s">
        <v>684</v>
      </c>
      <c r="E94" s="834">
        <v>0.2</v>
      </c>
      <c r="F94" s="821">
        <v>30</v>
      </c>
    </row>
    <row r="95" spans="1:6" s="817" customFormat="1" ht="48">
      <c r="A95" s="821">
        <v>35</v>
      </c>
      <c r="B95" s="3393"/>
      <c r="C95" s="821" t="s">
        <v>685</v>
      </c>
      <c r="D95" s="757" t="s">
        <v>686</v>
      </c>
      <c r="E95" s="834">
        <v>0.2</v>
      </c>
      <c r="F95" s="821">
        <v>30</v>
      </c>
    </row>
    <row r="96" spans="1:6" s="817" customFormat="1" ht="72">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36">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393" t="s">
        <v>708</v>
      </c>
      <c r="C105" s="821" t="s">
        <v>709</v>
      </c>
      <c r="D105" s="757" t="s">
        <v>710</v>
      </c>
      <c r="E105" s="834">
        <v>0.2</v>
      </c>
      <c r="F105" s="821">
        <v>30</v>
      </c>
    </row>
    <row r="106" spans="1:6" s="817" customFormat="1" ht="48">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48">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393" t="s">
        <v>724</v>
      </c>
      <c r="C111" s="821" t="s">
        <v>725</v>
      </c>
      <c r="D111" s="757" t="s">
        <v>726</v>
      </c>
      <c r="E111" s="834">
        <v>0.2</v>
      </c>
      <c r="F111" s="821">
        <v>30</v>
      </c>
    </row>
    <row r="112" spans="1:6" s="817" customFormat="1" ht="36">
      <c r="A112" s="821">
        <v>52</v>
      </c>
      <c r="B112" s="3393"/>
      <c r="C112" s="821" t="s">
        <v>727</v>
      </c>
      <c r="D112" s="757" t="s">
        <v>728</v>
      </c>
      <c r="E112" s="834">
        <v>0.2</v>
      </c>
      <c r="F112" s="821">
        <v>30</v>
      </c>
    </row>
    <row r="113" spans="1:6" s="817" customFormat="1" ht="36">
      <c r="A113" s="821">
        <v>53</v>
      </c>
      <c r="B113" s="3393"/>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U518" sqref="U518"/>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2815</v>
      </c>
      <c r="B1" s="2363"/>
      <c r="C1" s="2363"/>
      <c r="D1" s="2363"/>
      <c r="E1" s="2363"/>
      <c r="F1" s="3024"/>
      <c r="G1" s="3024"/>
      <c r="H1" s="3024"/>
      <c r="I1" s="3024"/>
      <c r="J1" s="3024"/>
      <c r="K1" s="3024"/>
      <c r="L1" s="3024"/>
      <c r="M1" s="3024"/>
      <c r="N1" s="3024"/>
      <c r="O1" s="3024"/>
      <c r="P1" s="3024"/>
    </row>
    <row r="2" spans="1:16" ht="15.6">
      <c r="A2" s="2361" t="s">
        <v>2807</v>
      </c>
      <c r="B2" s="2828">
        <f ca="1">SUMIF(B6:B13,"&lt;&gt;#ref!",B6:B13)</f>
        <v>2264</v>
      </c>
      <c r="C2" s="2361" t="s">
        <v>2808</v>
      </c>
      <c r="D2" s="2361" t="s">
        <v>2809</v>
      </c>
      <c r="E2" s="2838">
        <f ca="1">SUMIF(E6:E13,"&lt;&gt;#ref!",E6:E13)</f>
        <v>13846.800000000001</v>
      </c>
      <c r="F2" s="3024"/>
      <c r="G2" s="3024"/>
      <c r="H2" s="3024"/>
      <c r="I2" s="3024"/>
      <c r="J2" s="3024"/>
      <c r="K2" s="3024"/>
      <c r="L2" s="3024"/>
      <c r="M2" s="3024"/>
      <c r="N2" s="3024"/>
      <c r="O2" s="3024"/>
      <c r="P2" s="3024"/>
    </row>
    <row r="3" spans="1:16" ht="15.6">
      <c r="A3" s="2361" t="s">
        <v>2810</v>
      </c>
      <c r="B3" s="2828">
        <f ca="1">ROUND(B2*10000/E2,0)</f>
        <v>1635</v>
      </c>
      <c r="C3" s="2361" t="s">
        <v>2816</v>
      </c>
      <c r="D3" s="3024"/>
      <c r="E3" s="3024"/>
      <c r="F3" s="3024"/>
      <c r="G3" s="3024"/>
      <c r="H3" s="3024"/>
      <c r="I3" s="3024"/>
      <c r="J3" s="3024"/>
      <c r="K3" s="3024"/>
      <c r="L3" s="3024"/>
      <c r="M3" s="3024"/>
      <c r="N3" s="3024"/>
      <c r="O3" s="3024"/>
      <c r="P3" s="3024"/>
    </row>
    <row r="4" spans="1:16" ht="15.6">
      <c r="A4" s="3025"/>
      <c r="B4" s="3024"/>
      <c r="C4" s="3024"/>
      <c r="D4" s="3024"/>
      <c r="E4" s="3024"/>
      <c r="F4" s="3024"/>
      <c r="G4" s="3024"/>
      <c r="H4" s="3024"/>
      <c r="I4" s="3024"/>
      <c r="J4" s="3024"/>
      <c r="K4" s="3024"/>
      <c r="L4" s="3024"/>
      <c r="M4" s="3024"/>
      <c r="N4" s="3024"/>
      <c r="O4" s="3024"/>
      <c r="P4" s="3024"/>
    </row>
    <row r="5" spans="1:16" ht="31.2">
      <c r="A5" s="2834" t="s">
        <v>2811</v>
      </c>
      <c r="B5" s="2836" t="s">
        <v>2812</v>
      </c>
      <c r="C5" s="2362"/>
      <c r="D5" s="3024"/>
      <c r="E5" s="2837" t="s">
        <v>2813</v>
      </c>
      <c r="F5" s="3024"/>
      <c r="G5" s="3024"/>
      <c r="H5" s="3024"/>
      <c r="I5" s="3024"/>
      <c r="J5" s="3024"/>
      <c r="K5" s="3024"/>
      <c r="L5" s="3024"/>
      <c r="M5" s="3024"/>
      <c r="N5" s="3024"/>
      <c r="O5" s="3024"/>
      <c r="P5" s="3024"/>
    </row>
    <row r="6" spans="1:16" ht="15.6">
      <c r="A6" s="2835" t="s">
        <v>2814</v>
      </c>
      <c r="B6" s="2828">
        <f ca="1">SUMIF(INDIRECT("'"&amp;A6&amp;"'"&amp;"!A:A"),"总价",INDIRECT("'"&amp;A6&amp;"'"&amp;"!B:B"))</f>
        <v>2264</v>
      </c>
      <c r="C6" s="2361" t="s">
        <v>2808</v>
      </c>
      <c r="D6" s="3024"/>
      <c r="E6" s="2838">
        <f ca="1">SUMIF(INDIRECT("'"&amp;A6&amp;"'"&amp;"!C:C"),"建筑面积",INDIRECT("'"&amp;A6&amp;"'"&amp;"!D:D"))</f>
        <v>13846.800000000001</v>
      </c>
      <c r="F6" s="3024"/>
      <c r="G6" s="3024"/>
      <c r="H6" s="3024"/>
      <c r="I6" s="3024"/>
      <c r="J6" s="3024"/>
      <c r="K6" s="3024"/>
      <c r="L6" s="3024"/>
      <c r="M6" s="3024"/>
      <c r="N6" s="3024"/>
      <c r="O6" s="3024"/>
      <c r="P6" s="3024"/>
    </row>
    <row r="7" spans="1:16" ht="15.6">
      <c r="A7" s="2835"/>
      <c r="B7" s="2828" t="e">
        <f ca="1">SUMIF(INDIRECT("'"&amp;A7&amp;"'"&amp;"!A:A"),"总价",INDIRECT("'"&amp;A7&amp;"'"&amp;"!B:B"))</f>
        <v>#REF!</v>
      </c>
      <c r="C7" s="2361" t="s">
        <v>2808</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6">
      <c r="A8" s="2835"/>
      <c r="B8" s="2828" t="e">
        <f t="shared" ref="B8:B13" ca="1" si="1">SUMIF(INDIRECT("'"&amp;A8&amp;"'"&amp;"!A:A"),"总价",INDIRECT("'"&amp;A8&amp;"'"&amp;"!B:B"))</f>
        <v>#REF!</v>
      </c>
      <c r="C8" s="2361" t="s">
        <v>2808</v>
      </c>
      <c r="D8" s="3024"/>
      <c r="E8" s="2838" t="e">
        <f t="shared" ca="1" si="0"/>
        <v>#REF!</v>
      </c>
      <c r="F8" s="3024"/>
      <c r="G8" s="3024"/>
      <c r="H8" s="3024"/>
      <c r="I8" s="3024"/>
      <c r="J8" s="3024"/>
      <c r="K8" s="3024"/>
      <c r="L8" s="3024"/>
      <c r="M8" s="3024"/>
      <c r="N8" s="3024"/>
      <c r="O8" s="3024"/>
      <c r="P8" s="3024"/>
    </row>
    <row r="9" spans="1:16" ht="15.6">
      <c r="A9" s="2835"/>
      <c r="B9" s="2828" t="e">
        <f t="shared" ca="1" si="1"/>
        <v>#REF!</v>
      </c>
      <c r="C9" s="2361" t="s">
        <v>2808</v>
      </c>
      <c r="D9" s="3024"/>
      <c r="E9" s="2838" t="e">
        <f t="shared" ca="1" si="0"/>
        <v>#REF!</v>
      </c>
      <c r="F9" s="3024"/>
      <c r="G9" s="3024"/>
      <c r="H9" s="3024"/>
      <c r="I9" s="3024"/>
      <c r="J9" s="3024"/>
      <c r="K9" s="3024"/>
      <c r="L9" s="3024"/>
      <c r="M9" s="3024"/>
      <c r="N9" s="3024"/>
      <c r="O9" s="3024"/>
      <c r="P9" s="3024"/>
    </row>
    <row r="10" spans="1:16" ht="15.6">
      <c r="A10" s="2835"/>
      <c r="B10" s="2828" t="e">
        <f t="shared" ca="1" si="1"/>
        <v>#REF!</v>
      </c>
      <c r="C10" s="2361" t="s">
        <v>2808</v>
      </c>
      <c r="D10" s="3024"/>
      <c r="E10" s="2838" t="e">
        <f t="shared" ca="1" si="0"/>
        <v>#REF!</v>
      </c>
      <c r="F10" s="3024"/>
      <c r="G10" s="3024"/>
      <c r="H10" s="3024"/>
      <c r="I10" s="3024"/>
      <c r="J10" s="3024"/>
      <c r="K10" s="3024"/>
      <c r="L10" s="3024"/>
      <c r="M10" s="3024"/>
      <c r="N10" s="3024"/>
      <c r="O10" s="3024"/>
      <c r="P10" s="3024"/>
    </row>
    <row r="11" spans="1:16" ht="15.6">
      <c r="A11" s="2835"/>
      <c r="B11" s="2828" t="e">
        <f t="shared" ca="1" si="1"/>
        <v>#REF!</v>
      </c>
      <c r="C11" s="2361" t="s">
        <v>2808</v>
      </c>
      <c r="D11" s="3024"/>
      <c r="E11" s="2838" t="e">
        <f t="shared" ca="1" si="0"/>
        <v>#REF!</v>
      </c>
      <c r="F11" s="3024"/>
      <c r="G11" s="3024"/>
      <c r="H11" s="3024"/>
      <c r="I11" s="3024"/>
      <c r="J11" s="3024"/>
      <c r="K11" s="3024"/>
      <c r="L11" s="3024"/>
      <c r="M11" s="3024"/>
      <c r="N11" s="3024"/>
      <c r="O11" s="3024"/>
      <c r="P11" s="3024"/>
    </row>
    <row r="12" spans="1:16" ht="15.6">
      <c r="A12" s="2835"/>
      <c r="B12" s="2828" t="e">
        <f t="shared" ca="1" si="1"/>
        <v>#REF!</v>
      </c>
      <c r="C12" s="2361" t="s">
        <v>2808</v>
      </c>
      <c r="D12" s="3024"/>
      <c r="E12" s="2838" t="e">
        <f t="shared" ca="1" si="0"/>
        <v>#REF!</v>
      </c>
      <c r="F12" s="3024"/>
      <c r="G12" s="3024"/>
      <c r="H12" s="3024"/>
      <c r="I12" s="3024"/>
      <c r="J12" s="3024"/>
      <c r="K12" s="3024"/>
      <c r="L12" s="3024"/>
      <c r="M12" s="3024"/>
      <c r="N12" s="3024"/>
      <c r="O12" s="3024"/>
      <c r="P12" s="3024"/>
    </row>
    <row r="13" spans="1:16" ht="15.6">
      <c r="A13" s="2835"/>
      <c r="B13" s="2828" t="e">
        <f t="shared" ca="1" si="1"/>
        <v>#REF!</v>
      </c>
      <c r="C13" s="2361" t="s">
        <v>2808</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8"/>
  <sheetViews>
    <sheetView zoomScale="80" zoomScaleNormal="80" workbookViewId="0">
      <selection activeCell="W22" sqref="W22"/>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399" t="s">
        <v>1117</v>
      </c>
      <c r="C1" s="3399"/>
      <c r="D1" s="3399"/>
      <c r="E1" s="3399"/>
      <c r="F1" s="3399"/>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90" customFormat="1" ht="1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4">
      <c r="A3" s="2394" t="s">
        <v>2848</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3054</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2849</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3053</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3052</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3050</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3049</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2865</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2863</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2862</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8" thickBot="1">
      <c r="A13" s="2423" t="s">
        <v>2861</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2859</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8" thickBot="1">
      <c r="A15" s="2423" t="s">
        <v>2857</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2860</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5">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 customHeight="1">
      <c r="A17" s="2423" t="s">
        <v>2855</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5"/>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 customHeight="1">
      <c r="A18" s="2423" t="s">
        <v>2854</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5"/>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2847</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04"/>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2845</v>
      </c>
      <c r="B20" s="2438">
        <v>439</v>
      </c>
      <c r="C20" s="2438">
        <v>327</v>
      </c>
      <c r="D20" s="2438">
        <f>C20</f>
        <v>327</v>
      </c>
      <c r="E20" s="2438">
        <v>627</v>
      </c>
      <c r="F20" s="2439">
        <v>283</v>
      </c>
      <c r="G20" s="3400">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 customHeight="1">
      <c r="A21" s="2423" t="s">
        <v>2846</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5"/>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5"/>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04"/>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00">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5"/>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5"/>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8"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6"/>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8" thickBot="1">
      <c r="A28" s="2423" t="s">
        <v>151</v>
      </c>
      <c r="B28" s="2438">
        <v>333</v>
      </c>
      <c r="C28" s="2438">
        <v>277</v>
      </c>
      <c r="D28" s="2438">
        <f t="shared" si="191"/>
        <v>277</v>
      </c>
      <c r="E28" s="2438">
        <v>459</v>
      </c>
      <c r="F28" s="2439">
        <v>249</v>
      </c>
      <c r="G28" s="3394">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5"/>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5"/>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6"/>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8" thickBot="1">
      <c r="A32" s="2423" t="s">
        <v>147</v>
      </c>
      <c r="B32" s="2452">
        <v>318</v>
      </c>
      <c r="C32" s="2452">
        <v>268</v>
      </c>
      <c r="D32" s="2452">
        <f t="shared" si="191"/>
        <v>268</v>
      </c>
      <c r="E32" s="2452">
        <v>437</v>
      </c>
      <c r="F32" s="2453">
        <v>237</v>
      </c>
      <c r="G32" s="3394">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5"/>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8"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5"/>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8"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6"/>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8" thickBot="1">
      <c r="A36" s="2423" t="s">
        <v>1130</v>
      </c>
      <c r="B36" s="2438">
        <v>299</v>
      </c>
      <c r="C36" s="2438">
        <v>252</v>
      </c>
      <c r="D36" s="2438">
        <f t="shared" si="191"/>
        <v>252</v>
      </c>
      <c r="E36" s="2438">
        <v>409</v>
      </c>
      <c r="F36" s="2439">
        <v>227</v>
      </c>
      <c r="G36" s="3401">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02"/>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02"/>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03"/>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8" thickBot="1">
      <c r="A40" s="2423" t="s">
        <v>1134</v>
      </c>
      <c r="B40" s="2473">
        <v>278</v>
      </c>
      <c r="C40" s="2473">
        <v>234</v>
      </c>
      <c r="D40" s="2473">
        <f t="shared" si="191"/>
        <v>234</v>
      </c>
      <c r="E40" s="2473">
        <v>379</v>
      </c>
      <c r="F40" s="2474">
        <v>220</v>
      </c>
      <c r="G40" s="3394">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5"/>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5"/>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8" thickBot="1">
      <c r="A43" s="2423" t="s">
        <v>1137</v>
      </c>
      <c r="B43" s="2424">
        <f>B42/(1+N42)</f>
        <v>275.19025476197027</v>
      </c>
      <c r="C43" s="2475">
        <v>232</v>
      </c>
      <c r="D43" s="2475">
        <f t="shared" si="191"/>
        <v>232</v>
      </c>
      <c r="E43" s="2424">
        <f t="shared" si="202"/>
        <v>375.65990977608692</v>
      </c>
      <c r="F43" s="2424">
        <f t="shared" si="202"/>
        <v>214.12518283971252</v>
      </c>
      <c r="G43" s="3396"/>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8" thickBot="1">
      <c r="A44" s="2423" t="s">
        <v>1138</v>
      </c>
      <c r="B44" s="2438">
        <v>275</v>
      </c>
      <c r="C44" s="2438">
        <v>232</v>
      </c>
      <c r="D44" s="2438">
        <f t="shared" si="191"/>
        <v>232</v>
      </c>
      <c r="E44" s="2438">
        <v>376</v>
      </c>
      <c r="F44" s="2439">
        <v>213</v>
      </c>
      <c r="G44" s="3394">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5">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5">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8"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6">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8" thickBot="1">
      <c r="A48" s="2423" t="s">
        <v>1142</v>
      </c>
      <c r="B48" s="2438">
        <v>269</v>
      </c>
      <c r="C48" s="2438">
        <v>221</v>
      </c>
      <c r="D48" s="2438">
        <f t="shared" si="191"/>
        <v>221</v>
      </c>
      <c r="E48" s="2438">
        <v>373</v>
      </c>
      <c r="F48" s="2439">
        <v>196</v>
      </c>
      <c r="G48" s="3394">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5">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5">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8"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6">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8" thickBot="1">
      <c r="A52" s="2423" t="s">
        <v>1146</v>
      </c>
      <c r="B52" s="2438">
        <v>220</v>
      </c>
      <c r="C52" s="2438">
        <v>187</v>
      </c>
      <c r="D52" s="2438">
        <f t="shared" si="191"/>
        <v>187</v>
      </c>
      <c r="E52" s="2438">
        <v>301</v>
      </c>
      <c r="F52" s="2439">
        <v>168</v>
      </c>
      <c r="G52" s="3394">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5">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5">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6">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8" thickBot="1">
      <c r="A56" s="2423" t="s">
        <v>1150</v>
      </c>
      <c r="B56" s="2473">
        <v>214</v>
      </c>
      <c r="C56" s="2473">
        <v>188</v>
      </c>
      <c r="D56" s="2473">
        <f t="shared" si="191"/>
        <v>188</v>
      </c>
      <c r="E56" s="2473">
        <v>289</v>
      </c>
      <c r="F56" s="2474">
        <v>166</v>
      </c>
      <c r="G56" s="3394">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5">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5">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8"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6">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8" thickBot="1">
      <c r="A60" s="2423" t="s">
        <v>1154</v>
      </c>
      <c r="B60" s="2438">
        <v>188</v>
      </c>
      <c r="C60" s="2438">
        <v>165</v>
      </c>
      <c r="D60" s="2438">
        <f t="shared" si="191"/>
        <v>165</v>
      </c>
      <c r="E60" s="2438">
        <v>254</v>
      </c>
      <c r="F60" s="2439">
        <v>148</v>
      </c>
      <c r="G60" s="3394">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5">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5">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6">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8" thickBot="1">
      <c r="A64" s="2423" t="s">
        <v>1158</v>
      </c>
      <c r="B64" s="2452">
        <v>159</v>
      </c>
      <c r="C64" s="2452">
        <v>141</v>
      </c>
      <c r="D64" s="2452">
        <f t="shared" si="191"/>
        <v>141</v>
      </c>
      <c r="E64" s="2452">
        <v>195</v>
      </c>
      <c r="F64" s="2453">
        <v>122</v>
      </c>
      <c r="G64" s="3394">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5">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5">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6">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8" thickBot="1">
      <c r="A68" s="2423" t="s">
        <v>1162</v>
      </c>
      <c r="B68" s="2452">
        <v>138</v>
      </c>
      <c r="C68" s="2452">
        <v>131</v>
      </c>
      <c r="D68" s="2452">
        <f t="shared" si="191"/>
        <v>131</v>
      </c>
      <c r="E68" s="2452">
        <v>155</v>
      </c>
      <c r="F68" s="2453">
        <v>114</v>
      </c>
      <c r="G68" s="3394">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5">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5">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6">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8" thickBot="1">
      <c r="A72" s="2423" t="s">
        <v>1166</v>
      </c>
      <c r="B72" s="2473">
        <v>121</v>
      </c>
      <c r="C72" s="2473">
        <v>122</v>
      </c>
      <c r="D72" s="2473">
        <f t="shared" si="191"/>
        <v>122</v>
      </c>
      <c r="E72" s="2473">
        <v>124</v>
      </c>
      <c r="F72" s="2474">
        <v>107</v>
      </c>
      <c r="G72" s="3394">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5">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5">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8"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6">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8" thickBot="1">
      <c r="A76" s="2423" t="s">
        <v>1170</v>
      </c>
      <c r="B76" s="2493">
        <v>111</v>
      </c>
      <c r="C76" s="2493">
        <v>114</v>
      </c>
      <c r="D76" s="2493">
        <f t="shared" si="191"/>
        <v>114</v>
      </c>
      <c r="E76" s="2493">
        <v>108</v>
      </c>
      <c r="F76" s="2494">
        <v>104</v>
      </c>
      <c r="G76" s="3394">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5">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5">
        <v>2003</v>
      </c>
      <c r="H78" s="2436">
        <v>2</v>
      </c>
      <c r="I78" s="2495"/>
      <c r="J78" s="2495"/>
      <c r="K78" s="2495"/>
      <c r="L78" s="2495"/>
      <c r="X78" s="2487"/>
      <c r="Y78" s="2487"/>
      <c r="Z78" s="2487"/>
    </row>
    <row r="79" spans="1:26" ht="13.8" thickBot="1">
      <c r="A79" s="2423" t="s">
        <v>1173</v>
      </c>
      <c r="B79" s="2497">
        <f t="shared" si="227"/>
        <v>107.25</v>
      </c>
      <c r="C79" s="2497">
        <f t="shared" si="227"/>
        <v>108.75</v>
      </c>
      <c r="D79" s="2497">
        <f t="shared" si="191"/>
        <v>108.75</v>
      </c>
      <c r="E79" s="2497">
        <f t="shared" si="228"/>
        <v>105.75</v>
      </c>
      <c r="F79" s="2497">
        <f t="shared" si="228"/>
        <v>102.5</v>
      </c>
      <c r="G79" s="3396">
        <v>2003</v>
      </c>
      <c r="H79" s="2498">
        <v>1</v>
      </c>
      <c r="I79" s="2495"/>
      <c r="J79" s="2495"/>
      <c r="K79" s="2495"/>
      <c r="L79" s="2495"/>
      <c r="S79" s="2426"/>
      <c r="T79" s="2411"/>
      <c r="U79" s="2411"/>
      <c r="X79" s="2487"/>
      <c r="Y79" s="2487"/>
      <c r="Z79" s="2487"/>
    </row>
    <row r="80" spans="1:26" ht="13.8" thickBot="1">
      <c r="A80" s="2423" t="s">
        <v>1174</v>
      </c>
      <c r="B80" s="2499">
        <v>106</v>
      </c>
      <c r="C80" s="2499">
        <v>107</v>
      </c>
      <c r="D80" s="2499">
        <f t="shared" si="191"/>
        <v>107</v>
      </c>
      <c r="E80" s="2499">
        <v>105</v>
      </c>
      <c r="F80" s="2500">
        <v>102</v>
      </c>
      <c r="G80" s="3394">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5">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5">
        <v>2002</v>
      </c>
      <c r="H82" s="2436">
        <v>2</v>
      </c>
      <c r="I82" s="2495"/>
      <c r="J82" s="2495"/>
      <c r="K82" s="2495"/>
      <c r="L82" s="2495"/>
      <c r="X82" s="2487"/>
      <c r="Y82" s="2487"/>
      <c r="Z82" s="2487"/>
    </row>
    <row r="83" spans="1:26" s="2460" customFormat="1" ht="13.8" thickBot="1">
      <c r="A83" s="2456" t="s">
        <v>1177</v>
      </c>
      <c r="B83" s="2463">
        <f t="shared" si="229"/>
        <v>103</v>
      </c>
      <c r="C83" s="2463">
        <f t="shared" si="229"/>
        <v>104</v>
      </c>
      <c r="D83" s="2463">
        <f t="shared" si="191"/>
        <v>104</v>
      </c>
      <c r="E83" s="2463">
        <f t="shared" si="230"/>
        <v>103.5</v>
      </c>
      <c r="F83" s="2463">
        <f t="shared" si="230"/>
        <v>100.5</v>
      </c>
      <c r="G83" s="3396">
        <v>2002</v>
      </c>
      <c r="H83" s="2501">
        <v>1</v>
      </c>
      <c r="I83" s="2502"/>
      <c r="J83" s="2502"/>
      <c r="K83" s="2502"/>
      <c r="L83" s="2502"/>
      <c r="N83" s="2503"/>
      <c r="S83" s="2503"/>
      <c r="X83" s="2504"/>
      <c r="Y83" s="2504"/>
      <c r="Z83" s="2504"/>
    </row>
    <row r="84" spans="1:26" ht="13.8"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8"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8"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1586</v>
      </c>
      <c r="B1" s="1676"/>
      <c r="C1" s="1676"/>
      <c r="D1" s="1676"/>
      <c r="E1" s="1676"/>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7.399999999999999">
      <c r="A3" s="3082" t="str">
        <f>IF(项目基本情况!B9="房地产市场价值","估价结果一览表（市场价值不需“结果表-1”）","估价结果一览表")</f>
        <v>估价结果一览表</v>
      </c>
      <c r="B3" s="3082"/>
      <c r="C3" s="3082"/>
      <c r="D3" s="3082"/>
      <c r="E3" s="3082"/>
    </row>
    <row r="4" spans="1:5" ht="18" thickBot="1">
      <c r="A4" s="1678"/>
      <c r="B4" s="3080" t="s">
        <v>1595</v>
      </c>
      <c r="C4" s="3080"/>
      <c r="D4" s="3080"/>
      <c r="E4" s="1678"/>
    </row>
    <row r="5" spans="1:5" ht="16.2" thickTop="1">
      <c r="A5" s="1676"/>
      <c r="B5" s="3078" t="s">
        <v>1587</v>
      </c>
      <c r="C5" s="1679" t="s">
        <v>1588</v>
      </c>
      <c r="D5" s="959">
        <f ca="1">结果表!H101</f>
        <v>11972</v>
      </c>
      <c r="E5" s="1676"/>
    </row>
    <row r="6" spans="1:5" ht="15.6">
      <c r="A6" s="1676"/>
      <c r="B6" s="3078"/>
      <c r="C6" s="1679" t="s">
        <v>1589</v>
      </c>
      <c r="D6" s="959" t="str">
        <f ca="1">NUMBERSTRING(INT(D5*10000),2)&amp;"元整"</f>
        <v>壹亿壹仟玖佰柒拾贰万元整</v>
      </c>
      <c r="E6" s="1676"/>
    </row>
    <row r="7" spans="1:5" ht="15.6">
      <c r="A7" s="1676"/>
      <c r="B7" s="3083"/>
      <c r="C7" s="1680" t="s">
        <v>1590</v>
      </c>
      <c r="D7" s="960">
        <f ca="1">结果表!H102</f>
        <v>8646</v>
      </c>
      <c r="E7" s="1676"/>
    </row>
    <row r="8" spans="1:5" ht="15.6">
      <c r="A8" s="1676"/>
      <c r="B8" s="3084" t="str">
        <f>结果表!E103</f>
        <v>2.估价师知悉的法定优先受偿款</v>
      </c>
      <c r="C8" s="1681" t="s">
        <v>1591</v>
      </c>
      <c r="D8" s="960">
        <f>结果表!H103</f>
        <v>0</v>
      </c>
      <c r="E8" s="1676"/>
    </row>
    <row r="9" spans="1:5" ht="15.6">
      <c r="A9" s="1676"/>
      <c r="B9" s="3086"/>
      <c r="C9" s="1679" t="s">
        <v>1589</v>
      </c>
      <c r="D9" s="959" t="str">
        <f>NUMBERSTRING(INT(D8*10000),2)&amp;"元整"</f>
        <v>零元整</v>
      </c>
      <c r="E9" s="1676"/>
    </row>
    <row r="10" spans="1:5" ht="15.6">
      <c r="A10" s="1676"/>
      <c r="B10" s="1682" t="s">
        <v>1594</v>
      </c>
      <c r="C10" s="1683" t="s">
        <v>1592</v>
      </c>
      <c r="D10" s="961">
        <f>结果表!H104</f>
        <v>0</v>
      </c>
      <c r="E10" s="1676"/>
    </row>
    <row r="11" spans="1:5" ht="15.6">
      <c r="A11" s="1676"/>
      <c r="B11" s="1682" t="s">
        <v>1596</v>
      </c>
      <c r="C11" s="1683" t="s">
        <v>1597</v>
      </c>
      <c r="D11" s="961">
        <f>结果表!H105</f>
        <v>0</v>
      </c>
      <c r="E11" s="1676"/>
    </row>
    <row r="12" spans="1:5" ht="15.6">
      <c r="A12" s="1676"/>
      <c r="B12" s="1682" t="s">
        <v>1598</v>
      </c>
      <c r="C12" s="1683" t="s">
        <v>1597</v>
      </c>
      <c r="D12" s="961">
        <f>结果表!H106</f>
        <v>0</v>
      </c>
      <c r="E12" s="1676"/>
    </row>
    <row r="13" spans="1:5" ht="15.6">
      <c r="A13" s="1676"/>
      <c r="B13" s="3077" t="str">
        <f>结果表!E107</f>
        <v>3.房地产抵押价值</v>
      </c>
      <c r="C13" s="1684" t="s">
        <v>1588</v>
      </c>
      <c r="D13" s="962">
        <f ca="1">结果表!H107</f>
        <v>11972</v>
      </c>
      <c r="E13" s="1676"/>
    </row>
    <row r="14" spans="1:5" ht="15.6">
      <c r="A14" s="1676"/>
      <c r="B14" s="3078"/>
      <c r="C14" s="1679" t="s">
        <v>1589</v>
      </c>
      <c r="D14" s="959" t="str">
        <f ca="1">NUMBERSTRING(INT(D13*10000),2)&amp;"元整"</f>
        <v>壹亿壹仟玖佰柒拾贰万元整</v>
      </c>
      <c r="E14" s="1676"/>
    </row>
    <row r="15" spans="1:5" ht="15.6">
      <c r="A15" s="1676"/>
      <c r="B15" s="3083"/>
      <c r="C15" s="1680" t="s">
        <v>1599</v>
      </c>
      <c r="D15" s="968">
        <f ca="1">结果表!H108</f>
        <v>8646</v>
      </c>
      <c r="E15" s="1676"/>
    </row>
    <row r="16" spans="1:5" ht="15.6">
      <c r="A16" s="1676"/>
      <c r="B16" s="3084" t="str">
        <f>结果表!E109</f>
        <v>——</v>
      </c>
      <c r="C16" s="1684" t="s">
        <v>1600</v>
      </c>
      <c r="D16" s="1685" t="str">
        <f>结果表!H109</f>
        <v>——</v>
      </c>
      <c r="E16" s="1676"/>
    </row>
    <row r="17" spans="1:5" ht="15.6">
      <c r="A17" s="1676"/>
      <c r="B17" s="3085"/>
      <c r="C17" s="1679" t="s">
        <v>1601</v>
      </c>
      <c r="D17" s="959" t="e">
        <f>NUMBERSTRING(INT(D16*10000),2)&amp;"元整"</f>
        <v>#VALUE!</v>
      </c>
      <c r="E17" s="1676"/>
    </row>
    <row r="18" spans="1:5" ht="15.6">
      <c r="A18" s="1676"/>
      <c r="B18" s="3086"/>
      <c r="C18" s="1680" t="s">
        <v>1590</v>
      </c>
      <c r="D18" s="968" t="str">
        <f>结果表!H110</f>
        <v>——</v>
      </c>
      <c r="E18" s="1676"/>
    </row>
    <row r="19" spans="1:5" ht="15.6">
      <c r="A19" s="1676"/>
      <c r="B19" s="3077" t="str">
        <f>结果表!E111</f>
        <v>——</v>
      </c>
      <c r="C19" s="1684" t="s">
        <v>1588</v>
      </c>
      <c r="D19" s="960" t="str">
        <f>结果表!H111</f>
        <v>——</v>
      </c>
      <c r="E19" s="1676"/>
    </row>
    <row r="20" spans="1:5" ht="15.6">
      <c r="A20" s="1676"/>
      <c r="B20" s="3078"/>
      <c r="C20" s="1679" t="s">
        <v>1601</v>
      </c>
      <c r="D20" s="959" t="e">
        <f>NUMBERSTRING(INT(D19*10000),2)&amp;"元整"</f>
        <v>#VALUE!</v>
      </c>
      <c r="E20" s="1676"/>
    </row>
    <row r="21" spans="1:5" ht="16.2" thickBot="1">
      <c r="A21" s="1676"/>
      <c r="B21" s="3079"/>
      <c r="C21" s="1686" t="s">
        <v>1599</v>
      </c>
      <c r="D21" s="969" t="str">
        <f>结果表!H112</f>
        <v>——</v>
      </c>
      <c r="E21" s="1676"/>
    </row>
    <row r="22" spans="1:5" ht="14.4" thickTop="1">
      <c r="A22" s="1676"/>
      <c r="B22" s="1687" t="s">
        <v>1602</v>
      </c>
      <c r="C22" s="1676"/>
      <c r="D22" s="1676"/>
      <c r="E22" s="1676"/>
    </row>
    <row r="23" spans="1:5">
      <c r="A23" s="1676"/>
      <c r="B23" s="1676"/>
      <c r="C23" s="1676"/>
      <c r="D23" s="1676"/>
      <c r="E23" s="1676"/>
    </row>
    <row r="24" spans="1:5" ht="17.399999999999999">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2817</v>
      </c>
      <c r="C1" s="3408" t="s">
        <v>2818</v>
      </c>
      <c r="D1" s="3409"/>
      <c r="E1" s="3409"/>
      <c r="F1" s="3409"/>
      <c r="G1" s="3409"/>
      <c r="H1" s="3409"/>
      <c r="I1" s="3409"/>
      <c r="J1" s="3409"/>
      <c r="K1" s="3409"/>
      <c r="L1" s="3409"/>
      <c r="M1" s="3409"/>
      <c r="N1" s="3409"/>
      <c r="O1" s="3409"/>
      <c r="P1" s="3409"/>
      <c r="Q1" s="3409"/>
      <c r="R1" s="3409"/>
      <c r="S1" s="3410"/>
      <c r="T1" s="1114" t="s">
        <v>2819</v>
      </c>
    </row>
    <row r="2" spans="1:45" s="663" customFormat="1">
      <c r="A2" s="1115"/>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2821</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2822</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2823</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2824</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2825</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2826</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2827</v>
      </c>
      <c r="B17" s="2365" t="s">
        <v>2828</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2829</v>
      </c>
      <c r="E19" s="1524"/>
      <c r="F19" s="1524"/>
      <c r="G19" s="1524"/>
      <c r="H19" s="1190"/>
      <c r="I19" s="164"/>
      <c r="J19" s="164"/>
      <c r="K19" s="164"/>
      <c r="L19" s="164"/>
      <c r="M19" s="164"/>
      <c r="N19" s="164"/>
      <c r="O19" s="164"/>
      <c r="P19" s="164"/>
      <c r="Q19" s="164"/>
      <c r="R19" s="727"/>
      <c r="S19" s="134"/>
    </row>
    <row r="20" spans="1:45" ht="16.2" thickBot="1">
      <c r="A20" s="671" t="s">
        <v>2830</v>
      </c>
      <c r="B20" s="300" t="e">
        <f ca="1">IF(D20="——",S22,S22-F20)</f>
        <v>#REF!</v>
      </c>
      <c r="C20" s="164"/>
      <c r="D20" s="2367"/>
      <c r="E20" s="1525"/>
      <c r="F20" s="1114" t="e">
        <f ca="1">SUMIF(INDIRECT("'"&amp;H20&amp;"'"&amp;"!A:A"),"承租人权益价值",INDIRECT("'"&amp;H20&amp;"'"&amp;"!c:c"))</f>
        <v>#REF!</v>
      </c>
      <c r="G20" s="1114" t="s">
        <v>2831</v>
      </c>
      <c r="H20" s="2368"/>
      <c r="I20" s="164"/>
      <c r="J20" s="164"/>
      <c r="K20" s="164"/>
      <c r="L20" s="164"/>
      <c r="M20" s="164"/>
      <c r="N20" s="164"/>
      <c r="O20" s="164"/>
      <c r="P20" s="164"/>
      <c r="Q20" s="164"/>
      <c r="R20" s="727"/>
      <c r="S20" s="134"/>
    </row>
    <row r="21" spans="1:45" ht="15.6">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29321</v>
      </c>
      <c r="C2" s="2" t="s">
        <v>133</v>
      </c>
      <c r="D2" s="205"/>
      <c r="E2" s="205"/>
      <c r="F2" s="205"/>
      <c r="G2" s="205"/>
    </row>
    <row r="3" spans="1:7" s="206" customFormat="1" ht="18" customHeight="1" thickBot="1">
      <c r="A3" s="209" t="s">
        <v>85</v>
      </c>
      <c r="B3" s="210">
        <f ca="1">ROUND(B2*10000/'数据-汇总表'!E3,0)</f>
        <v>21175</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277</v>
      </c>
      <c r="D10" s="954">
        <f>'数据-汇总表'!E6</f>
        <v>13846.800000000001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277</v>
      </c>
      <c r="D19" s="958">
        <f>'数据-汇总表'!E3</f>
        <v>13846.800000000001</v>
      </c>
      <c r="E19" s="217">
        <f>'数据-取费表'!B31</f>
        <v>200</v>
      </c>
      <c r="F19" s="237"/>
      <c r="G19" s="1" t="s">
        <v>1042</v>
      </c>
    </row>
    <row r="20" spans="1:7" s="220" customFormat="1" ht="13.5" customHeight="1">
      <c r="A20" s="885" t="s">
        <v>1025</v>
      </c>
      <c r="B20" s="216" t="s">
        <v>104</v>
      </c>
      <c r="C20" s="238">
        <f>ROUND((C5+C19)*F20,0)</f>
        <v>418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1391</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6.4">
      <c r="A27" s="885" t="s">
        <v>787</v>
      </c>
      <c r="B27" s="250" t="s">
        <v>112</v>
      </c>
      <c r="C27" s="251">
        <f>C28</f>
        <v>1065</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1065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25659</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3200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2770</v>
      </c>
      <c r="D34" s="223"/>
      <c r="E34" s="226"/>
      <c r="F34" s="263">
        <f>IF('数据-取费表'!B24=0,1,'数据-取费表'!N16)</f>
        <v>1</v>
      </c>
      <c r="G34" s="225" t="s">
        <v>116</v>
      </c>
    </row>
    <row r="35" spans="1:7" ht="13.5" customHeight="1">
      <c r="A35" s="888" t="s">
        <v>796</v>
      </c>
      <c r="B35" s="221" t="s">
        <v>60</v>
      </c>
      <c r="C35" s="226">
        <f>ROUND(C34*F35,0)</f>
        <v>111</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277</v>
      </c>
      <c r="D37" s="223">
        <f>'数据-汇总表'!E3</f>
        <v>13846.800000000001</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106</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104</v>
      </c>
      <c r="D42" s="244"/>
      <c r="E42" s="244"/>
      <c r="F42" s="245"/>
      <c r="G42" s="3265" t="s">
        <v>121</v>
      </c>
    </row>
    <row r="43" spans="1:7" ht="13.5" customHeight="1">
      <c r="A43" s="888" t="s">
        <v>792</v>
      </c>
      <c r="B43" s="221" t="s">
        <v>1032</v>
      </c>
      <c r="C43" s="244">
        <f ca="1">ROUND(IF('数据-取费表'!B22&lt;=1,C39*F22*'数据-取费表'!B21/2,C39*(POWER((1+F22),'数据-取费表'!B21/2)-1)),0)</f>
        <v>2</v>
      </c>
      <c r="D43" s="244"/>
      <c r="E43" s="244"/>
      <c r="F43" s="245"/>
      <c r="G43" s="3266"/>
    </row>
    <row r="44" spans="1:7" ht="13.5" customHeight="1">
      <c r="A44" s="888" t="s">
        <v>793</v>
      </c>
      <c r="B44" s="221" t="s">
        <v>1034</v>
      </c>
      <c r="C44" s="244">
        <f ca="1">ROUND(IF('数据-取费表'!B22&lt;=1,C40*F22*'数据-取费表'!B21/2,C40*(POWER((1+F22),'数据-取费表'!B21/2)-1)),4)</f>
        <v>5.9999999999999995E-4</v>
      </c>
      <c r="D44" s="244"/>
      <c r="E44" s="244"/>
      <c r="F44" s="245"/>
      <c r="G44" s="3267"/>
    </row>
    <row r="45" spans="1:7" s="220" customFormat="1" ht="13.5" customHeight="1">
      <c r="A45" s="885" t="s">
        <v>786</v>
      </c>
      <c r="B45" s="250" t="s">
        <v>112</v>
      </c>
      <c r="C45" s="251">
        <f>C46</f>
        <v>163</v>
      </c>
      <c r="D45" s="241">
        <f>C47</f>
        <v>1E-3</v>
      </c>
      <c r="E45" s="242" t="s">
        <v>129</v>
      </c>
      <c r="F45" s="252"/>
      <c r="G45" s="253" t="s">
        <v>1040</v>
      </c>
    </row>
    <row r="46" spans="1:7" s="220" customFormat="1" ht="13.5" customHeight="1">
      <c r="A46" s="888" t="s">
        <v>794</v>
      </c>
      <c r="B46" s="254" t="s">
        <v>1033</v>
      </c>
      <c r="C46" s="255">
        <f>ROUND((C33+C39)*F27,0)</f>
        <v>163</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3815</v>
      </c>
      <c r="D49" s="238"/>
      <c r="E49" s="238"/>
      <c r="F49" s="270"/>
      <c r="G49" s="240" t="s">
        <v>1041</v>
      </c>
    </row>
    <row r="50" spans="1:7" s="264" customFormat="1" ht="24">
      <c r="A50" s="885" t="s">
        <v>789</v>
      </c>
      <c r="B50" s="216" t="s">
        <v>124</v>
      </c>
      <c r="C50" s="238"/>
      <c r="D50" s="238"/>
      <c r="E50" s="238"/>
      <c r="F50" s="270">
        <f>IF('数据-取费表'!B24=0,'数据-取费表'!N16,1)</f>
        <v>0.96</v>
      </c>
      <c r="G50" s="253" t="s">
        <v>125</v>
      </c>
    </row>
    <row r="51" spans="1:7" ht="16.5" customHeight="1">
      <c r="A51" s="885" t="s">
        <v>790</v>
      </c>
      <c r="B51" s="216" t="s">
        <v>132</v>
      </c>
      <c r="C51" s="238">
        <f ca="1">ROUND(C49*F50,0)</f>
        <v>3662</v>
      </c>
      <c r="D51" s="238"/>
      <c r="E51" s="238"/>
      <c r="F51" s="270"/>
      <c r="G51" s="240" t="s">
        <v>64</v>
      </c>
    </row>
    <row r="52" spans="1:7" s="214" customFormat="1" ht="16.8" thickBot="1">
      <c r="A52" s="271" t="s">
        <v>65</v>
      </c>
      <c r="B52" s="272"/>
      <c r="C52" s="273">
        <f ca="1">C31+C51</f>
        <v>29321</v>
      </c>
      <c r="D52" s="272"/>
      <c r="E52" s="272"/>
      <c r="F52" s="272"/>
      <c r="G52" s="274"/>
    </row>
    <row r="55" spans="1:7" ht="15">
      <c r="B55" s="276" t="s">
        <v>66</v>
      </c>
      <c r="C55" s="277"/>
    </row>
    <row r="56" spans="1:7">
      <c r="B56" s="279" t="s">
        <v>67</v>
      </c>
      <c r="C56" s="280">
        <f ca="1">ROUND(C51/C52,3)</f>
        <v>0.125</v>
      </c>
    </row>
    <row r="57" spans="1:7">
      <c r="B57" s="279" t="s">
        <v>68</v>
      </c>
      <c r="C57" s="281">
        <f ca="1">1-C56</f>
        <v>0.875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411" t="s">
        <v>839</v>
      </c>
      <c r="B1" s="3411"/>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RowHeight="14.4"/>
  <cols>
    <col min="1" max="1" width="4.88671875" style="1410" customWidth="1"/>
    <col min="2" max="2" width="13.21875" style="1416" customWidth="1"/>
    <col min="3" max="3" width="15.6640625" style="1416" customWidth="1"/>
    <col min="4" max="4" width="9.33203125" style="1416" bestFit="1" customWidth="1"/>
    <col min="5" max="5" width="13.44140625" style="1416" customWidth="1"/>
    <col min="6" max="6" width="9" style="1416"/>
    <col min="7" max="7" width="9.33203125" style="1416" bestFit="1" customWidth="1"/>
    <col min="8" max="8" width="12.21875" style="1416" customWidth="1"/>
    <col min="9" max="9" width="9" style="1416"/>
    <col min="10" max="10" width="9.33203125" style="1416" bestFit="1" customWidth="1"/>
    <col min="11" max="11" width="4" style="1410" customWidth="1"/>
    <col min="12" max="12" width="5.109375" style="1416" customWidth="1"/>
    <col min="13" max="13" width="13.77734375" style="1416" customWidth="1"/>
    <col min="14" max="256" width="9" style="1416"/>
    <col min="257" max="257" width="4.88671875" style="1407" customWidth="1"/>
    <col min="258" max="258" width="13.21875" style="1407" customWidth="1"/>
    <col min="259" max="259" width="15.6640625" style="1407" customWidth="1"/>
    <col min="260" max="260" width="9.33203125" style="1407" bestFit="1" customWidth="1"/>
    <col min="261" max="261" width="13.44140625" style="1407" customWidth="1"/>
    <col min="262" max="262" width="9" style="1407"/>
    <col min="263" max="263" width="9.33203125" style="1407" bestFit="1" customWidth="1"/>
    <col min="264" max="265" width="9" style="1407"/>
    <col min="266" max="266" width="9.33203125" style="1407" bestFit="1" customWidth="1"/>
    <col min="267" max="267" width="4" style="1407" customWidth="1"/>
    <col min="268" max="268" width="5.109375" style="1407" customWidth="1"/>
    <col min="269" max="269" width="13.77734375" style="1407" customWidth="1"/>
    <col min="270" max="512" width="9" style="1407"/>
    <col min="513" max="513" width="4.88671875" style="1407" customWidth="1"/>
    <col min="514" max="514" width="13.21875" style="1407" customWidth="1"/>
    <col min="515" max="515" width="15.6640625" style="1407" customWidth="1"/>
    <col min="516" max="516" width="9.33203125" style="1407" bestFit="1" customWidth="1"/>
    <col min="517" max="517" width="13.44140625" style="1407" customWidth="1"/>
    <col min="518" max="518" width="9" style="1407"/>
    <col min="519" max="519" width="9.33203125" style="1407" bestFit="1" customWidth="1"/>
    <col min="520" max="521" width="9" style="1407"/>
    <col min="522" max="522" width="9.33203125" style="1407" bestFit="1" customWidth="1"/>
    <col min="523" max="523" width="4" style="1407" customWidth="1"/>
    <col min="524" max="524" width="5.109375" style="1407" customWidth="1"/>
    <col min="525" max="525" width="13.77734375" style="1407" customWidth="1"/>
    <col min="526" max="768" width="9" style="1407"/>
    <col min="769" max="769" width="4.88671875" style="1407" customWidth="1"/>
    <col min="770" max="770" width="13.21875" style="1407" customWidth="1"/>
    <col min="771" max="771" width="15.6640625" style="1407" customWidth="1"/>
    <col min="772" max="772" width="9.33203125" style="1407" bestFit="1" customWidth="1"/>
    <col min="773" max="773" width="13.44140625" style="1407" customWidth="1"/>
    <col min="774" max="774" width="9" style="1407"/>
    <col min="775" max="775" width="9.33203125" style="1407" bestFit="1" customWidth="1"/>
    <col min="776" max="777" width="9" style="1407"/>
    <col min="778" max="778" width="9.33203125" style="1407" bestFit="1" customWidth="1"/>
    <col min="779" max="779" width="4" style="1407" customWidth="1"/>
    <col min="780" max="780" width="5.109375" style="1407" customWidth="1"/>
    <col min="781" max="781" width="13.77734375" style="1407" customWidth="1"/>
    <col min="782" max="1024" width="9" style="1407"/>
    <col min="1025" max="1025" width="4.88671875" style="1407" customWidth="1"/>
    <col min="1026" max="1026" width="13.21875" style="1407" customWidth="1"/>
    <col min="1027" max="1027" width="15.6640625" style="1407" customWidth="1"/>
    <col min="1028" max="1028" width="9.33203125" style="1407" bestFit="1" customWidth="1"/>
    <col min="1029" max="1029" width="13.44140625" style="1407" customWidth="1"/>
    <col min="1030" max="1030" width="9" style="1407"/>
    <col min="1031" max="1031" width="9.33203125" style="1407" bestFit="1" customWidth="1"/>
    <col min="1032" max="1033" width="9" style="1407"/>
    <col min="1034" max="1034" width="9.33203125" style="1407" bestFit="1" customWidth="1"/>
    <col min="1035" max="1035" width="4" style="1407" customWidth="1"/>
    <col min="1036" max="1036" width="5.109375" style="1407" customWidth="1"/>
    <col min="1037" max="1037" width="13.77734375" style="1407" customWidth="1"/>
    <col min="1038" max="1280" width="9" style="1407"/>
    <col min="1281" max="1281" width="4.88671875" style="1407" customWidth="1"/>
    <col min="1282" max="1282" width="13.21875" style="1407" customWidth="1"/>
    <col min="1283" max="1283" width="15.6640625" style="1407" customWidth="1"/>
    <col min="1284" max="1284" width="9.33203125" style="1407" bestFit="1" customWidth="1"/>
    <col min="1285" max="1285" width="13.44140625" style="1407" customWidth="1"/>
    <col min="1286" max="1286" width="9" style="1407"/>
    <col min="1287" max="1287" width="9.33203125" style="1407" bestFit="1" customWidth="1"/>
    <col min="1288" max="1289" width="9" style="1407"/>
    <col min="1290" max="1290" width="9.33203125" style="1407" bestFit="1" customWidth="1"/>
    <col min="1291" max="1291" width="4" style="1407" customWidth="1"/>
    <col min="1292" max="1292" width="5.109375" style="1407" customWidth="1"/>
    <col min="1293" max="1293" width="13.77734375" style="1407" customWidth="1"/>
    <col min="1294" max="1536" width="9" style="1407"/>
    <col min="1537" max="1537" width="4.88671875" style="1407" customWidth="1"/>
    <col min="1538" max="1538" width="13.21875" style="1407" customWidth="1"/>
    <col min="1539" max="1539" width="15.6640625" style="1407" customWidth="1"/>
    <col min="1540" max="1540" width="9.33203125" style="1407" bestFit="1" customWidth="1"/>
    <col min="1541" max="1541" width="13.44140625" style="1407" customWidth="1"/>
    <col min="1542" max="1542" width="9" style="1407"/>
    <col min="1543" max="1543" width="9.33203125" style="1407" bestFit="1" customWidth="1"/>
    <col min="1544" max="1545" width="9" style="1407"/>
    <col min="1546" max="1546" width="9.33203125" style="1407" bestFit="1" customWidth="1"/>
    <col min="1547" max="1547" width="4" style="1407" customWidth="1"/>
    <col min="1548" max="1548" width="5.109375" style="1407" customWidth="1"/>
    <col min="1549" max="1549" width="13.77734375" style="1407" customWidth="1"/>
    <col min="1550" max="1792" width="9" style="1407"/>
    <col min="1793" max="1793" width="4.88671875" style="1407" customWidth="1"/>
    <col min="1794" max="1794" width="13.21875" style="1407" customWidth="1"/>
    <col min="1795" max="1795" width="15.6640625" style="1407" customWidth="1"/>
    <col min="1796" max="1796" width="9.33203125" style="1407" bestFit="1" customWidth="1"/>
    <col min="1797" max="1797" width="13.44140625" style="1407" customWidth="1"/>
    <col min="1798" max="1798" width="9" style="1407"/>
    <col min="1799" max="1799" width="9.33203125" style="1407" bestFit="1" customWidth="1"/>
    <col min="1800" max="1801" width="9" style="1407"/>
    <col min="1802" max="1802" width="9.33203125" style="1407" bestFit="1" customWidth="1"/>
    <col min="1803" max="1803" width="4" style="1407" customWidth="1"/>
    <col min="1804" max="1804" width="5.109375" style="1407" customWidth="1"/>
    <col min="1805" max="1805" width="13.77734375" style="1407" customWidth="1"/>
    <col min="1806" max="2048" width="9" style="1407"/>
    <col min="2049" max="2049" width="4.88671875" style="1407" customWidth="1"/>
    <col min="2050" max="2050" width="13.21875" style="1407" customWidth="1"/>
    <col min="2051" max="2051" width="15.6640625" style="1407" customWidth="1"/>
    <col min="2052" max="2052" width="9.33203125" style="1407" bestFit="1" customWidth="1"/>
    <col min="2053" max="2053" width="13.44140625" style="1407" customWidth="1"/>
    <col min="2054" max="2054" width="9" style="1407"/>
    <col min="2055" max="2055" width="9.33203125" style="1407" bestFit="1" customWidth="1"/>
    <col min="2056" max="2057" width="9" style="1407"/>
    <col min="2058" max="2058" width="9.33203125" style="1407" bestFit="1" customWidth="1"/>
    <col min="2059" max="2059" width="4" style="1407" customWidth="1"/>
    <col min="2060" max="2060" width="5.109375" style="1407" customWidth="1"/>
    <col min="2061" max="2061" width="13.77734375" style="1407" customWidth="1"/>
    <col min="2062" max="2304" width="9" style="1407"/>
    <col min="2305" max="2305" width="4.88671875" style="1407" customWidth="1"/>
    <col min="2306" max="2306" width="13.21875" style="1407" customWidth="1"/>
    <col min="2307" max="2307" width="15.6640625" style="1407" customWidth="1"/>
    <col min="2308" max="2308" width="9.33203125" style="1407" bestFit="1" customWidth="1"/>
    <col min="2309" max="2309" width="13.44140625" style="1407" customWidth="1"/>
    <col min="2310" max="2310" width="9" style="1407"/>
    <col min="2311" max="2311" width="9.33203125" style="1407" bestFit="1" customWidth="1"/>
    <col min="2312" max="2313" width="9" style="1407"/>
    <col min="2314" max="2314" width="9.33203125" style="1407" bestFit="1" customWidth="1"/>
    <col min="2315" max="2315" width="4" style="1407" customWidth="1"/>
    <col min="2316" max="2316" width="5.109375" style="1407" customWidth="1"/>
    <col min="2317" max="2317" width="13.77734375" style="1407" customWidth="1"/>
    <col min="2318" max="2560" width="9" style="1407"/>
    <col min="2561" max="2561" width="4.88671875" style="1407" customWidth="1"/>
    <col min="2562" max="2562" width="13.21875" style="1407" customWidth="1"/>
    <col min="2563" max="2563" width="15.6640625" style="1407" customWidth="1"/>
    <col min="2564" max="2564" width="9.33203125" style="1407" bestFit="1" customWidth="1"/>
    <col min="2565" max="2565" width="13.44140625" style="1407" customWidth="1"/>
    <col min="2566" max="2566" width="9" style="1407"/>
    <col min="2567" max="2567" width="9.33203125" style="1407" bestFit="1" customWidth="1"/>
    <col min="2568" max="2569" width="9" style="1407"/>
    <col min="2570" max="2570" width="9.33203125" style="1407" bestFit="1" customWidth="1"/>
    <col min="2571" max="2571" width="4" style="1407" customWidth="1"/>
    <col min="2572" max="2572" width="5.109375" style="1407" customWidth="1"/>
    <col min="2573" max="2573" width="13.77734375" style="1407" customWidth="1"/>
    <col min="2574" max="2816" width="9" style="1407"/>
    <col min="2817" max="2817" width="4.88671875" style="1407" customWidth="1"/>
    <col min="2818" max="2818" width="13.21875" style="1407" customWidth="1"/>
    <col min="2819" max="2819" width="15.6640625" style="1407" customWidth="1"/>
    <col min="2820" max="2820" width="9.33203125" style="1407" bestFit="1" customWidth="1"/>
    <col min="2821" max="2821" width="13.44140625" style="1407" customWidth="1"/>
    <col min="2822" max="2822" width="9" style="1407"/>
    <col min="2823" max="2823" width="9.33203125" style="1407" bestFit="1" customWidth="1"/>
    <col min="2824" max="2825" width="9" style="1407"/>
    <col min="2826" max="2826" width="9.33203125" style="1407" bestFit="1" customWidth="1"/>
    <col min="2827" max="2827" width="4" style="1407" customWidth="1"/>
    <col min="2828" max="2828" width="5.109375" style="1407" customWidth="1"/>
    <col min="2829" max="2829" width="13.77734375" style="1407" customWidth="1"/>
    <col min="2830" max="3072" width="9" style="1407"/>
    <col min="3073" max="3073" width="4.88671875" style="1407" customWidth="1"/>
    <col min="3074" max="3074" width="13.21875" style="1407" customWidth="1"/>
    <col min="3075" max="3075" width="15.6640625" style="1407" customWidth="1"/>
    <col min="3076" max="3076" width="9.33203125" style="1407" bestFit="1" customWidth="1"/>
    <col min="3077" max="3077" width="13.44140625" style="1407" customWidth="1"/>
    <col min="3078" max="3078" width="9" style="1407"/>
    <col min="3079" max="3079" width="9.33203125" style="1407" bestFit="1" customWidth="1"/>
    <col min="3080" max="3081" width="9" style="1407"/>
    <col min="3082" max="3082" width="9.33203125" style="1407" bestFit="1" customWidth="1"/>
    <col min="3083" max="3083" width="4" style="1407" customWidth="1"/>
    <col min="3084" max="3084" width="5.109375" style="1407" customWidth="1"/>
    <col min="3085" max="3085" width="13.77734375" style="1407" customWidth="1"/>
    <col min="3086" max="3328" width="9" style="1407"/>
    <col min="3329" max="3329" width="4.88671875" style="1407" customWidth="1"/>
    <col min="3330" max="3330" width="13.21875" style="1407" customWidth="1"/>
    <col min="3331" max="3331" width="15.6640625" style="1407" customWidth="1"/>
    <col min="3332" max="3332" width="9.33203125" style="1407" bestFit="1" customWidth="1"/>
    <col min="3333" max="3333" width="13.44140625" style="1407" customWidth="1"/>
    <col min="3334" max="3334" width="9" style="1407"/>
    <col min="3335" max="3335" width="9.33203125" style="1407" bestFit="1" customWidth="1"/>
    <col min="3336" max="3337" width="9" style="1407"/>
    <col min="3338" max="3338" width="9.33203125" style="1407" bestFit="1" customWidth="1"/>
    <col min="3339" max="3339" width="4" style="1407" customWidth="1"/>
    <col min="3340" max="3340" width="5.109375" style="1407" customWidth="1"/>
    <col min="3341" max="3341" width="13.77734375" style="1407" customWidth="1"/>
    <col min="3342" max="3584" width="9" style="1407"/>
    <col min="3585" max="3585" width="4.88671875" style="1407" customWidth="1"/>
    <col min="3586" max="3586" width="13.21875" style="1407" customWidth="1"/>
    <col min="3587" max="3587" width="15.6640625" style="1407" customWidth="1"/>
    <col min="3588" max="3588" width="9.33203125" style="1407" bestFit="1" customWidth="1"/>
    <col min="3589" max="3589" width="13.44140625" style="1407" customWidth="1"/>
    <col min="3590" max="3590" width="9" style="1407"/>
    <col min="3591" max="3591" width="9.33203125" style="1407" bestFit="1" customWidth="1"/>
    <col min="3592" max="3593" width="9" style="1407"/>
    <col min="3594" max="3594" width="9.33203125" style="1407" bestFit="1" customWidth="1"/>
    <col min="3595" max="3595" width="4" style="1407" customWidth="1"/>
    <col min="3596" max="3596" width="5.109375" style="1407" customWidth="1"/>
    <col min="3597" max="3597" width="13.77734375" style="1407" customWidth="1"/>
    <col min="3598" max="3840" width="9" style="1407"/>
    <col min="3841" max="3841" width="4.88671875" style="1407" customWidth="1"/>
    <col min="3842" max="3842" width="13.21875" style="1407" customWidth="1"/>
    <col min="3843" max="3843" width="15.6640625" style="1407" customWidth="1"/>
    <col min="3844" max="3844" width="9.33203125" style="1407" bestFit="1" customWidth="1"/>
    <col min="3845" max="3845" width="13.44140625" style="1407" customWidth="1"/>
    <col min="3846" max="3846" width="9" style="1407"/>
    <col min="3847" max="3847" width="9.33203125" style="1407" bestFit="1" customWidth="1"/>
    <col min="3848" max="3849" width="9" style="1407"/>
    <col min="3850" max="3850" width="9.33203125" style="1407" bestFit="1" customWidth="1"/>
    <col min="3851" max="3851" width="4" style="1407" customWidth="1"/>
    <col min="3852" max="3852" width="5.109375" style="1407" customWidth="1"/>
    <col min="3853" max="3853" width="13.77734375" style="1407" customWidth="1"/>
    <col min="3854" max="4096" width="9" style="1407"/>
    <col min="4097" max="4097" width="4.88671875" style="1407" customWidth="1"/>
    <col min="4098" max="4098" width="13.21875" style="1407" customWidth="1"/>
    <col min="4099" max="4099" width="15.6640625" style="1407" customWidth="1"/>
    <col min="4100" max="4100" width="9.33203125" style="1407" bestFit="1" customWidth="1"/>
    <col min="4101" max="4101" width="13.44140625" style="1407" customWidth="1"/>
    <col min="4102" max="4102" width="9" style="1407"/>
    <col min="4103" max="4103" width="9.33203125" style="1407" bestFit="1" customWidth="1"/>
    <col min="4104" max="4105" width="9" style="1407"/>
    <col min="4106" max="4106" width="9.33203125" style="1407" bestFit="1" customWidth="1"/>
    <col min="4107" max="4107" width="4" style="1407" customWidth="1"/>
    <col min="4108" max="4108" width="5.109375" style="1407" customWidth="1"/>
    <col min="4109" max="4109" width="13.77734375" style="1407" customWidth="1"/>
    <col min="4110" max="4352" width="9" style="1407"/>
    <col min="4353" max="4353" width="4.88671875" style="1407" customWidth="1"/>
    <col min="4354" max="4354" width="13.21875" style="1407" customWidth="1"/>
    <col min="4355" max="4355" width="15.6640625" style="1407" customWidth="1"/>
    <col min="4356" max="4356" width="9.33203125" style="1407" bestFit="1" customWidth="1"/>
    <col min="4357" max="4357" width="13.44140625" style="1407" customWidth="1"/>
    <col min="4358" max="4358" width="9" style="1407"/>
    <col min="4359" max="4359" width="9.33203125" style="1407" bestFit="1" customWidth="1"/>
    <col min="4360" max="4361" width="9" style="1407"/>
    <col min="4362" max="4362" width="9.33203125" style="1407" bestFit="1" customWidth="1"/>
    <col min="4363" max="4363" width="4" style="1407" customWidth="1"/>
    <col min="4364" max="4364" width="5.109375" style="1407" customWidth="1"/>
    <col min="4365" max="4365" width="13.77734375" style="1407" customWidth="1"/>
    <col min="4366" max="4608" width="9" style="1407"/>
    <col min="4609" max="4609" width="4.88671875" style="1407" customWidth="1"/>
    <col min="4610" max="4610" width="13.21875" style="1407" customWidth="1"/>
    <col min="4611" max="4611" width="15.6640625" style="1407" customWidth="1"/>
    <col min="4612" max="4612" width="9.33203125" style="1407" bestFit="1" customWidth="1"/>
    <col min="4613" max="4613" width="13.44140625" style="1407" customWidth="1"/>
    <col min="4614" max="4614" width="9" style="1407"/>
    <col min="4615" max="4615" width="9.33203125" style="1407" bestFit="1" customWidth="1"/>
    <col min="4616" max="4617" width="9" style="1407"/>
    <col min="4618" max="4618" width="9.33203125" style="1407" bestFit="1" customWidth="1"/>
    <col min="4619" max="4619" width="4" style="1407" customWidth="1"/>
    <col min="4620" max="4620" width="5.109375" style="1407" customWidth="1"/>
    <col min="4621" max="4621" width="13.77734375" style="1407" customWidth="1"/>
    <col min="4622" max="4864" width="9" style="1407"/>
    <col min="4865" max="4865" width="4.88671875" style="1407" customWidth="1"/>
    <col min="4866" max="4866" width="13.21875" style="1407" customWidth="1"/>
    <col min="4867" max="4867" width="15.6640625" style="1407" customWidth="1"/>
    <col min="4868" max="4868" width="9.33203125" style="1407" bestFit="1" customWidth="1"/>
    <col min="4869" max="4869" width="13.44140625" style="1407" customWidth="1"/>
    <col min="4870" max="4870" width="9" style="1407"/>
    <col min="4871" max="4871" width="9.33203125" style="1407" bestFit="1" customWidth="1"/>
    <col min="4872" max="4873" width="9" style="1407"/>
    <col min="4874" max="4874" width="9.33203125" style="1407" bestFit="1" customWidth="1"/>
    <col min="4875" max="4875" width="4" style="1407" customWidth="1"/>
    <col min="4876" max="4876" width="5.109375" style="1407" customWidth="1"/>
    <col min="4877" max="4877" width="13.77734375" style="1407" customWidth="1"/>
    <col min="4878" max="5120" width="9" style="1407"/>
    <col min="5121" max="5121" width="4.88671875" style="1407" customWidth="1"/>
    <col min="5122" max="5122" width="13.21875" style="1407" customWidth="1"/>
    <col min="5123" max="5123" width="15.6640625" style="1407" customWidth="1"/>
    <col min="5124" max="5124" width="9.33203125" style="1407" bestFit="1" customWidth="1"/>
    <col min="5125" max="5125" width="13.44140625" style="1407" customWidth="1"/>
    <col min="5126" max="5126" width="9" style="1407"/>
    <col min="5127" max="5127" width="9.33203125" style="1407" bestFit="1" customWidth="1"/>
    <col min="5128" max="5129" width="9" style="1407"/>
    <col min="5130" max="5130" width="9.33203125" style="1407" bestFit="1" customWidth="1"/>
    <col min="5131" max="5131" width="4" style="1407" customWidth="1"/>
    <col min="5132" max="5132" width="5.109375" style="1407" customWidth="1"/>
    <col min="5133" max="5133" width="13.77734375" style="1407" customWidth="1"/>
    <col min="5134" max="5376" width="9" style="1407"/>
    <col min="5377" max="5377" width="4.88671875" style="1407" customWidth="1"/>
    <col min="5378" max="5378" width="13.21875" style="1407" customWidth="1"/>
    <col min="5379" max="5379" width="15.6640625" style="1407" customWidth="1"/>
    <col min="5380" max="5380" width="9.33203125" style="1407" bestFit="1" customWidth="1"/>
    <col min="5381" max="5381" width="13.44140625" style="1407" customWidth="1"/>
    <col min="5382" max="5382" width="9" style="1407"/>
    <col min="5383" max="5383" width="9.33203125" style="1407" bestFit="1" customWidth="1"/>
    <col min="5384" max="5385" width="9" style="1407"/>
    <col min="5386" max="5386" width="9.33203125" style="1407" bestFit="1" customWidth="1"/>
    <col min="5387" max="5387" width="4" style="1407" customWidth="1"/>
    <col min="5388" max="5388" width="5.109375" style="1407" customWidth="1"/>
    <col min="5389" max="5389" width="13.77734375" style="1407" customWidth="1"/>
    <col min="5390" max="5632" width="9" style="1407"/>
    <col min="5633" max="5633" width="4.88671875" style="1407" customWidth="1"/>
    <col min="5634" max="5634" width="13.21875" style="1407" customWidth="1"/>
    <col min="5635" max="5635" width="15.6640625" style="1407" customWidth="1"/>
    <col min="5636" max="5636" width="9.33203125" style="1407" bestFit="1" customWidth="1"/>
    <col min="5637" max="5637" width="13.44140625" style="1407" customWidth="1"/>
    <col min="5638" max="5638" width="9" style="1407"/>
    <col min="5639" max="5639" width="9.33203125" style="1407" bestFit="1" customWidth="1"/>
    <col min="5640" max="5641" width="9" style="1407"/>
    <col min="5642" max="5642" width="9.33203125" style="1407" bestFit="1" customWidth="1"/>
    <col min="5643" max="5643" width="4" style="1407" customWidth="1"/>
    <col min="5644" max="5644" width="5.109375" style="1407" customWidth="1"/>
    <col min="5645" max="5645" width="13.77734375" style="1407" customWidth="1"/>
    <col min="5646" max="5888" width="9" style="1407"/>
    <col min="5889" max="5889" width="4.88671875" style="1407" customWidth="1"/>
    <col min="5890" max="5890" width="13.21875" style="1407" customWidth="1"/>
    <col min="5891" max="5891" width="15.6640625" style="1407" customWidth="1"/>
    <col min="5892" max="5892" width="9.33203125" style="1407" bestFit="1" customWidth="1"/>
    <col min="5893" max="5893" width="13.44140625" style="1407" customWidth="1"/>
    <col min="5894" max="5894" width="9" style="1407"/>
    <col min="5895" max="5895" width="9.33203125" style="1407" bestFit="1" customWidth="1"/>
    <col min="5896" max="5897" width="9" style="1407"/>
    <col min="5898" max="5898" width="9.33203125" style="1407" bestFit="1" customWidth="1"/>
    <col min="5899" max="5899" width="4" style="1407" customWidth="1"/>
    <col min="5900" max="5900" width="5.109375" style="1407" customWidth="1"/>
    <col min="5901" max="5901" width="13.77734375" style="1407" customWidth="1"/>
    <col min="5902" max="6144" width="9" style="1407"/>
    <col min="6145" max="6145" width="4.88671875" style="1407" customWidth="1"/>
    <col min="6146" max="6146" width="13.21875" style="1407" customWidth="1"/>
    <col min="6147" max="6147" width="15.6640625" style="1407" customWidth="1"/>
    <col min="6148" max="6148" width="9.33203125" style="1407" bestFit="1" customWidth="1"/>
    <col min="6149" max="6149" width="13.44140625" style="1407" customWidth="1"/>
    <col min="6150" max="6150" width="9" style="1407"/>
    <col min="6151" max="6151" width="9.33203125" style="1407" bestFit="1" customWidth="1"/>
    <col min="6152" max="6153" width="9" style="1407"/>
    <col min="6154" max="6154" width="9.33203125" style="1407" bestFit="1" customWidth="1"/>
    <col min="6155" max="6155" width="4" style="1407" customWidth="1"/>
    <col min="6156" max="6156" width="5.109375" style="1407" customWidth="1"/>
    <col min="6157" max="6157" width="13.77734375" style="1407" customWidth="1"/>
    <col min="6158" max="6400" width="9" style="1407"/>
    <col min="6401" max="6401" width="4.88671875" style="1407" customWidth="1"/>
    <col min="6402" max="6402" width="13.21875" style="1407" customWidth="1"/>
    <col min="6403" max="6403" width="15.6640625" style="1407" customWidth="1"/>
    <col min="6404" max="6404" width="9.33203125" style="1407" bestFit="1" customWidth="1"/>
    <col min="6405" max="6405" width="13.44140625" style="1407" customWidth="1"/>
    <col min="6406" max="6406" width="9" style="1407"/>
    <col min="6407" max="6407" width="9.33203125" style="1407" bestFit="1" customWidth="1"/>
    <col min="6408" max="6409" width="9" style="1407"/>
    <col min="6410" max="6410" width="9.33203125" style="1407" bestFit="1" customWidth="1"/>
    <col min="6411" max="6411" width="4" style="1407" customWidth="1"/>
    <col min="6412" max="6412" width="5.109375" style="1407" customWidth="1"/>
    <col min="6413" max="6413" width="13.77734375" style="1407" customWidth="1"/>
    <col min="6414" max="6656" width="9" style="1407"/>
    <col min="6657" max="6657" width="4.88671875" style="1407" customWidth="1"/>
    <col min="6658" max="6658" width="13.21875" style="1407" customWidth="1"/>
    <col min="6659" max="6659" width="15.6640625" style="1407" customWidth="1"/>
    <col min="6660" max="6660" width="9.33203125" style="1407" bestFit="1" customWidth="1"/>
    <col min="6661" max="6661" width="13.44140625" style="1407" customWidth="1"/>
    <col min="6662" max="6662" width="9" style="1407"/>
    <col min="6663" max="6663" width="9.33203125" style="1407" bestFit="1" customWidth="1"/>
    <col min="6664" max="6665" width="9" style="1407"/>
    <col min="6666" max="6666" width="9.33203125" style="1407" bestFit="1" customWidth="1"/>
    <col min="6667" max="6667" width="4" style="1407" customWidth="1"/>
    <col min="6668" max="6668" width="5.109375" style="1407" customWidth="1"/>
    <col min="6669" max="6669" width="13.77734375" style="1407" customWidth="1"/>
    <col min="6670" max="6912" width="9" style="1407"/>
    <col min="6913" max="6913" width="4.88671875" style="1407" customWidth="1"/>
    <col min="6914" max="6914" width="13.21875" style="1407" customWidth="1"/>
    <col min="6915" max="6915" width="15.6640625" style="1407" customWidth="1"/>
    <col min="6916" max="6916" width="9.33203125" style="1407" bestFit="1" customWidth="1"/>
    <col min="6917" max="6917" width="13.44140625" style="1407" customWidth="1"/>
    <col min="6918" max="6918" width="9" style="1407"/>
    <col min="6919" max="6919" width="9.33203125" style="1407" bestFit="1" customWidth="1"/>
    <col min="6920" max="6921" width="9" style="1407"/>
    <col min="6922" max="6922" width="9.33203125" style="1407" bestFit="1" customWidth="1"/>
    <col min="6923" max="6923" width="4" style="1407" customWidth="1"/>
    <col min="6924" max="6924" width="5.109375" style="1407" customWidth="1"/>
    <col min="6925" max="6925" width="13.77734375" style="1407" customWidth="1"/>
    <col min="6926" max="7168" width="9" style="1407"/>
    <col min="7169" max="7169" width="4.88671875" style="1407" customWidth="1"/>
    <col min="7170" max="7170" width="13.21875" style="1407" customWidth="1"/>
    <col min="7171" max="7171" width="15.6640625" style="1407" customWidth="1"/>
    <col min="7172" max="7172" width="9.33203125" style="1407" bestFit="1" customWidth="1"/>
    <col min="7173" max="7173" width="13.44140625" style="1407" customWidth="1"/>
    <col min="7174" max="7174" width="9" style="1407"/>
    <col min="7175" max="7175" width="9.33203125" style="1407" bestFit="1" customWidth="1"/>
    <col min="7176" max="7177" width="9" style="1407"/>
    <col min="7178" max="7178" width="9.33203125" style="1407" bestFit="1" customWidth="1"/>
    <col min="7179" max="7179" width="4" style="1407" customWidth="1"/>
    <col min="7180" max="7180" width="5.109375" style="1407" customWidth="1"/>
    <col min="7181" max="7181" width="13.77734375" style="1407" customWidth="1"/>
    <col min="7182" max="7424" width="9" style="1407"/>
    <col min="7425" max="7425" width="4.88671875" style="1407" customWidth="1"/>
    <col min="7426" max="7426" width="13.21875" style="1407" customWidth="1"/>
    <col min="7427" max="7427" width="15.6640625" style="1407" customWidth="1"/>
    <col min="7428" max="7428" width="9.33203125" style="1407" bestFit="1" customWidth="1"/>
    <col min="7429" max="7429" width="13.44140625" style="1407" customWidth="1"/>
    <col min="7430" max="7430" width="9" style="1407"/>
    <col min="7431" max="7431" width="9.33203125" style="1407" bestFit="1" customWidth="1"/>
    <col min="7432" max="7433" width="9" style="1407"/>
    <col min="7434" max="7434" width="9.33203125" style="1407" bestFit="1" customWidth="1"/>
    <col min="7435" max="7435" width="4" style="1407" customWidth="1"/>
    <col min="7436" max="7436" width="5.109375" style="1407" customWidth="1"/>
    <col min="7437" max="7437" width="13.77734375" style="1407" customWidth="1"/>
    <col min="7438" max="7680" width="9" style="1407"/>
    <col min="7681" max="7681" width="4.88671875" style="1407" customWidth="1"/>
    <col min="7682" max="7682" width="13.21875" style="1407" customWidth="1"/>
    <col min="7683" max="7683" width="15.6640625" style="1407" customWidth="1"/>
    <col min="7684" max="7684" width="9.33203125" style="1407" bestFit="1" customWidth="1"/>
    <col min="7685" max="7685" width="13.44140625" style="1407" customWidth="1"/>
    <col min="7686" max="7686" width="9" style="1407"/>
    <col min="7687" max="7687" width="9.33203125" style="1407" bestFit="1" customWidth="1"/>
    <col min="7688" max="7689" width="9" style="1407"/>
    <col min="7690" max="7690" width="9.33203125" style="1407" bestFit="1" customWidth="1"/>
    <col min="7691" max="7691" width="4" style="1407" customWidth="1"/>
    <col min="7692" max="7692" width="5.109375" style="1407" customWidth="1"/>
    <col min="7693" max="7693" width="13.77734375" style="1407" customWidth="1"/>
    <col min="7694" max="7936" width="9" style="1407"/>
    <col min="7937" max="7937" width="4.88671875" style="1407" customWidth="1"/>
    <col min="7938" max="7938" width="13.21875" style="1407" customWidth="1"/>
    <col min="7939" max="7939" width="15.6640625" style="1407" customWidth="1"/>
    <col min="7940" max="7940" width="9.33203125" style="1407" bestFit="1" customWidth="1"/>
    <col min="7941" max="7941" width="13.44140625" style="1407" customWidth="1"/>
    <col min="7942" max="7942" width="9" style="1407"/>
    <col min="7943" max="7943" width="9.33203125" style="1407" bestFit="1" customWidth="1"/>
    <col min="7944" max="7945" width="9" style="1407"/>
    <col min="7946" max="7946" width="9.33203125" style="1407" bestFit="1" customWidth="1"/>
    <col min="7947" max="7947" width="4" style="1407" customWidth="1"/>
    <col min="7948" max="7948" width="5.109375" style="1407" customWidth="1"/>
    <col min="7949" max="7949" width="13.77734375" style="1407" customWidth="1"/>
    <col min="7950" max="8192" width="9" style="1407"/>
    <col min="8193" max="8193" width="4.88671875" style="1407" customWidth="1"/>
    <col min="8194" max="8194" width="13.21875" style="1407" customWidth="1"/>
    <col min="8195" max="8195" width="15.6640625" style="1407" customWidth="1"/>
    <col min="8196" max="8196" width="9.33203125" style="1407" bestFit="1" customWidth="1"/>
    <col min="8197" max="8197" width="13.44140625" style="1407" customWidth="1"/>
    <col min="8198" max="8198" width="9" style="1407"/>
    <col min="8199" max="8199" width="9.33203125" style="1407" bestFit="1" customWidth="1"/>
    <col min="8200" max="8201" width="9" style="1407"/>
    <col min="8202" max="8202" width="9.33203125" style="1407" bestFit="1" customWidth="1"/>
    <col min="8203" max="8203" width="4" style="1407" customWidth="1"/>
    <col min="8204" max="8204" width="5.109375" style="1407" customWidth="1"/>
    <col min="8205" max="8205" width="13.77734375" style="1407" customWidth="1"/>
    <col min="8206" max="8448" width="9" style="1407"/>
    <col min="8449" max="8449" width="4.88671875" style="1407" customWidth="1"/>
    <col min="8450" max="8450" width="13.21875" style="1407" customWidth="1"/>
    <col min="8451" max="8451" width="15.6640625" style="1407" customWidth="1"/>
    <col min="8452" max="8452" width="9.33203125" style="1407" bestFit="1" customWidth="1"/>
    <col min="8453" max="8453" width="13.44140625" style="1407" customWidth="1"/>
    <col min="8454" max="8454" width="9" style="1407"/>
    <col min="8455" max="8455" width="9.33203125" style="1407" bestFit="1" customWidth="1"/>
    <col min="8456" max="8457" width="9" style="1407"/>
    <col min="8458" max="8458" width="9.33203125" style="1407" bestFit="1" customWidth="1"/>
    <col min="8459" max="8459" width="4" style="1407" customWidth="1"/>
    <col min="8460" max="8460" width="5.109375" style="1407" customWidth="1"/>
    <col min="8461" max="8461" width="13.77734375" style="1407" customWidth="1"/>
    <col min="8462" max="8704" width="9" style="1407"/>
    <col min="8705" max="8705" width="4.88671875" style="1407" customWidth="1"/>
    <col min="8706" max="8706" width="13.21875" style="1407" customWidth="1"/>
    <col min="8707" max="8707" width="15.6640625" style="1407" customWidth="1"/>
    <col min="8708" max="8708" width="9.33203125" style="1407" bestFit="1" customWidth="1"/>
    <col min="8709" max="8709" width="13.44140625" style="1407" customWidth="1"/>
    <col min="8710" max="8710" width="9" style="1407"/>
    <col min="8711" max="8711" width="9.33203125" style="1407" bestFit="1" customWidth="1"/>
    <col min="8712" max="8713" width="9" style="1407"/>
    <col min="8714" max="8714" width="9.33203125" style="1407" bestFit="1" customWidth="1"/>
    <col min="8715" max="8715" width="4" style="1407" customWidth="1"/>
    <col min="8716" max="8716" width="5.109375" style="1407" customWidth="1"/>
    <col min="8717" max="8717" width="13.77734375" style="1407" customWidth="1"/>
    <col min="8718" max="8960" width="9" style="1407"/>
    <col min="8961" max="8961" width="4.88671875" style="1407" customWidth="1"/>
    <col min="8962" max="8962" width="13.21875" style="1407" customWidth="1"/>
    <col min="8963" max="8963" width="15.6640625" style="1407" customWidth="1"/>
    <col min="8964" max="8964" width="9.33203125" style="1407" bestFit="1" customWidth="1"/>
    <col min="8965" max="8965" width="13.44140625" style="1407" customWidth="1"/>
    <col min="8966" max="8966" width="9" style="1407"/>
    <col min="8967" max="8967" width="9.33203125" style="1407" bestFit="1" customWidth="1"/>
    <col min="8968" max="8969" width="9" style="1407"/>
    <col min="8970" max="8970" width="9.33203125" style="1407" bestFit="1" customWidth="1"/>
    <col min="8971" max="8971" width="4" style="1407" customWidth="1"/>
    <col min="8972" max="8972" width="5.109375" style="1407" customWidth="1"/>
    <col min="8973" max="8973" width="13.77734375" style="1407" customWidth="1"/>
    <col min="8974" max="9216" width="9" style="1407"/>
    <col min="9217" max="9217" width="4.88671875" style="1407" customWidth="1"/>
    <col min="9218" max="9218" width="13.21875" style="1407" customWidth="1"/>
    <col min="9219" max="9219" width="15.6640625" style="1407" customWidth="1"/>
    <col min="9220" max="9220" width="9.33203125" style="1407" bestFit="1" customWidth="1"/>
    <col min="9221" max="9221" width="13.44140625" style="1407" customWidth="1"/>
    <col min="9222" max="9222" width="9" style="1407"/>
    <col min="9223" max="9223" width="9.33203125" style="1407" bestFit="1" customWidth="1"/>
    <col min="9224" max="9225" width="9" style="1407"/>
    <col min="9226" max="9226" width="9.33203125" style="1407" bestFit="1" customWidth="1"/>
    <col min="9227" max="9227" width="4" style="1407" customWidth="1"/>
    <col min="9228" max="9228" width="5.109375" style="1407" customWidth="1"/>
    <col min="9229" max="9229" width="13.77734375" style="1407" customWidth="1"/>
    <col min="9230" max="9472" width="9" style="1407"/>
    <col min="9473" max="9473" width="4.88671875" style="1407" customWidth="1"/>
    <col min="9474" max="9474" width="13.21875" style="1407" customWidth="1"/>
    <col min="9475" max="9475" width="15.6640625" style="1407" customWidth="1"/>
    <col min="9476" max="9476" width="9.33203125" style="1407" bestFit="1" customWidth="1"/>
    <col min="9477" max="9477" width="13.44140625" style="1407" customWidth="1"/>
    <col min="9478" max="9478" width="9" style="1407"/>
    <col min="9479" max="9479" width="9.33203125" style="1407" bestFit="1" customWidth="1"/>
    <col min="9480" max="9481" width="9" style="1407"/>
    <col min="9482" max="9482" width="9.33203125" style="1407" bestFit="1" customWidth="1"/>
    <col min="9483" max="9483" width="4" style="1407" customWidth="1"/>
    <col min="9484" max="9484" width="5.109375" style="1407" customWidth="1"/>
    <col min="9485" max="9485" width="13.77734375" style="1407" customWidth="1"/>
    <col min="9486" max="9728" width="9" style="1407"/>
    <col min="9729" max="9729" width="4.88671875" style="1407" customWidth="1"/>
    <col min="9730" max="9730" width="13.21875" style="1407" customWidth="1"/>
    <col min="9731" max="9731" width="15.6640625" style="1407" customWidth="1"/>
    <col min="9732" max="9732" width="9.33203125" style="1407" bestFit="1" customWidth="1"/>
    <col min="9733" max="9733" width="13.44140625" style="1407" customWidth="1"/>
    <col min="9734" max="9734" width="9" style="1407"/>
    <col min="9735" max="9735" width="9.33203125" style="1407" bestFit="1" customWidth="1"/>
    <col min="9736" max="9737" width="9" style="1407"/>
    <col min="9738" max="9738" width="9.33203125" style="1407" bestFit="1" customWidth="1"/>
    <col min="9739" max="9739" width="4" style="1407" customWidth="1"/>
    <col min="9740" max="9740" width="5.109375" style="1407" customWidth="1"/>
    <col min="9741" max="9741" width="13.77734375" style="1407" customWidth="1"/>
    <col min="9742" max="9984" width="9" style="1407"/>
    <col min="9985" max="9985" width="4.88671875" style="1407" customWidth="1"/>
    <col min="9986" max="9986" width="13.21875" style="1407" customWidth="1"/>
    <col min="9987" max="9987" width="15.6640625" style="1407" customWidth="1"/>
    <col min="9988" max="9988" width="9.33203125" style="1407" bestFit="1" customWidth="1"/>
    <col min="9989" max="9989" width="13.44140625" style="1407" customWidth="1"/>
    <col min="9990" max="9990" width="9" style="1407"/>
    <col min="9991" max="9991" width="9.33203125" style="1407" bestFit="1" customWidth="1"/>
    <col min="9992" max="9993" width="9" style="1407"/>
    <col min="9994" max="9994" width="9.33203125" style="1407" bestFit="1" customWidth="1"/>
    <col min="9995" max="9995" width="4" style="1407" customWidth="1"/>
    <col min="9996" max="9996" width="5.109375" style="1407" customWidth="1"/>
    <col min="9997" max="9997" width="13.77734375" style="1407" customWidth="1"/>
    <col min="9998" max="10240" width="9" style="1407"/>
    <col min="10241" max="10241" width="4.88671875" style="1407" customWidth="1"/>
    <col min="10242" max="10242" width="13.21875" style="1407" customWidth="1"/>
    <col min="10243" max="10243" width="15.6640625" style="1407" customWidth="1"/>
    <col min="10244" max="10244" width="9.33203125" style="1407" bestFit="1" customWidth="1"/>
    <col min="10245" max="10245" width="13.44140625" style="1407" customWidth="1"/>
    <col min="10246" max="10246" width="9" style="1407"/>
    <col min="10247" max="10247" width="9.33203125" style="1407" bestFit="1" customWidth="1"/>
    <col min="10248" max="10249" width="9" style="1407"/>
    <col min="10250" max="10250" width="9.33203125" style="1407" bestFit="1" customWidth="1"/>
    <col min="10251" max="10251" width="4" style="1407" customWidth="1"/>
    <col min="10252" max="10252" width="5.109375" style="1407" customWidth="1"/>
    <col min="10253" max="10253" width="13.77734375" style="1407" customWidth="1"/>
    <col min="10254" max="10496" width="9" style="1407"/>
    <col min="10497" max="10497" width="4.88671875" style="1407" customWidth="1"/>
    <col min="10498" max="10498" width="13.21875" style="1407" customWidth="1"/>
    <col min="10499" max="10499" width="15.6640625" style="1407" customWidth="1"/>
    <col min="10500" max="10500" width="9.33203125" style="1407" bestFit="1" customWidth="1"/>
    <col min="10501" max="10501" width="13.44140625" style="1407" customWidth="1"/>
    <col min="10502" max="10502" width="9" style="1407"/>
    <col min="10503" max="10503" width="9.33203125" style="1407" bestFit="1" customWidth="1"/>
    <col min="10504" max="10505" width="9" style="1407"/>
    <col min="10506" max="10506" width="9.33203125" style="1407" bestFit="1" customWidth="1"/>
    <col min="10507" max="10507" width="4" style="1407" customWidth="1"/>
    <col min="10508" max="10508" width="5.109375" style="1407" customWidth="1"/>
    <col min="10509" max="10509" width="13.77734375" style="1407" customWidth="1"/>
    <col min="10510" max="10752" width="9" style="1407"/>
    <col min="10753" max="10753" width="4.88671875" style="1407" customWidth="1"/>
    <col min="10754" max="10754" width="13.21875" style="1407" customWidth="1"/>
    <col min="10755" max="10755" width="15.6640625" style="1407" customWidth="1"/>
    <col min="10756" max="10756" width="9.33203125" style="1407" bestFit="1" customWidth="1"/>
    <col min="10757" max="10757" width="13.44140625" style="1407" customWidth="1"/>
    <col min="10758" max="10758" width="9" style="1407"/>
    <col min="10759" max="10759" width="9.33203125" style="1407" bestFit="1" customWidth="1"/>
    <col min="10760" max="10761" width="9" style="1407"/>
    <col min="10762" max="10762" width="9.33203125" style="1407" bestFit="1" customWidth="1"/>
    <col min="10763" max="10763" width="4" style="1407" customWidth="1"/>
    <col min="10764" max="10764" width="5.109375" style="1407" customWidth="1"/>
    <col min="10765" max="10765" width="13.77734375" style="1407" customWidth="1"/>
    <col min="10766" max="11008" width="9" style="1407"/>
    <col min="11009" max="11009" width="4.88671875" style="1407" customWidth="1"/>
    <col min="11010" max="11010" width="13.21875" style="1407" customWidth="1"/>
    <col min="11011" max="11011" width="15.6640625" style="1407" customWidth="1"/>
    <col min="11012" max="11012" width="9.33203125" style="1407" bestFit="1" customWidth="1"/>
    <col min="11013" max="11013" width="13.44140625" style="1407" customWidth="1"/>
    <col min="11014" max="11014" width="9" style="1407"/>
    <col min="11015" max="11015" width="9.33203125" style="1407" bestFit="1" customWidth="1"/>
    <col min="11016" max="11017" width="9" style="1407"/>
    <col min="11018" max="11018" width="9.33203125" style="1407" bestFit="1" customWidth="1"/>
    <col min="11019" max="11019" width="4" style="1407" customWidth="1"/>
    <col min="11020" max="11020" width="5.109375" style="1407" customWidth="1"/>
    <col min="11021" max="11021" width="13.77734375" style="1407" customWidth="1"/>
    <col min="11022" max="11264" width="9" style="1407"/>
    <col min="11265" max="11265" width="4.88671875" style="1407" customWidth="1"/>
    <col min="11266" max="11266" width="13.21875" style="1407" customWidth="1"/>
    <col min="11267" max="11267" width="15.6640625" style="1407" customWidth="1"/>
    <col min="11268" max="11268" width="9.33203125" style="1407" bestFit="1" customWidth="1"/>
    <col min="11269" max="11269" width="13.44140625" style="1407" customWidth="1"/>
    <col min="11270" max="11270" width="9" style="1407"/>
    <col min="11271" max="11271" width="9.33203125" style="1407" bestFit="1" customWidth="1"/>
    <col min="11272" max="11273" width="9" style="1407"/>
    <col min="11274" max="11274" width="9.33203125" style="1407" bestFit="1" customWidth="1"/>
    <col min="11275" max="11275" width="4" style="1407" customWidth="1"/>
    <col min="11276" max="11276" width="5.109375" style="1407" customWidth="1"/>
    <col min="11277" max="11277" width="13.77734375" style="1407" customWidth="1"/>
    <col min="11278" max="11520" width="9" style="1407"/>
    <col min="11521" max="11521" width="4.88671875" style="1407" customWidth="1"/>
    <col min="11522" max="11522" width="13.21875" style="1407" customWidth="1"/>
    <col min="11523" max="11523" width="15.6640625" style="1407" customWidth="1"/>
    <col min="11524" max="11524" width="9.33203125" style="1407" bestFit="1" customWidth="1"/>
    <col min="11525" max="11525" width="13.44140625" style="1407" customWidth="1"/>
    <col min="11526" max="11526" width="9" style="1407"/>
    <col min="11527" max="11527" width="9.33203125" style="1407" bestFit="1" customWidth="1"/>
    <col min="11528" max="11529" width="9" style="1407"/>
    <col min="11530" max="11530" width="9.33203125" style="1407" bestFit="1" customWidth="1"/>
    <col min="11531" max="11531" width="4" style="1407" customWidth="1"/>
    <col min="11532" max="11532" width="5.109375" style="1407" customWidth="1"/>
    <col min="11533" max="11533" width="13.77734375" style="1407" customWidth="1"/>
    <col min="11534" max="11776" width="9" style="1407"/>
    <col min="11777" max="11777" width="4.88671875" style="1407" customWidth="1"/>
    <col min="11778" max="11778" width="13.21875" style="1407" customWidth="1"/>
    <col min="11779" max="11779" width="15.6640625" style="1407" customWidth="1"/>
    <col min="11780" max="11780" width="9.33203125" style="1407" bestFit="1" customWidth="1"/>
    <col min="11781" max="11781" width="13.44140625" style="1407" customWidth="1"/>
    <col min="11782" max="11782" width="9" style="1407"/>
    <col min="11783" max="11783" width="9.33203125" style="1407" bestFit="1" customWidth="1"/>
    <col min="11784" max="11785" width="9" style="1407"/>
    <col min="11786" max="11786" width="9.33203125" style="1407" bestFit="1" customWidth="1"/>
    <col min="11787" max="11787" width="4" style="1407" customWidth="1"/>
    <col min="11788" max="11788" width="5.109375" style="1407" customWidth="1"/>
    <col min="11789" max="11789" width="13.77734375" style="1407" customWidth="1"/>
    <col min="11790" max="12032" width="9" style="1407"/>
    <col min="12033" max="12033" width="4.88671875" style="1407" customWidth="1"/>
    <col min="12034" max="12034" width="13.21875" style="1407" customWidth="1"/>
    <col min="12035" max="12035" width="15.6640625" style="1407" customWidth="1"/>
    <col min="12036" max="12036" width="9.33203125" style="1407" bestFit="1" customWidth="1"/>
    <col min="12037" max="12037" width="13.44140625" style="1407" customWidth="1"/>
    <col min="12038" max="12038" width="9" style="1407"/>
    <col min="12039" max="12039" width="9.33203125" style="1407" bestFit="1" customWidth="1"/>
    <col min="12040" max="12041" width="9" style="1407"/>
    <col min="12042" max="12042" width="9.33203125" style="1407" bestFit="1" customWidth="1"/>
    <col min="12043" max="12043" width="4" style="1407" customWidth="1"/>
    <col min="12044" max="12044" width="5.109375" style="1407" customWidth="1"/>
    <col min="12045" max="12045" width="13.77734375" style="1407" customWidth="1"/>
    <col min="12046" max="12288" width="9" style="1407"/>
    <col min="12289" max="12289" width="4.88671875" style="1407" customWidth="1"/>
    <col min="12290" max="12290" width="13.21875" style="1407" customWidth="1"/>
    <col min="12291" max="12291" width="15.6640625" style="1407" customWidth="1"/>
    <col min="12292" max="12292" width="9.33203125" style="1407" bestFit="1" customWidth="1"/>
    <col min="12293" max="12293" width="13.44140625" style="1407" customWidth="1"/>
    <col min="12294" max="12294" width="9" style="1407"/>
    <col min="12295" max="12295" width="9.33203125" style="1407" bestFit="1" customWidth="1"/>
    <col min="12296" max="12297" width="9" style="1407"/>
    <col min="12298" max="12298" width="9.33203125" style="1407" bestFit="1" customWidth="1"/>
    <col min="12299" max="12299" width="4" style="1407" customWidth="1"/>
    <col min="12300" max="12300" width="5.109375" style="1407" customWidth="1"/>
    <col min="12301" max="12301" width="13.77734375" style="1407" customWidth="1"/>
    <col min="12302" max="12544" width="9" style="1407"/>
    <col min="12545" max="12545" width="4.88671875" style="1407" customWidth="1"/>
    <col min="12546" max="12546" width="13.21875" style="1407" customWidth="1"/>
    <col min="12547" max="12547" width="15.6640625" style="1407" customWidth="1"/>
    <col min="12548" max="12548" width="9.33203125" style="1407" bestFit="1" customWidth="1"/>
    <col min="12549" max="12549" width="13.44140625" style="1407" customWidth="1"/>
    <col min="12550" max="12550" width="9" style="1407"/>
    <col min="12551" max="12551" width="9.33203125" style="1407" bestFit="1" customWidth="1"/>
    <col min="12552" max="12553" width="9" style="1407"/>
    <col min="12554" max="12554" width="9.33203125" style="1407" bestFit="1" customWidth="1"/>
    <col min="12555" max="12555" width="4" style="1407" customWidth="1"/>
    <col min="12556" max="12556" width="5.109375" style="1407" customWidth="1"/>
    <col min="12557" max="12557" width="13.77734375" style="1407" customWidth="1"/>
    <col min="12558" max="12800" width="9" style="1407"/>
    <col min="12801" max="12801" width="4.88671875" style="1407" customWidth="1"/>
    <col min="12802" max="12802" width="13.21875" style="1407" customWidth="1"/>
    <col min="12803" max="12803" width="15.6640625" style="1407" customWidth="1"/>
    <col min="12804" max="12804" width="9.33203125" style="1407" bestFit="1" customWidth="1"/>
    <col min="12805" max="12805" width="13.44140625" style="1407" customWidth="1"/>
    <col min="12806" max="12806" width="9" style="1407"/>
    <col min="12807" max="12807" width="9.33203125" style="1407" bestFit="1" customWidth="1"/>
    <col min="12808" max="12809" width="9" style="1407"/>
    <col min="12810" max="12810" width="9.33203125" style="1407" bestFit="1" customWidth="1"/>
    <col min="12811" max="12811" width="4" style="1407" customWidth="1"/>
    <col min="12812" max="12812" width="5.109375" style="1407" customWidth="1"/>
    <col min="12813" max="12813" width="13.77734375" style="1407" customWidth="1"/>
    <col min="12814" max="13056" width="9" style="1407"/>
    <col min="13057" max="13057" width="4.88671875" style="1407" customWidth="1"/>
    <col min="13058" max="13058" width="13.21875" style="1407" customWidth="1"/>
    <col min="13059" max="13059" width="15.6640625" style="1407" customWidth="1"/>
    <col min="13060" max="13060" width="9.33203125" style="1407" bestFit="1" customWidth="1"/>
    <col min="13061" max="13061" width="13.44140625" style="1407" customWidth="1"/>
    <col min="13062" max="13062" width="9" style="1407"/>
    <col min="13063" max="13063" width="9.33203125" style="1407" bestFit="1" customWidth="1"/>
    <col min="13064" max="13065" width="9" style="1407"/>
    <col min="13066" max="13066" width="9.33203125" style="1407" bestFit="1" customWidth="1"/>
    <col min="13067" max="13067" width="4" style="1407" customWidth="1"/>
    <col min="13068" max="13068" width="5.109375" style="1407" customWidth="1"/>
    <col min="13069" max="13069" width="13.77734375" style="1407" customWidth="1"/>
    <col min="13070" max="13312" width="9" style="1407"/>
    <col min="13313" max="13313" width="4.88671875" style="1407" customWidth="1"/>
    <col min="13314" max="13314" width="13.21875" style="1407" customWidth="1"/>
    <col min="13315" max="13315" width="15.6640625" style="1407" customWidth="1"/>
    <col min="13316" max="13316" width="9.33203125" style="1407" bestFit="1" customWidth="1"/>
    <col min="13317" max="13317" width="13.44140625" style="1407" customWidth="1"/>
    <col min="13318" max="13318" width="9" style="1407"/>
    <col min="13319" max="13319" width="9.33203125" style="1407" bestFit="1" customWidth="1"/>
    <col min="13320" max="13321" width="9" style="1407"/>
    <col min="13322" max="13322" width="9.33203125" style="1407" bestFit="1" customWidth="1"/>
    <col min="13323" max="13323" width="4" style="1407" customWidth="1"/>
    <col min="13324" max="13324" width="5.109375" style="1407" customWidth="1"/>
    <col min="13325" max="13325" width="13.77734375" style="1407" customWidth="1"/>
    <col min="13326" max="13568" width="9" style="1407"/>
    <col min="13569" max="13569" width="4.88671875" style="1407" customWidth="1"/>
    <col min="13570" max="13570" width="13.21875" style="1407" customWidth="1"/>
    <col min="13571" max="13571" width="15.6640625" style="1407" customWidth="1"/>
    <col min="13572" max="13572" width="9.33203125" style="1407" bestFit="1" customWidth="1"/>
    <col min="13573" max="13573" width="13.44140625" style="1407" customWidth="1"/>
    <col min="13574" max="13574" width="9" style="1407"/>
    <col min="13575" max="13575" width="9.33203125" style="1407" bestFit="1" customWidth="1"/>
    <col min="13576" max="13577" width="9" style="1407"/>
    <col min="13578" max="13578" width="9.33203125" style="1407" bestFit="1" customWidth="1"/>
    <col min="13579" max="13579" width="4" style="1407" customWidth="1"/>
    <col min="13580" max="13580" width="5.109375" style="1407" customWidth="1"/>
    <col min="13581" max="13581" width="13.77734375" style="1407" customWidth="1"/>
    <col min="13582" max="13824" width="9" style="1407"/>
    <col min="13825" max="13825" width="4.88671875" style="1407" customWidth="1"/>
    <col min="13826" max="13826" width="13.21875" style="1407" customWidth="1"/>
    <col min="13827" max="13827" width="15.6640625" style="1407" customWidth="1"/>
    <col min="13828" max="13828" width="9.33203125" style="1407" bestFit="1" customWidth="1"/>
    <col min="13829" max="13829" width="13.44140625" style="1407" customWidth="1"/>
    <col min="13830" max="13830" width="9" style="1407"/>
    <col min="13831" max="13831" width="9.33203125" style="1407" bestFit="1" customWidth="1"/>
    <col min="13832" max="13833" width="9" style="1407"/>
    <col min="13834" max="13834" width="9.33203125" style="1407" bestFit="1" customWidth="1"/>
    <col min="13835" max="13835" width="4" style="1407" customWidth="1"/>
    <col min="13836" max="13836" width="5.109375" style="1407" customWidth="1"/>
    <col min="13837" max="13837" width="13.77734375" style="1407" customWidth="1"/>
    <col min="13838" max="14080" width="9" style="1407"/>
    <col min="14081" max="14081" width="4.88671875" style="1407" customWidth="1"/>
    <col min="14082" max="14082" width="13.21875" style="1407" customWidth="1"/>
    <col min="14083" max="14083" width="15.6640625" style="1407" customWidth="1"/>
    <col min="14084" max="14084" width="9.33203125" style="1407" bestFit="1" customWidth="1"/>
    <col min="14085" max="14085" width="13.44140625" style="1407" customWidth="1"/>
    <col min="14086" max="14086" width="9" style="1407"/>
    <col min="14087" max="14087" width="9.33203125" style="1407" bestFit="1" customWidth="1"/>
    <col min="14088" max="14089" width="9" style="1407"/>
    <col min="14090" max="14090" width="9.33203125" style="1407" bestFit="1" customWidth="1"/>
    <col min="14091" max="14091" width="4" style="1407" customWidth="1"/>
    <col min="14092" max="14092" width="5.109375" style="1407" customWidth="1"/>
    <col min="14093" max="14093" width="13.77734375" style="1407" customWidth="1"/>
    <col min="14094" max="14336" width="9" style="1407"/>
    <col min="14337" max="14337" width="4.88671875" style="1407" customWidth="1"/>
    <col min="14338" max="14338" width="13.21875" style="1407" customWidth="1"/>
    <col min="14339" max="14339" width="15.6640625" style="1407" customWidth="1"/>
    <col min="14340" max="14340" width="9.33203125" style="1407" bestFit="1" customWidth="1"/>
    <col min="14341" max="14341" width="13.44140625" style="1407" customWidth="1"/>
    <col min="14342" max="14342" width="9" style="1407"/>
    <col min="14343" max="14343" width="9.33203125" style="1407" bestFit="1" customWidth="1"/>
    <col min="14344" max="14345" width="9" style="1407"/>
    <col min="14346" max="14346" width="9.33203125" style="1407" bestFit="1" customWidth="1"/>
    <col min="14347" max="14347" width="4" style="1407" customWidth="1"/>
    <col min="14348" max="14348" width="5.109375" style="1407" customWidth="1"/>
    <col min="14349" max="14349" width="13.77734375" style="1407" customWidth="1"/>
    <col min="14350" max="14592" width="9" style="1407"/>
    <col min="14593" max="14593" width="4.88671875" style="1407" customWidth="1"/>
    <col min="14594" max="14594" width="13.21875" style="1407" customWidth="1"/>
    <col min="14595" max="14595" width="15.6640625" style="1407" customWidth="1"/>
    <col min="14596" max="14596" width="9.33203125" style="1407" bestFit="1" customWidth="1"/>
    <col min="14597" max="14597" width="13.44140625" style="1407" customWidth="1"/>
    <col min="14598" max="14598" width="9" style="1407"/>
    <col min="14599" max="14599" width="9.33203125" style="1407" bestFit="1" customWidth="1"/>
    <col min="14600" max="14601" width="9" style="1407"/>
    <col min="14602" max="14602" width="9.33203125" style="1407" bestFit="1" customWidth="1"/>
    <col min="14603" max="14603" width="4" style="1407" customWidth="1"/>
    <col min="14604" max="14604" width="5.109375" style="1407" customWidth="1"/>
    <col min="14605" max="14605" width="13.77734375" style="1407" customWidth="1"/>
    <col min="14606" max="14848" width="9" style="1407"/>
    <col min="14849" max="14849" width="4.88671875" style="1407" customWidth="1"/>
    <col min="14850" max="14850" width="13.21875" style="1407" customWidth="1"/>
    <col min="14851" max="14851" width="15.6640625" style="1407" customWidth="1"/>
    <col min="14852" max="14852" width="9.33203125" style="1407" bestFit="1" customWidth="1"/>
    <col min="14853" max="14853" width="13.44140625" style="1407" customWidth="1"/>
    <col min="14854" max="14854" width="9" style="1407"/>
    <col min="14855" max="14855" width="9.33203125" style="1407" bestFit="1" customWidth="1"/>
    <col min="14856" max="14857" width="9" style="1407"/>
    <col min="14858" max="14858" width="9.33203125" style="1407" bestFit="1" customWidth="1"/>
    <col min="14859" max="14859" width="4" style="1407" customWidth="1"/>
    <col min="14860" max="14860" width="5.109375" style="1407" customWidth="1"/>
    <col min="14861" max="14861" width="13.77734375" style="1407" customWidth="1"/>
    <col min="14862" max="15104" width="9" style="1407"/>
    <col min="15105" max="15105" width="4.88671875" style="1407" customWidth="1"/>
    <col min="15106" max="15106" width="13.21875" style="1407" customWidth="1"/>
    <col min="15107" max="15107" width="15.6640625" style="1407" customWidth="1"/>
    <col min="15108" max="15108" width="9.33203125" style="1407" bestFit="1" customWidth="1"/>
    <col min="15109" max="15109" width="13.44140625" style="1407" customWidth="1"/>
    <col min="15110" max="15110" width="9" style="1407"/>
    <col min="15111" max="15111" width="9.33203125" style="1407" bestFit="1" customWidth="1"/>
    <col min="15112" max="15113" width="9" style="1407"/>
    <col min="15114" max="15114" width="9.33203125" style="1407" bestFit="1" customWidth="1"/>
    <col min="15115" max="15115" width="4" style="1407" customWidth="1"/>
    <col min="15116" max="15116" width="5.109375" style="1407" customWidth="1"/>
    <col min="15117" max="15117" width="13.77734375" style="1407" customWidth="1"/>
    <col min="15118" max="15360" width="9" style="1407"/>
    <col min="15361" max="15361" width="4.88671875" style="1407" customWidth="1"/>
    <col min="15362" max="15362" width="13.21875" style="1407" customWidth="1"/>
    <col min="15363" max="15363" width="15.6640625" style="1407" customWidth="1"/>
    <col min="15364" max="15364" width="9.33203125" style="1407" bestFit="1" customWidth="1"/>
    <col min="15365" max="15365" width="13.44140625" style="1407" customWidth="1"/>
    <col min="15366" max="15366" width="9" style="1407"/>
    <col min="15367" max="15367" width="9.33203125" style="1407" bestFit="1" customWidth="1"/>
    <col min="15368" max="15369" width="9" style="1407"/>
    <col min="15370" max="15370" width="9.33203125" style="1407" bestFit="1" customWidth="1"/>
    <col min="15371" max="15371" width="4" style="1407" customWidth="1"/>
    <col min="15372" max="15372" width="5.109375" style="1407" customWidth="1"/>
    <col min="15373" max="15373" width="13.77734375" style="1407" customWidth="1"/>
    <col min="15374" max="15616" width="9" style="1407"/>
    <col min="15617" max="15617" width="4.88671875" style="1407" customWidth="1"/>
    <col min="15618" max="15618" width="13.21875" style="1407" customWidth="1"/>
    <col min="15619" max="15619" width="15.6640625" style="1407" customWidth="1"/>
    <col min="15620" max="15620" width="9.33203125" style="1407" bestFit="1" customWidth="1"/>
    <col min="15621" max="15621" width="13.44140625" style="1407" customWidth="1"/>
    <col min="15622" max="15622" width="9" style="1407"/>
    <col min="15623" max="15623" width="9.33203125" style="1407" bestFit="1" customWidth="1"/>
    <col min="15624" max="15625" width="9" style="1407"/>
    <col min="15626" max="15626" width="9.33203125" style="1407" bestFit="1" customWidth="1"/>
    <col min="15627" max="15627" width="4" style="1407" customWidth="1"/>
    <col min="15628" max="15628" width="5.109375" style="1407" customWidth="1"/>
    <col min="15629" max="15629" width="13.77734375" style="1407" customWidth="1"/>
    <col min="15630" max="15872" width="9" style="1407"/>
    <col min="15873" max="15873" width="4.88671875" style="1407" customWidth="1"/>
    <col min="15874" max="15874" width="13.21875" style="1407" customWidth="1"/>
    <col min="15875" max="15875" width="15.6640625" style="1407" customWidth="1"/>
    <col min="15876" max="15876" width="9.33203125" style="1407" bestFit="1" customWidth="1"/>
    <col min="15877" max="15877" width="13.44140625" style="1407" customWidth="1"/>
    <col min="15878" max="15878" width="9" style="1407"/>
    <col min="15879" max="15879" width="9.33203125" style="1407" bestFit="1" customWidth="1"/>
    <col min="15880" max="15881" width="9" style="1407"/>
    <col min="15882" max="15882" width="9.33203125" style="1407" bestFit="1" customWidth="1"/>
    <col min="15883" max="15883" width="4" style="1407" customWidth="1"/>
    <col min="15884" max="15884" width="5.109375" style="1407" customWidth="1"/>
    <col min="15885" max="15885" width="13.77734375" style="1407" customWidth="1"/>
    <col min="15886" max="16128" width="9" style="1407"/>
    <col min="16129" max="16129" width="4.88671875" style="1407" customWidth="1"/>
    <col min="16130" max="16130" width="13.21875" style="1407" customWidth="1"/>
    <col min="16131" max="16131" width="15.6640625" style="1407" customWidth="1"/>
    <col min="16132" max="16132" width="9.33203125" style="1407" bestFit="1" customWidth="1"/>
    <col min="16133" max="16133" width="13.44140625" style="1407" customWidth="1"/>
    <col min="16134" max="16134" width="9" style="1407"/>
    <col min="16135" max="16135" width="9.33203125" style="1407" bestFit="1" customWidth="1"/>
    <col min="16136" max="16137" width="9" style="1407"/>
    <col min="16138" max="16138" width="9.33203125" style="1407" bestFit="1" customWidth="1"/>
    <col min="16139" max="16139" width="4" style="1407" customWidth="1"/>
    <col min="16140" max="16140" width="5.109375" style="1407" customWidth="1"/>
    <col min="16141" max="16141" width="13.77734375" style="1407" customWidth="1"/>
    <col min="16142" max="16384" width="9" style="1407"/>
  </cols>
  <sheetData>
    <row r="1" spans="1:257" s="1469" customFormat="1" ht="15" thickBot="1">
      <c r="A1" s="1463"/>
      <c r="B1" s="1470" t="s">
        <v>1267</v>
      </c>
      <c r="C1" s="1464">
        <f>项目基本情况!D3</f>
        <v>44385</v>
      </c>
      <c r="D1" s="1470" t="s">
        <v>1268</v>
      </c>
      <c r="E1" s="1465">
        <f>'数据-取费表'!B22</f>
        <v>1.5</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399999999999999">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2">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31.2">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5.6">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5.6">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5.6">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5.6">
      <c r="A17" s="1452"/>
      <c r="B17" s="3047" t="s">
        <v>3051</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6.8">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518" t="s">
        <v>1338</v>
      </c>
      <c r="E1" s="1512" t="s">
        <v>1342</v>
      </c>
      <c r="F1" s="1513" t="s">
        <v>1346</v>
      </c>
    </row>
    <row r="2" spans="1:13" ht="19.8">
      <c r="A2" s="1519" t="s">
        <v>1339</v>
      </c>
    </row>
    <row r="3" spans="1:13" ht="15.6">
      <c r="A3" s="1520" t="s">
        <v>1340</v>
      </c>
    </row>
    <row r="4" spans="1:13">
      <c r="A4" s="1510" t="s">
        <v>1341</v>
      </c>
      <c r="B4" s="1515" t="s">
        <v>1343</v>
      </c>
      <c r="C4" s="1516"/>
      <c r="D4" s="1517"/>
      <c r="E4" s="1515" t="s">
        <v>27</v>
      </c>
      <c r="F4" s="1516"/>
      <c r="G4" s="1517"/>
      <c r="H4" s="1515" t="s">
        <v>1344</v>
      </c>
      <c r="I4" s="1516"/>
      <c r="J4" s="1517"/>
      <c r="K4" s="1515" t="s">
        <v>6</v>
      </c>
      <c r="L4" s="1516"/>
      <c r="M4" s="1517"/>
    </row>
    <row r="5" spans="1:13">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A33" sqref="A33"/>
    </sheetView>
  </sheetViews>
  <sheetFormatPr defaultRowHeight="14.4"/>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建筑物价值</v>
      </c>
      <c r="G2" s="3097"/>
      <c r="H2" s="3097" t="str">
        <f>IF(项目基本情况!B9="房地产市场价值","房地产市场价值","房地产价值")</f>
        <v>房地产价值</v>
      </c>
      <c r="I2" s="3097"/>
    </row>
    <row r="3" spans="1:9" ht="15.6">
      <c r="A3" s="3091"/>
      <c r="B3" s="3091"/>
      <c r="C3" s="3091"/>
      <c r="D3" s="963" t="s">
        <v>1603</v>
      </c>
      <c r="E3" s="963" t="s">
        <v>1609</v>
      </c>
      <c r="F3" s="963" t="s">
        <v>1603</v>
      </c>
      <c r="G3" s="963" t="s">
        <v>1604</v>
      </c>
      <c r="H3" s="963" t="s">
        <v>1603</v>
      </c>
      <c r="I3" s="963" t="s">
        <v>1604</v>
      </c>
    </row>
    <row r="4" spans="1:9" ht="15">
      <c r="A4" s="1690" t="str">
        <f>项目基本情况!S2</f>
        <v>北京市房地产</v>
      </c>
      <c r="B4" s="963">
        <f>项目基本情况!C17</f>
        <v>13846.800000000001</v>
      </c>
      <c r="C4" s="963">
        <f>项目基本情况!C18</f>
        <v>9053.6</v>
      </c>
      <c r="D4" s="963">
        <f ca="1">结果表!D118</f>
        <v>5591</v>
      </c>
      <c r="E4" s="963">
        <f ca="1">结果表!E118</f>
        <v>4038</v>
      </c>
      <c r="F4" s="963">
        <f ca="1">结果表!F118</f>
        <v>6381</v>
      </c>
      <c r="G4" s="963">
        <f ca="1">结果表!G118</f>
        <v>4608</v>
      </c>
      <c r="H4" s="963">
        <f ca="1">结果表!H118</f>
        <v>11972</v>
      </c>
      <c r="I4" s="963">
        <f ca="1">结果表!I118</f>
        <v>8646</v>
      </c>
    </row>
    <row r="5" spans="1:9" ht="30" customHeight="1">
      <c r="A5" s="3091" t="s">
        <v>1605</v>
      </c>
      <c r="B5" s="3091"/>
      <c r="C5" s="3091"/>
      <c r="D5" s="3092" t="str">
        <f ca="1">结果表!D119</f>
        <v>伍仟伍佰玖拾壹万元整</v>
      </c>
      <c r="E5" s="3092"/>
      <c r="F5" s="3092" t="str">
        <f ca="1">结果表!F119</f>
        <v>陆仟叁佰捌拾壹万元整</v>
      </c>
      <c r="G5" s="3092"/>
      <c r="H5" s="3092" t="str">
        <f ca="1">结果表!H119</f>
        <v>壹亿壹仟玖佰柒拾贰万元整</v>
      </c>
      <c r="I5" s="3092"/>
    </row>
    <row r="6" spans="1:9" ht="15.6">
      <c r="A6" s="3090" t="str">
        <f>结果表!A120</f>
        <v>估价师知悉的法定优先受偿款</v>
      </c>
      <c r="B6" s="3090"/>
      <c r="C6" s="3090"/>
      <c r="D6" s="3090">
        <f>结果表!D120</f>
        <v>0</v>
      </c>
      <c r="E6" s="3090"/>
      <c r="F6" s="3090"/>
      <c r="G6" s="3090"/>
      <c r="H6" s="3090"/>
      <c r="I6" s="3090"/>
    </row>
    <row r="7" spans="1:9" ht="15">
      <c r="A7" s="3091" t="s">
        <v>1605</v>
      </c>
      <c r="B7" s="3091"/>
      <c r="C7" s="3091"/>
      <c r="D7" s="3093" t="str">
        <f>结果表!D121</f>
        <v>零元整</v>
      </c>
      <c r="E7" s="3094"/>
      <c r="F7" s="3094"/>
      <c r="G7" s="3094"/>
      <c r="H7" s="3094"/>
      <c r="I7" s="3095"/>
    </row>
    <row r="8" spans="1:9" ht="15.6">
      <c r="A8" s="3090" t="str">
        <f>结果表!A122</f>
        <v>房地产抵押价值</v>
      </c>
      <c r="B8" s="3090"/>
      <c r="C8" s="3090"/>
      <c r="D8" s="3090">
        <f ca="1">结果表!D122</f>
        <v>11972</v>
      </c>
      <c r="E8" s="3090"/>
      <c r="F8" s="3090"/>
      <c r="G8" s="3090"/>
      <c r="H8" s="3090"/>
      <c r="I8" s="3090"/>
    </row>
    <row r="9" spans="1:9" ht="15">
      <c r="A9" s="3091" t="s">
        <v>1605</v>
      </c>
      <c r="B9" s="3091"/>
      <c r="C9" s="3091"/>
      <c r="D9" s="3092" t="str">
        <f ca="1">结果表!D123</f>
        <v>壹亿壹仟玖佰柒拾贰万元整</v>
      </c>
      <c r="E9" s="3092"/>
      <c r="F9" s="3092"/>
      <c r="G9" s="3092"/>
      <c r="H9" s="3092"/>
      <c r="I9" s="3092"/>
    </row>
    <row r="10" spans="1:9" ht="15.6">
      <c r="A10" s="3090" t="str">
        <f>结果表!A124</f>
        <v/>
      </c>
      <c r="B10" s="3090"/>
      <c r="C10" s="3090"/>
      <c r="D10" s="3090" t="str">
        <f>结果表!D124</f>
        <v>——</v>
      </c>
      <c r="E10" s="3090"/>
      <c r="F10" s="3090"/>
      <c r="G10" s="3090"/>
      <c r="H10" s="3090"/>
      <c r="I10" s="3090"/>
    </row>
    <row r="11" spans="1:9" ht="15">
      <c r="A11" s="3091" t="s">
        <v>1605</v>
      </c>
      <c r="B11" s="3091"/>
      <c r="C11" s="3091"/>
      <c r="D11" s="3092" t="e">
        <f>结果表!D125</f>
        <v>#VALUE!</v>
      </c>
      <c r="E11" s="3092"/>
      <c r="F11" s="3092"/>
      <c r="G11" s="3092"/>
      <c r="H11" s="3092"/>
      <c r="I11" s="3092"/>
    </row>
    <row r="12" spans="1:9" ht="15.6">
      <c r="A12" s="3090" t="str">
        <f>结果表!A126</f>
        <v/>
      </c>
      <c r="B12" s="3090"/>
      <c r="C12" s="3090"/>
      <c r="D12" s="3090" t="str">
        <f>结果表!D126</f>
        <v>——</v>
      </c>
      <c r="E12" s="3090"/>
      <c r="F12" s="3090"/>
      <c r="G12" s="3090"/>
      <c r="H12" s="3090"/>
      <c r="I12" s="3090"/>
    </row>
    <row r="13" spans="1:9" ht="15.6" thickBot="1">
      <c r="A13" s="3087" t="s">
        <v>1605</v>
      </c>
      <c r="B13" s="3087"/>
      <c r="C13" s="3087"/>
      <c r="D13" s="3088" t="e">
        <f>结果表!D127</f>
        <v>#VALUE!</v>
      </c>
      <c r="E13" s="3088"/>
      <c r="F13" s="3088"/>
      <c r="G13" s="3088"/>
      <c r="H13" s="3088"/>
      <c r="I13" s="3088"/>
    </row>
    <row r="14" spans="1:9" ht="14.4" thickTop="1">
      <c r="A14" s="3089" t="s">
        <v>1610</v>
      </c>
      <c r="B14" s="3089"/>
      <c r="C14" s="3089"/>
      <c r="D14" s="3089"/>
      <c r="E14" s="3089"/>
      <c r="F14" s="3089"/>
      <c r="G14" s="3089"/>
      <c r="H14" s="3089"/>
      <c r="I14" s="3089"/>
    </row>
    <row r="16" spans="1:9" ht="17.399999999999999">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104" t="s">
        <v>1627</v>
      </c>
      <c r="B1" s="3104"/>
      <c r="C1" s="3104"/>
      <c r="D1" s="3104"/>
    </row>
    <row r="2" spans="1:4" ht="17.399999999999999">
      <c r="A2" s="3105" t="s">
        <v>1611</v>
      </c>
      <c r="B2" s="3105"/>
      <c r="C2" s="3105"/>
      <c r="D2" s="3105"/>
    </row>
    <row r="3" spans="1:4" ht="17.399999999999999">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f>项目基本情况!D4</f>
        <v>0</v>
      </c>
      <c r="B5" s="1696">
        <f>项目基本情况!E4</f>
        <v>0</v>
      </c>
      <c r="C5" s="1699"/>
      <c r="D5" s="1698" t="s">
        <v>1616</v>
      </c>
    </row>
    <row r="6" spans="1:4" ht="17.399999999999999">
      <c r="A6" s="3105" t="s">
        <v>1617</v>
      </c>
      <c r="B6" s="3105"/>
      <c r="C6" s="3105"/>
      <c r="D6" s="3105"/>
    </row>
    <row r="7" spans="1:4" ht="17.399999999999999">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7.399999999999999">
      <c r="A10" s="1701" t="s">
        <v>1619</v>
      </c>
      <c r="B10" s="684"/>
      <c r="C10" s="684"/>
      <c r="D10" s="684"/>
    </row>
    <row r="11" spans="1:4" ht="30" customHeight="1">
      <c r="A11" s="3106" t="s">
        <v>1620</v>
      </c>
      <c r="B11" s="3098"/>
      <c r="C11" s="3098"/>
      <c r="D11" s="3098"/>
    </row>
    <row r="12" spans="1:4" ht="15.6">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3"/>
      <c r="C12" s="3103"/>
      <c r="D12" s="3103"/>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3"/>
      <c r="C13" s="3103"/>
      <c r="D13" s="3103"/>
    </row>
    <row r="14" spans="1:4" ht="15.75" customHeight="1">
      <c r="A14" s="3098" t="str">
        <f>IF(项目基本情况!B8="抵押","4.本次评估估价师所知悉的法定优先受偿款情况说明如下：","——")</f>
        <v>4.本次评估估价师所知悉的法定优先受偿款情况说明如下：</v>
      </c>
      <c r="B14" s="3103"/>
      <c r="C14" s="3103"/>
      <c r="D14" s="3103"/>
    </row>
    <row r="15" spans="1:4" ht="42" customHeight="1">
      <c r="A15" s="3098" t="str">
        <f>IF(项目基本情况!B8="抵押","（1）"&amp;CONCATENATE(项目基本情况!L20,项目基本情况!L21,项目基本情况!L22),"——")</f>
        <v>（1）根据估价对象《不动产权证书》原件，截至价值时点，估价对象抵押权未见登记。</v>
      </c>
      <c r="B15" s="3098"/>
      <c r="C15" s="3098"/>
      <c r="D15" s="3098"/>
    </row>
    <row r="16" spans="1:4" ht="30" customHeight="1">
      <c r="A16" s="3100" t="s">
        <v>1621</v>
      </c>
      <c r="B16" s="3100"/>
      <c r="C16" s="3100"/>
      <c r="D16" s="3100"/>
    </row>
    <row r="17" spans="1:4" ht="144" customHeight="1">
      <c r="A17" s="3100" t="s">
        <v>1622</v>
      </c>
      <c r="B17" s="3100"/>
      <c r="C17" s="3100"/>
      <c r="D17" s="3100"/>
    </row>
    <row r="18" spans="1:4" ht="15.75" customHeight="1">
      <c r="A18" s="3098" t="str">
        <f>IF(项目基本情况!B8="抵押",结果表!K120,"——")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8"/>
      <c r="C20" s="3098"/>
      <c r="D20" s="3098"/>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7.399999999999999">
      <c r="A25" s="1703" t="s">
        <v>1624</v>
      </c>
    </row>
    <row r="26" spans="1:4" ht="17.399999999999999">
      <c r="A26" s="1672"/>
    </row>
    <row r="27" spans="1:4" ht="17.399999999999999">
      <c r="A27" s="1672" t="s">
        <v>1625</v>
      </c>
    </row>
    <row r="30" spans="1:4" ht="17.399999999999999">
      <c r="D30" s="1703" t="s">
        <v>1626</v>
      </c>
    </row>
    <row r="31" spans="1:4" ht="13.5" customHeight="1">
      <c r="C31" s="3099">
        <v>42551</v>
      </c>
      <c r="D31" s="30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838</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4.4">
      <c r="A15" s="3112" t="s">
        <v>1634</v>
      </c>
      <c r="B15" s="3107" t="s">
        <v>136</v>
      </c>
      <c r="C15" s="3108"/>
    </row>
    <row r="16" spans="1:7" ht="14.4">
      <c r="A16" s="3113"/>
      <c r="B16" s="3107" t="s">
        <v>69</v>
      </c>
      <c r="C16" s="3108"/>
    </row>
    <row r="17" spans="1:3" ht="14.4">
      <c r="A17" s="3113"/>
      <c r="B17" s="3110" t="s">
        <v>1635</v>
      </c>
      <c r="C17" s="1717" t="s">
        <v>1634</v>
      </c>
    </row>
    <row r="18" spans="1:3" ht="14.4">
      <c r="A18" s="3113"/>
      <c r="B18" s="3110"/>
      <c r="C18" s="1717" t="s">
        <v>1636</v>
      </c>
    </row>
    <row r="19" spans="1:3" ht="14.4">
      <c r="A19" s="3113"/>
      <c r="B19" s="3110"/>
      <c r="C19" s="1717" t="s">
        <v>1637</v>
      </c>
    </row>
    <row r="20" spans="1:3" ht="14.4">
      <c r="A20" s="3114"/>
      <c r="B20" s="3109" t="s">
        <v>1638</v>
      </c>
      <c r="C20" s="3108"/>
    </row>
    <row r="21" spans="1:3" ht="14.4">
      <c r="A21" s="1718" t="s">
        <v>1639</v>
      </c>
      <c r="B21" s="1719"/>
      <c r="C21" s="1720"/>
    </row>
    <row r="22" spans="1:3" ht="14.4">
      <c r="A22" s="3111" t="s">
        <v>1640</v>
      </c>
      <c r="B22" s="3109" t="s">
        <v>1641</v>
      </c>
      <c r="C22" s="3108"/>
    </row>
    <row r="23" spans="1:3" ht="14.4">
      <c r="A23" s="3111"/>
      <c r="B23" s="3109" t="s">
        <v>1642</v>
      </c>
      <c r="C23" s="3108"/>
    </row>
    <row r="24" spans="1:3" ht="14.4">
      <c r="A24" s="3111"/>
      <c r="B24" s="3109" t="s">
        <v>1643</v>
      </c>
      <c r="C24" s="3108"/>
    </row>
    <row r="25" spans="1:3" ht="14.4">
      <c r="A25" s="3111"/>
      <c r="B25" s="3110" t="s">
        <v>1644</v>
      </c>
      <c r="C25" s="1717" t="s">
        <v>1645</v>
      </c>
    </row>
    <row r="26" spans="1:3" ht="14.4">
      <c r="A26" s="3111"/>
      <c r="B26" s="3110"/>
      <c r="C26" s="1717" t="s">
        <v>1646</v>
      </c>
    </row>
    <row r="27" spans="1:3" ht="14.4">
      <c r="A27" s="3111"/>
      <c r="B27" s="3110"/>
      <c r="C27" s="1717" t="s">
        <v>1647</v>
      </c>
    </row>
    <row r="28" spans="1:3" ht="14.4">
      <c r="A28" s="3111"/>
      <c r="B28" s="3110"/>
      <c r="C28" s="1717" t="s">
        <v>1648</v>
      </c>
    </row>
    <row r="29" spans="1:3" ht="14.4">
      <c r="A29" s="3111"/>
      <c r="B29" s="3110"/>
      <c r="C29" s="1717" t="s">
        <v>1649</v>
      </c>
    </row>
    <row r="30" spans="1:3" ht="14.4">
      <c r="A30" s="3111"/>
      <c r="B30" s="3110"/>
      <c r="C30" s="1717" t="s">
        <v>1650</v>
      </c>
    </row>
    <row r="31" spans="1:3" ht="14.4">
      <c r="A31" s="3111"/>
      <c r="B31" s="3110"/>
      <c r="C31" s="1717" t="s">
        <v>1651</v>
      </c>
    </row>
    <row r="32" spans="1:3" ht="14.4">
      <c r="A32" s="3111"/>
      <c r="B32" s="3110"/>
      <c r="C32" s="1717" t="s">
        <v>1652</v>
      </c>
    </row>
    <row r="33" spans="1:3" ht="14.4">
      <c r="A33" s="3111"/>
      <c r="B33" s="3110"/>
      <c r="C33" s="1717" t="s">
        <v>1653</v>
      </c>
    </row>
    <row r="34" spans="1:3">
      <c r="A34" s="1721" t="s">
        <v>76</v>
      </c>
    </row>
    <row r="37" spans="1:3">
      <c r="A37" s="1721" t="s">
        <v>1654</v>
      </c>
    </row>
    <row r="38" spans="1:3" ht="14.4">
      <c r="A38" s="1722" t="s">
        <v>77</v>
      </c>
    </row>
    <row r="39" spans="1:3" ht="14.4">
      <c r="A39" s="1722" t="s">
        <v>78</v>
      </c>
    </row>
    <row r="40" spans="1:3" ht="14.4">
      <c r="A40" s="1722" t="s">
        <v>79</v>
      </c>
    </row>
    <row r="41" spans="1:3" ht="14.4">
      <c r="A41" s="1723" t="s">
        <v>80</v>
      </c>
    </row>
    <row r="42" spans="1:3" ht="14.4">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2874</v>
      </c>
      <c r="B2" s="2562">
        <f ca="1">TODAY()</f>
        <v>44389</v>
      </c>
      <c r="C2" s="2563" t="s">
        <v>2875</v>
      </c>
      <c r="D2" s="2563"/>
      <c r="E2" s="2563"/>
      <c r="F2" s="2559"/>
      <c r="G2" s="2559"/>
      <c r="H2" s="2559"/>
    </row>
    <row r="3" spans="1:8" ht="24" customHeight="1">
      <c r="A3" s="2564" t="s">
        <v>2876</v>
      </c>
      <c r="B3" s="2565" t="s">
        <v>2877</v>
      </c>
      <c r="C3" s="2565" t="s">
        <v>2878</v>
      </c>
      <c r="D3" s="2566" t="s">
        <v>2879</v>
      </c>
      <c r="E3" s="2567" t="s">
        <v>2880</v>
      </c>
      <c r="F3" s="1472" t="s">
        <v>2881</v>
      </c>
      <c r="G3" s="2565" t="s">
        <v>2878</v>
      </c>
      <c r="H3" s="2566" t="s">
        <v>2882</v>
      </c>
    </row>
    <row r="4" spans="1:8" ht="24" customHeight="1">
      <c r="A4" s="1472" t="s">
        <v>2883</v>
      </c>
      <c r="B4" s="1472">
        <f ca="1">IF(C4&lt;B2,"已过期",1119970066)</f>
        <v>1119970066</v>
      </c>
      <c r="C4" s="2568">
        <v>44876</v>
      </c>
      <c r="D4" s="2569" t="str">
        <f ca="1">A4&amp;"（注册号："&amp;B4&amp;"）"</f>
        <v>梁津（注册号：1119970066）</v>
      </c>
      <c r="E4" s="2570" t="s">
        <v>2883</v>
      </c>
      <c r="F4" s="1472">
        <f ca="1">IF(G4&lt;B2,"已过期",96010014)</f>
        <v>96010014</v>
      </c>
      <c r="G4" s="2571">
        <v>47118</v>
      </c>
      <c r="H4" s="2572" t="str">
        <f ca="1">E4&amp;"（注册号："&amp;F4&amp;"）"</f>
        <v>梁津（注册号：96010014）</v>
      </c>
    </row>
    <row r="5" spans="1:8" ht="24" customHeight="1">
      <c r="A5" s="1472" t="s">
        <v>2884</v>
      </c>
      <c r="B5" s="1472">
        <f ca="1">IF(C5&lt;B2,"已过期",1119970111)</f>
        <v>1119970111</v>
      </c>
      <c r="C5" s="2568">
        <v>44876</v>
      </c>
      <c r="D5" s="2569" t="str">
        <f t="shared" ref="D5:D15" ca="1" si="0">A5&amp;"（注册号："&amp;B5&amp;"）"</f>
        <v>叶凌（注册号：1119970111）</v>
      </c>
      <c r="E5" s="2570" t="s">
        <v>2884</v>
      </c>
      <c r="F5" s="1472">
        <f ca="1">IF(G5&lt;B2,"已过期",94010078)</f>
        <v>94010078</v>
      </c>
      <c r="G5" s="2571">
        <v>46387</v>
      </c>
      <c r="H5" s="2572" t="str">
        <f t="shared" ref="H5:H16" ca="1" si="1">E5&amp;"（注册号："&amp;F5&amp;"）"</f>
        <v>叶凌（注册号：94010078）</v>
      </c>
    </row>
    <row r="6" spans="1:8" ht="24" customHeight="1">
      <c r="A6" s="1472" t="s">
        <v>2885</v>
      </c>
      <c r="B6" s="1472">
        <f ca="1">IF(C6&lt;B2,"已过期",1120050019)</f>
        <v>1120050019</v>
      </c>
      <c r="C6" s="2568">
        <v>44395</v>
      </c>
      <c r="D6" s="2569" t="str">
        <f t="shared" ca="1" si="0"/>
        <v>王鹏（注册号：1120050019）</v>
      </c>
      <c r="E6" s="2570" t="s">
        <v>2885</v>
      </c>
      <c r="F6" s="1472">
        <f ca="1">IF(G6&lt;B2,"已过期",2002110030)</f>
        <v>2002110030</v>
      </c>
      <c r="G6" s="2571">
        <v>46387</v>
      </c>
      <c r="H6" s="2572" t="str">
        <f t="shared" ca="1" si="1"/>
        <v>王鹏（注册号：2002110030）</v>
      </c>
    </row>
    <row r="7" spans="1:8" ht="24" customHeight="1">
      <c r="A7" s="1472" t="s">
        <v>2886</v>
      </c>
      <c r="B7" s="1472">
        <f ca="1">IF(C7&lt;B2,"已过期",1120000080)</f>
        <v>1120000080</v>
      </c>
      <c r="C7" s="2568">
        <v>44876</v>
      </c>
      <c r="D7" s="2569" t="str">
        <f t="shared" ca="1" si="0"/>
        <v>欧红伟（注册号：1120000080）</v>
      </c>
      <c r="E7" s="2570" t="s">
        <v>2886</v>
      </c>
      <c r="F7" s="1472">
        <f ca="1">IF(G7&lt;B2,"已过期",2000110082)</f>
        <v>2000110082</v>
      </c>
      <c r="G7" s="2571">
        <v>46387</v>
      </c>
      <c r="H7" s="2572" t="str">
        <f t="shared" ca="1" si="1"/>
        <v>欧红伟（注册号：2000110082）</v>
      </c>
    </row>
    <row r="8" spans="1:8" ht="24" customHeight="1">
      <c r="A8" s="1472" t="s">
        <v>2887</v>
      </c>
      <c r="B8" s="1472">
        <f ca="1">IF(C8&lt;B2,"已过期",1419970001)</f>
        <v>1419970001</v>
      </c>
      <c r="C8" s="2568">
        <v>44899</v>
      </c>
      <c r="D8" s="2569" t="str">
        <f t="shared" ca="1" si="0"/>
        <v>吴薇（注册号：1419970001）</v>
      </c>
      <c r="E8" s="2570" t="s">
        <v>2887</v>
      </c>
      <c r="F8" s="1472">
        <f ca="1">IF(G8&lt;B2,"已过期",2002110125)</f>
        <v>2002110125</v>
      </c>
      <c r="G8" s="2571">
        <v>47118</v>
      </c>
      <c r="H8" s="2572" t="str">
        <f t="shared" ca="1" si="1"/>
        <v>吴薇（注册号：2002110125）</v>
      </c>
    </row>
    <row r="9" spans="1:8" ht="24" customHeight="1">
      <c r="A9" s="1472" t="s">
        <v>2888</v>
      </c>
      <c r="B9" s="1472">
        <f ca="1">IF(C9&lt;B2,"已过期",1120060040)</f>
        <v>1120060040</v>
      </c>
      <c r="C9" s="2573">
        <v>44554</v>
      </c>
      <c r="D9" s="2569" t="str">
        <f t="shared" ca="1" si="0"/>
        <v>陈颖（注册号：1120060040）</v>
      </c>
      <c r="E9" s="2570" t="s">
        <v>2888</v>
      </c>
      <c r="F9" s="1472">
        <f ca="1">IF(G9&lt;B2,"已过期",2004110096)</f>
        <v>2004110096</v>
      </c>
      <c r="G9" s="2571">
        <v>47118</v>
      </c>
      <c r="H9" s="2572" t="str">
        <f t="shared" ca="1" si="1"/>
        <v>陈颖（注册号：2004110096）</v>
      </c>
    </row>
    <row r="10" spans="1:8" ht="24" customHeight="1">
      <c r="A10" s="1472" t="s">
        <v>2889</v>
      </c>
      <c r="B10" s="1472">
        <f ca="1">IF(C10&lt;B2,"已过期",1120100036)</f>
        <v>1120100036</v>
      </c>
      <c r="C10" s="2573">
        <v>44675</v>
      </c>
      <c r="D10" s="2569" t="str">
        <f t="shared" ca="1" si="0"/>
        <v>崔锴（注册号：1120100036）</v>
      </c>
      <c r="E10" s="2570" t="s">
        <v>2889</v>
      </c>
      <c r="F10" s="1472">
        <f ca="1">IF(G10&lt;B2,"已过期",2010110070)</f>
        <v>2010110070</v>
      </c>
      <c r="G10" s="2571">
        <v>47907</v>
      </c>
      <c r="H10" s="2572" t="str">
        <f t="shared" ca="1" si="1"/>
        <v>崔锴（注册号：2010110070）</v>
      </c>
    </row>
    <row r="11" spans="1:8" ht="24" customHeight="1">
      <c r="A11" s="1472" t="s">
        <v>2890</v>
      </c>
      <c r="B11" s="1472">
        <f ca="1">IF(C11&lt;B2,"已过期",1120070131)</f>
        <v>1120070131</v>
      </c>
      <c r="C11" s="2568">
        <v>44849</v>
      </c>
      <c r="D11" s="2569" t="str">
        <f t="shared" ca="1" si="0"/>
        <v>郑燚（注册号：1120070131）</v>
      </c>
      <c r="E11" s="2570" t="s">
        <v>2890</v>
      </c>
      <c r="F11" s="1472">
        <f ca="1">IF(G11&lt;B2,"已过期",2014110011)</f>
        <v>2014110011</v>
      </c>
      <c r="G11" s="2571">
        <v>49302</v>
      </c>
      <c r="H11" s="2572" t="str">
        <f t="shared" ca="1" si="1"/>
        <v>郑燚（注册号：2014110011）</v>
      </c>
    </row>
    <row r="12" spans="1:8" ht="24" customHeight="1">
      <c r="A12" s="1472" t="s">
        <v>2891</v>
      </c>
      <c r="B12" s="1472">
        <f ca="1">IF(C12&lt;B2,"已过期",1120040230)</f>
        <v>1120040230</v>
      </c>
      <c r="C12" s="2573">
        <v>44864</v>
      </c>
      <c r="D12" s="2569" t="str">
        <f t="shared" ca="1" si="0"/>
        <v>苏海（注册号：1120040230）</v>
      </c>
      <c r="E12" s="2570" t="s">
        <v>2891</v>
      </c>
      <c r="F12" s="1472">
        <f ca="1">IF(G12&lt;B2,"已过期",98030020)</f>
        <v>98030020</v>
      </c>
      <c r="G12" s="2571">
        <v>47118</v>
      </c>
      <c r="H12" s="2572" t="str">
        <f t="shared" ca="1" si="1"/>
        <v>苏海（注册号：98030020）</v>
      </c>
    </row>
    <row r="13" spans="1:8" ht="24" customHeight="1">
      <c r="A13" s="1472" t="s">
        <v>2892</v>
      </c>
      <c r="B13" s="1472" t="str">
        <f ca="1">IF(C13&lt;B2,"已过期",1120020033)</f>
        <v>已过期</v>
      </c>
      <c r="C13" s="2568">
        <v>44339</v>
      </c>
      <c r="D13" s="2569" t="str">
        <f t="shared" ca="1" si="0"/>
        <v>刘敬东（注册号：已过期）</v>
      </c>
      <c r="E13" s="2570" t="s">
        <v>2892</v>
      </c>
      <c r="F13" s="1472">
        <f ca="1">IF(G13&lt;B2,"已过期",2000110137)</f>
        <v>2000110137</v>
      </c>
      <c r="G13" s="2571">
        <v>46387</v>
      </c>
      <c r="H13" s="2572" t="str">
        <f t="shared" ca="1" si="1"/>
        <v>刘敬东（注册号：2000110137）</v>
      </c>
    </row>
    <row r="14" spans="1:8" ht="24" customHeight="1">
      <c r="A14" s="1472" t="s">
        <v>2893</v>
      </c>
      <c r="B14" s="1472">
        <f ca="1">IF(C14&lt;B2,"已过期",1119980106)</f>
        <v>1119980106</v>
      </c>
      <c r="C14" s="2573">
        <v>44969</v>
      </c>
      <c r="D14" s="2569" t="str">
        <f t="shared" ca="1" si="0"/>
        <v>刘俊财（注册号：1119980106）</v>
      </c>
      <c r="E14" s="2570" t="s">
        <v>2893</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2894</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5" t="s">
        <v>2895</v>
      </c>
      <c r="B17" s="3115"/>
      <c r="C17" s="3115"/>
      <c r="D17" s="3115"/>
      <c r="E17" s="3115"/>
      <c r="F17" s="3115"/>
      <c r="G17" s="3115"/>
      <c r="H17" s="3115"/>
    </row>
    <row r="18" spans="1:8" ht="24" customHeight="1">
      <c r="A18" s="3116" t="s">
        <v>2896</v>
      </c>
      <c r="B18" s="3116"/>
      <c r="C18" s="3116"/>
      <c r="D18" s="2566"/>
      <c r="E18" s="3117" t="s">
        <v>2897</v>
      </c>
      <c r="F18" s="3116"/>
      <c r="G18" s="3116"/>
    </row>
    <row r="19" spans="1:8" s="2577" customFormat="1" ht="24" customHeight="1">
      <c r="A19" s="2576" t="s">
        <v>2898</v>
      </c>
      <c r="B19" s="2565" t="s">
        <v>2899</v>
      </c>
      <c r="C19" s="2565" t="s">
        <v>2878</v>
      </c>
      <c r="D19" s="2566"/>
      <c r="E19" s="2570" t="s">
        <v>2898</v>
      </c>
      <c r="F19" s="2565" t="s">
        <v>2899</v>
      </c>
      <c r="G19" s="2565" t="s">
        <v>2878</v>
      </c>
    </row>
    <row r="20" spans="1:8" s="2577" customFormat="1" ht="24" customHeight="1">
      <c r="A20" s="2578" t="s">
        <v>2900</v>
      </c>
      <c r="B20" s="2578" t="s">
        <v>2901</v>
      </c>
      <c r="C20" s="2571">
        <v>44820</v>
      </c>
      <c r="D20" s="2579"/>
      <c r="E20" s="2580" t="s">
        <v>2902</v>
      </c>
      <c r="F20" s="2578" t="s">
        <v>2903</v>
      </c>
      <c r="G20" s="2581">
        <v>44377</v>
      </c>
    </row>
    <row r="21" spans="1:8" s="2577" customFormat="1" ht="24" customHeight="1">
      <c r="A21" s="2578"/>
      <c r="B21" s="2578"/>
      <c r="C21" s="2582"/>
      <c r="D21" s="2583"/>
      <c r="E21" s="2580" t="s">
        <v>2904</v>
      </c>
      <c r="F21" s="2584" t="s">
        <v>2905</v>
      </c>
      <c r="G21" s="2585">
        <v>44012</v>
      </c>
    </row>
    <row r="22" spans="1:8" ht="24" customHeight="1">
      <c r="C22" s="2586"/>
      <c r="D22" s="2586"/>
      <c r="E22" s="2587"/>
      <c r="F22" s="2588"/>
      <c r="G22" s="2589"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收益法-厂房</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2021-07-12T01:51:21Z</dcterms:modified>
</cp:coreProperties>
</file>