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7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  <sheet name="公寓" sheetId="12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" l="1"/>
  <c r="A2" i="12" l="1"/>
  <c r="D9" i="2"/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<sst xmlns="http://schemas.openxmlformats.org/spreadsheetml/2006/main" count="226" uniqueCount="118">
  <si>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</si>
  <si>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</si>
  <si>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</si>
  <si>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</si>
  <si>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</si>
  <si>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</si>
  <si>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</si>
  <si>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</si>
  <si>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</si>
  <si>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</si>
  <si>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</si>
  <si>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</si>
  <si>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</si>
  <si>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</si>
  <si>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</si>
  <si>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</si>
  <si>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</si>
  <si>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</si>
  <si>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</si>
  <si>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</si>
  <si>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</si>
  <si>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</si>
  <si>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</si>
  <si>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</si>
  <si>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</si>
  <si>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</si>
  <si>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</si>
  <si>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</si>
  <si>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</si>
  <si>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</si>
  <si>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</si>
  <si>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</si>
  <si>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</si>
  <si>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</si>
  <si>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</si>
  <si>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</si>
  <si>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</si>
  <si>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</si>
  <si>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</si>
  <si>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</si>
  <si>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</si>
  <si>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</si>
  <si>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</si>
  <si>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</si>
  <si>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</si>
  <si>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</si>
  <si>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</si>
  <si>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</si>
  <si>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</si>
  <si>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</si>
  <si>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</si>
  <si>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</si>
  <si>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</si>
  <si>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</si>
  <si>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</si>
  <si>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</si>
  <si>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</si>
  <si>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</si>
  <si>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</si>
  <si>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</si>
  <si>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</si>
  <si>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</si>
  <si>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</si>
  <si>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</si>
  <si>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</si>
  <si>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</si>
  <si>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</si>
  <si>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</si>
  <si>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</si>
  <si>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</si>
  <si>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</si>
  <si>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</si>
  <si>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</si>
  <si>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</si>
  <si>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</si>
  <si>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</si>
  <si>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</si>
  <si>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</si>
  <si>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</si>
  <si>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</si>
  <si>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</si>
  <si>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</si>
  <si>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</si>
  <si>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</si>
  <si>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</si>
  <si>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</si>
  <si>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</si>
  <si>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</si>
  <si>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</si>
  <si>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</si>
  <si>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</si>
  <si>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</si>
  <si>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</si>
  <si>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</si>
  <si>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</si>
  <si>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</si>
  <si>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</si>
  <si>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</si>
  <si>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</si>
  <si>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</si>
  <si>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</si>
  <si>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</si>
  <si>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</si>
  <si>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</si>
  <si>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</si>
  <si>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</si>
  <si>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</si>
  <si>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</si>
  <si>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</si>
  <si>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</si>
  <si>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</si>
  <si>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</si>
  <si>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13层、高区</t>
    <phoneticPr fontId="46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</si>
  <si>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</si>
  <si>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</si>
  <si>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</si>
  <si>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</si>
  <si>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紫御长安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</si>
</sst>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72527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182052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63817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17220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17220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17370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17370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2" t="s">
        <v>0</v>
      </c>
      <c r="B2" s="173"/>
      <c r="C2" s="173"/>
      <c r="D2" s="173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9">
        <f>ROUND((C7*D7+C8*D8+C9*D9)/3,0)</f>
        <v>16150</v>
      </c>
      <c r="F7" s="181">
        <v>0.7</v>
      </c>
      <c r="G7" s="183" t="str">
        <f>IF(OR(H7&gt;0.75,H7&lt;0.6),"租售比异常，注意权重计取","")</f>
        <v>租售比异常，注意权重计取</v>
      </c>
      <c r="H7" s="186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9"/>
      <c r="F8" s="181"/>
      <c r="G8" s="184"/>
      <c r="H8" s="187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80"/>
      <c r="F9" s="182"/>
      <c r="G9" s="185"/>
      <c r="H9" s="188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4" t="s">
        <v>26</v>
      </c>
      <c r="B13" s="175"/>
      <c r="C13" s="175"/>
      <c r="D13" s="175"/>
      <c r="E13" s="175"/>
      <c r="F13" s="176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8" t="s">
        <v>34</v>
      </c>
      <c r="H20" s="199"/>
      <c r="I20" s="199"/>
      <c r="J20" s="200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1"/>
      <c r="H21" s="202"/>
      <c r="I21" s="202"/>
      <c r="J21" s="203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1" t="s">
        <v>37</v>
      </c>
      <c r="R21" s="202"/>
      <c r="S21" s="202"/>
      <c r="T21" s="203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1"/>
      <c r="H22" s="202"/>
      <c r="I22" s="202"/>
      <c r="J22" s="203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1"/>
      <c r="R22" s="202"/>
      <c r="S22" s="202"/>
      <c r="T22" s="203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1"/>
      <c r="H23" s="202"/>
      <c r="I23" s="202"/>
      <c r="J23" s="203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1"/>
      <c r="R23" s="202"/>
      <c r="S23" s="202"/>
      <c r="T23" s="203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1"/>
      <c r="H24" s="202"/>
      <c r="I24" s="202"/>
      <c r="J24" s="203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1"/>
      <c r="R24" s="202"/>
      <c r="S24" s="202"/>
      <c r="T24" s="203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1"/>
      <c r="H25" s="202"/>
      <c r="I25" s="202"/>
      <c r="J25" s="203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1"/>
      <c r="R25" s="202"/>
      <c r="S25" s="202"/>
      <c r="T25" s="203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1"/>
      <c r="H26" s="202"/>
      <c r="I26" s="202"/>
      <c r="J26" s="203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1"/>
      <c r="R26" s="202"/>
      <c r="S26" s="202"/>
      <c r="T26" s="203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1"/>
      <c r="H27" s="202"/>
      <c r="I27" s="202"/>
      <c r="J27" s="203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1"/>
      <c r="R27" s="202"/>
      <c r="S27" s="202"/>
      <c r="T27" s="203"/>
    </row>
    <row r="28" spans="1:21" ht="15">
      <c r="A28" s="118"/>
      <c r="B28" s="119"/>
      <c r="C28" s="177"/>
      <c r="D28" s="178"/>
      <c r="E28" s="120"/>
      <c r="F28" s="121"/>
      <c r="G28" s="204"/>
      <c r="H28" s="205"/>
      <c r="I28" s="205"/>
      <c r="J28" s="206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4"/>
      <c r="R28" s="205"/>
      <c r="S28" s="205"/>
      <c r="T28" s="206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9" t="s">
        <v>41</v>
      </c>
      <c r="H31" s="190"/>
      <c r="I31" s="190"/>
      <c r="J31" s="191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8" t="s">
        <v>42</v>
      </c>
      <c r="R31" s="199"/>
      <c r="S31" s="199"/>
      <c r="T31" s="200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2"/>
      <c r="H32" s="193"/>
      <c r="I32" s="193"/>
      <c r="J32" s="194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1"/>
      <c r="R32" s="202"/>
      <c r="S32" s="202"/>
      <c r="T32" s="203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2"/>
      <c r="H33" s="193"/>
      <c r="I33" s="193"/>
      <c r="J33" s="194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1"/>
      <c r="R33" s="202"/>
      <c r="S33" s="202"/>
      <c r="T33" s="203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2"/>
      <c r="H34" s="193"/>
      <c r="I34" s="193"/>
      <c r="J34" s="194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1"/>
      <c r="R34" s="202"/>
      <c r="S34" s="202"/>
      <c r="T34" s="203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2"/>
      <c r="H35" s="193"/>
      <c r="I35" s="193"/>
      <c r="J35" s="194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1"/>
      <c r="R35" s="202"/>
      <c r="S35" s="202"/>
      <c r="T35" s="203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2"/>
      <c r="H36" s="193"/>
      <c r="I36" s="193"/>
      <c r="J36" s="194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1"/>
      <c r="R36" s="202"/>
      <c r="S36" s="202"/>
      <c r="T36" s="203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2"/>
      <c r="H37" s="193"/>
      <c r="I37" s="193"/>
      <c r="J37" s="194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1"/>
      <c r="R37" s="202"/>
      <c r="S37" s="202"/>
      <c r="T37" s="203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5"/>
      <c r="H38" s="196"/>
      <c r="I38" s="196"/>
      <c r="J38" s="197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4"/>
      <c r="R38" s="205"/>
      <c r="S38" s="205"/>
      <c r="T38" s="206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B7" sqref="B7:D9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72" t="s">
        <v>0</v>
      </c>
      <c r="B2" s="173"/>
      <c r="C2" s="173"/>
      <c r="D2" s="173"/>
      <c r="E2" s="34">
        <f>ROUND(IF(F4=0,E7*F7+E12*F12,IF(F7=0,E4*F4+E12*F12,E4*F4+E7*F7)),0)</f>
        <v>25853</v>
      </c>
      <c r="F2" s="35">
        <f>ROUND(IF(F4=0,E7/E12-1,IF(F7=0,E4/E12-1,E4/E7)),3)</f>
        <v>0.67900000000000005</v>
      </c>
      <c r="G2" s="36" t="s">
        <v>1</v>
      </c>
      <c r="I2" s="144" t="s">
        <v>74</v>
      </c>
      <c r="J2" s="144">
        <v>55.1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142.44999999999999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3.7214518760195756E-2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28331</v>
      </c>
      <c r="D7" s="43">
        <v>0.98</v>
      </c>
      <c r="E7" s="179">
        <f>ROUND((C7*D7+C8*D8+C9*D9)/3,0)</f>
        <v>29424</v>
      </c>
      <c r="F7" s="211">
        <v>0.7</v>
      </c>
      <c r="G7" s="213" t="str">
        <f>IF(OR(H7&gt;0.75,H7&lt;0.6),"租售比异常，注意权重计取","")</f>
        <v>租售比异常，注意权重计取</v>
      </c>
      <c r="H7" s="186">
        <f>E7/10000/A12</f>
        <v>0.98080000000000001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29586</v>
      </c>
      <c r="D8" s="43">
        <f>D7</f>
        <v>0.98</v>
      </c>
      <c r="E8" s="179"/>
      <c r="F8" s="211"/>
      <c r="G8" s="214"/>
      <c r="H8" s="187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32155</v>
      </c>
      <c r="D9" s="43">
        <f>D7</f>
        <v>0.98</v>
      </c>
      <c r="E9" s="180"/>
      <c r="F9" s="212"/>
      <c r="G9" s="215"/>
      <c r="H9" s="188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0.05</v>
      </c>
      <c r="E12" s="44">
        <f>ROUND(A12*365*B12/D12,0)</f>
        <v>17520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7" t="s">
        <v>52</v>
      </c>
      <c r="B13" s="208"/>
      <c r="C13" s="208"/>
      <c r="D13" s="208"/>
      <c r="E13" s="208"/>
      <c r="F13" s="209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8" t="s">
        <v>59</v>
      </c>
      <c r="I20" s="218"/>
      <c r="J20" s="218"/>
      <c r="K20" s="21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8"/>
      <c r="I21" s="218"/>
      <c r="J21" s="218"/>
      <c r="K21" s="21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6" t="s">
        <v>61</v>
      </c>
      <c r="T21" s="217"/>
      <c r="U21" s="217"/>
      <c r="V21" s="21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8"/>
      <c r="I22" s="218"/>
      <c r="J22" s="218"/>
      <c r="K22" s="21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6"/>
      <c r="T22" s="217"/>
      <c r="U22" s="217"/>
      <c r="V22" s="21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8"/>
      <c r="I23" s="218"/>
      <c r="J23" s="218"/>
      <c r="K23" s="21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6"/>
      <c r="T23" s="217"/>
      <c r="U23" s="217"/>
      <c r="V23" s="21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8"/>
      <c r="I24" s="218"/>
      <c r="J24" s="218"/>
      <c r="K24" s="21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6"/>
      <c r="T24" s="217"/>
      <c r="U24" s="217"/>
      <c r="V24" s="21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8"/>
      <c r="I25" s="218"/>
      <c r="J25" s="218"/>
      <c r="K25" s="21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6"/>
      <c r="T25" s="217"/>
      <c r="U25" s="217"/>
      <c r="V25" s="21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8"/>
      <c r="I26" s="218"/>
      <c r="J26" s="218"/>
      <c r="K26" s="21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6"/>
      <c r="T26" s="217"/>
      <c r="U26" s="217"/>
      <c r="V26" s="217"/>
    </row>
    <row r="27" spans="1:22">
      <c r="A27" s="2"/>
      <c r="B27" s="76"/>
      <c r="C27" s="77"/>
      <c r="D27" s="78"/>
      <c r="E27" s="79"/>
      <c r="F27" s="210"/>
      <c r="G27" s="210"/>
      <c r="H27" s="218"/>
      <c r="I27" s="218"/>
      <c r="J27" s="218"/>
      <c r="K27" s="21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6"/>
      <c r="T27" s="217"/>
      <c r="U27" s="217"/>
      <c r="V27" s="21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6" t="s">
        <v>64</v>
      </c>
      <c r="I30" s="217"/>
      <c r="J30" s="217"/>
      <c r="K30" s="21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6" t="s">
        <v>65</v>
      </c>
      <c r="T30" s="217"/>
      <c r="U30" s="217"/>
      <c r="V30" s="21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6"/>
      <c r="I31" s="217"/>
      <c r="J31" s="217"/>
      <c r="K31" s="21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6"/>
      <c r="T31" s="217"/>
      <c r="U31" s="217"/>
      <c r="V31" s="21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6"/>
      <c r="I32" s="217"/>
      <c r="J32" s="217"/>
      <c r="K32" s="21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6"/>
      <c r="T32" s="217"/>
      <c r="U32" s="217"/>
      <c r="V32" s="21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6"/>
      <c r="I33" s="217"/>
      <c r="J33" s="217"/>
      <c r="K33" s="21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6"/>
      <c r="T33" s="217"/>
      <c r="U33" s="217"/>
      <c r="V33" s="21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6"/>
      <c r="I34" s="217"/>
      <c r="J34" s="217"/>
      <c r="K34" s="21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6"/>
      <c r="T34" s="217"/>
      <c r="U34" s="217"/>
      <c r="V34" s="21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6"/>
      <c r="I35" s="217"/>
      <c r="J35" s="217"/>
      <c r="K35" s="21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6"/>
      <c r="T35" s="217"/>
      <c r="U35" s="217"/>
      <c r="V35" s="21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6"/>
      <c r="I36" s="217"/>
      <c r="J36" s="217"/>
      <c r="K36" s="21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6"/>
      <c r="T36" s="217"/>
      <c r="U36" s="217"/>
      <c r="V36" s="21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view="pageBreakPreview" zoomScaleNormal="80" zoomScaleSheetLayoutView="100" workbookViewId="0">
      <selection activeCell="G5" sqref="G5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55.1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143.26</v>
      </c>
      <c r="C5" s="152">
        <f>E14</f>
        <v>26000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143.26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55.1</v>
      </c>
      <c r="C14" s="165"/>
      <c r="D14" s="165">
        <f>ROUND(E14*B14/10000,2)</f>
        <v>143.26</v>
      </c>
      <c r="E14" s="165">
        <v>26000</v>
      </c>
      <c r="F14" s="165" t="e">
        <f>ROUND(D14*10000/C14,0)</f>
        <v>#DIV/0!</v>
      </c>
      <c r="G14" s="165">
        <f>D14</f>
        <v>143.26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sqref="A1:XFD1048576"/>
    </sheetView>
  </sheetViews>
  <sheetFormatPr defaultRowHeight="13.5"/>
  <sheetData>
    <row r="2" spans="1:2">
      <c r="A2">
        <f>5200/30/56.18</f>
        <v>3.0853209920493652</v>
      </c>
      <c r="B2" s="171" t="s">
        <v>115</v>
      </c>
    </row>
    <row r="3" spans="1:2">
      <c r="B3" s="171" t="s">
        <v>113</v>
      </c>
    </row>
    <row r="4" spans="1:2">
      <c r="B4" s="171" t="s">
        <v>114</v>
      </c>
    </row>
    <row r="5" spans="1:2">
      <c r="A5">
        <f>4100/57.31/30</f>
        <v>2.3846914441924039</v>
      </c>
      <c r="B5" s="171" t="s">
        <v>116</v>
      </c>
    </row>
    <row r="6" spans="1:2">
      <c r="B6" s="171"/>
    </row>
  </sheetData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