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48" i="74" l="1"/>
  <c r="D29" i="74" l="1"/>
  <c r="D14" i="74" s="1"/>
  <c r="E29" i="74" l="1"/>
  <c r="A29" i="74"/>
  <c r="F19" i="6"/>
  <c r="G14" i="74" l="1"/>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4" i="79" l="1"/>
  <c r="AK34" i="79" s="1"/>
  <c r="AH34" i="79"/>
  <c r="W35" i="79"/>
  <c r="AK35" i="79" s="1"/>
  <c r="AH35"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1" i="79"/>
  <c r="AK11" i="79" s="1"/>
  <c r="AH11"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9" i="67"/>
  <c r="F5" i="73"/>
  <c r="F16" i="67"/>
  <c r="M26" i="67"/>
  <c r="F38" i="67"/>
  <c r="E11" i="76"/>
  <c r="F4" i="73"/>
  <c r="M8" i="67"/>
  <c r="F40" i="67"/>
  <c r="B12" i="76"/>
  <c r="E10" i="76"/>
  <c r="F42" i="67"/>
  <c r="E13" i="76"/>
  <c r="M6" i="67"/>
  <c r="C20" i="9"/>
  <c r="F3" i="73"/>
  <c r="E8" i="76"/>
  <c r="F20" i="31"/>
  <c r="F7" i="67"/>
  <c r="D34" i="9"/>
  <c r="M29" i="67"/>
  <c r="E9" i="76"/>
  <c r="B11" i="76"/>
  <c r="F6" i="67"/>
  <c r="F13" i="67"/>
  <c r="D20" i="9"/>
  <c r="E2" i="68"/>
  <c r="E2" i="69"/>
  <c r="B7" i="76"/>
  <c r="D6" i="73"/>
  <c r="B8" i="76"/>
  <c r="B13" i="76"/>
  <c r="E7" i="76"/>
  <c r="M28" i="67"/>
  <c r="B10" i="76"/>
  <c r="F43" i="67"/>
  <c r="M22" i="67"/>
  <c r="F37" i="67"/>
  <c r="F26" i="67"/>
  <c r="M23" i="67"/>
  <c r="C76" i="67"/>
  <c r="L48" i="67"/>
  <c r="D19" i="9"/>
  <c r="D35" i="9"/>
  <c r="F7" i="73"/>
  <c r="L47" i="67"/>
  <c r="F6" i="73"/>
  <c r="F36" i="67"/>
  <c r="M24" i="67"/>
  <c r="J15" i="67"/>
  <c r="E12" i="76"/>
  <c r="AO13" i="1"/>
  <c r="B9" i="76"/>
  <c r="C19" i="9"/>
  <c r="M9" i="67"/>
  <c r="F29" i="6" l="1"/>
  <c r="G1" i="15"/>
  <c r="B6" i="1"/>
  <c r="E6" i="1" s="1"/>
  <c r="G1" i="69"/>
  <c r="K1" i="12"/>
  <c r="F9" i="1"/>
  <c r="G9" i="1" s="1"/>
  <c r="F10" i="1"/>
  <c r="G10" i="1" s="1"/>
  <c r="F8" i="1"/>
  <c r="G8" i="1" s="1"/>
  <c r="G16" i="1" s="1"/>
  <c r="F10" i="39"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66" i="67"/>
  <c r="Q71" i="67"/>
  <c r="D103" i="9"/>
  <c r="C27" i="67"/>
  <c r="F71" i="67"/>
  <c r="G20" i="9"/>
  <c r="C103" i="9"/>
  <c r="N59" i="67"/>
  <c r="L59" i="67"/>
  <c r="L58" i="67"/>
  <c r="M59" i="67"/>
  <c r="B13" i="70"/>
  <c r="M7" i="67"/>
  <c r="J6" i="67" s="1"/>
  <c r="F50" i="67"/>
  <c r="F68" i="67"/>
  <c r="F64" i="67"/>
  <c r="C36" i="68"/>
  <c r="D9" i="69"/>
  <c r="C36" i="69"/>
  <c r="D9" i="68"/>
  <c r="F6" i="15"/>
  <c r="F43" i="15"/>
  <c r="F13" i="15"/>
  <c r="F26" i="15"/>
  <c r="F40" i="15"/>
  <c r="F9" i="15"/>
  <c r="D7" i="73"/>
  <c r="M28" i="15"/>
  <c r="M23" i="15"/>
  <c r="F36" i="15"/>
  <c r="M26" i="15"/>
  <c r="J15" i="15"/>
  <c r="C76" i="15"/>
  <c r="M24" i="15"/>
  <c r="D4" i="73"/>
  <c r="F8" i="15"/>
  <c r="F38" i="15"/>
  <c r="L48" i="15"/>
  <c r="F42" i="15"/>
  <c r="F7" i="15"/>
  <c r="M6" i="15"/>
  <c r="D3" i="73"/>
  <c r="F37" i="15"/>
  <c r="M8" i="15"/>
  <c r="M29" i="15"/>
  <c r="L47" i="15"/>
  <c r="F16" i="15"/>
  <c r="M9" i="15"/>
  <c r="M22" i="15"/>
  <c r="D5" i="73"/>
  <c r="C16" i="67"/>
  <c r="J7" i="36" l="1"/>
  <c r="Q71" i="15"/>
  <c r="F68" i="15"/>
  <c r="M7" i="15"/>
  <c r="J6" i="15" s="1"/>
  <c r="J18" i="15" s="1"/>
  <c r="F50" i="15"/>
  <c r="C27" i="15"/>
  <c r="L59" i="15"/>
  <c r="N59" i="15"/>
  <c r="L58" i="15"/>
  <c r="Q73" i="15" s="1"/>
  <c r="M59" i="15"/>
  <c r="J57" i="15"/>
  <c r="J55" i="15" s="1"/>
  <c r="J58" i="15" s="1"/>
  <c r="Q50" i="15" s="1"/>
  <c r="I54" i="15"/>
  <c r="J53" i="15"/>
  <c r="L56" i="15" s="1"/>
  <c r="F64" i="15"/>
  <c r="F71" i="15"/>
  <c r="F66" i="15"/>
  <c r="C6" i="15"/>
  <c r="C32" i="15" s="1"/>
  <c r="F31" i="15"/>
  <c r="F51" i="15"/>
  <c r="F65" i="15"/>
  <c r="P6" i="1"/>
  <c r="C13" i="12" s="1"/>
  <c r="K16" i="1"/>
  <c r="N94" i="46"/>
  <c r="F26" i="43"/>
  <c r="D26" i="43" s="1"/>
  <c r="C25" i="43" s="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C16" i="15"/>
  <c r="G1" i="73"/>
  <c r="F41" i="67"/>
  <c r="J5" i="15" l="1"/>
  <c r="J24" i="15" s="1"/>
  <c r="Q60" i="15"/>
  <c r="M17" i="15"/>
  <c r="C49" i="15"/>
  <c r="F59" i="15"/>
  <c r="Q52" i="15"/>
  <c r="F1" i="15"/>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8"/>
  <c r="C35" i="9"/>
  <c r="F41" i="15"/>
  <c r="M27" i="67"/>
  <c r="M27" i="15"/>
  <c r="C48" i="15" l="1"/>
  <c r="C66" i="15"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6" i="1"/>
  <c r="AO12" i="1"/>
  <c r="AO11"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31" i="74" s="1"/>
  <c r="F14" i="74"/>
  <c r="B5" i="74"/>
  <c r="D5" i="74" s="1"/>
  <c r="B6" i="74" l="1"/>
  <c r="D6" i="74" s="1"/>
  <c r="C5" i="74"/>
  <c r="C104" i="9"/>
  <c r="H4" i="52"/>
  <c r="I4" i="52"/>
  <c r="C105" i="9"/>
  <c r="N58" i="9"/>
  <c r="P57" i="9"/>
  <c r="C6" i="74"/>
  <c r="B32" i="72"/>
  <c r="D14" i="53"/>
  <c r="B30" i="72"/>
  <c r="N61" i="9"/>
  <c r="N59" i="9"/>
  <c r="N60" i="9"/>
  <c r="D52" i="9"/>
  <c r="D53" i="9"/>
  <c r="D13" i="53"/>
  <c r="L64" i="9"/>
  <c r="M64" i="9"/>
  <c r="B51" i="72"/>
  <c r="B49" i="72"/>
  <c r="M54" i="9"/>
  <c r="F4" i="52"/>
  <c r="M48" i="9"/>
  <c r="L68" i="9"/>
  <c r="M68" i="9"/>
  <c r="H119" i="9"/>
  <c r="H5" i="52"/>
  <c r="L67" i="9"/>
  <c r="M67" i="9"/>
  <c r="N57" i="9"/>
  <c r="D8" i="52"/>
  <c r="E81" i="9"/>
  <c r="D122" i="9"/>
  <c r="D123" i="9"/>
  <c r="D9" i="52"/>
  <c r="C68" i="9"/>
  <c r="D54" i="9"/>
  <c r="C81" i="9"/>
  <c r="E97" i="9"/>
  <c r="B22" i="72"/>
  <c r="E4" i="52"/>
  <c r="B48" i="72"/>
  <c r="C93" i="9"/>
  <c r="C86" i="9"/>
  <c r="B52" i="72"/>
  <c r="L65" i="9"/>
  <c r="M65" i="9"/>
  <c r="L63" i="9"/>
  <c r="M63" i="9"/>
  <c r="M69" i="9"/>
  <c r="N69" i="9"/>
  <c r="G4" i="52"/>
  <c r="M49" i="9"/>
  <c r="L66" i="9"/>
  <c r="M66" i="9"/>
  <c r="H107" i="9"/>
  <c r="H108" i="9"/>
  <c r="D15" i="53"/>
  <c r="B31" i="72"/>
  <c r="C80" i="9"/>
  <c r="E80" i="9"/>
  <c r="D119" i="9"/>
  <c r="D5" i="52"/>
  <c r="C97" i="9"/>
  <c r="D58" i="9"/>
  <c r="D56" i="9"/>
  <c r="H102" i="9"/>
  <c r="D7" i="53"/>
  <c r="B21" i="72"/>
  <c r="E118" i="9"/>
  <c r="D118" i="9"/>
  <c r="D4" i="52"/>
  <c r="B47" i="72"/>
  <c r="B20" i="72"/>
  <c r="D5" i="53"/>
  <c r="D6" i="53"/>
  <c r="C78" i="9"/>
  <c r="C73" i="9"/>
  <c r="C64" i="9"/>
  <c r="C63" i="9"/>
  <c r="C67" i="9"/>
  <c r="D59" i="9"/>
  <c r="M55" i="9"/>
  <c r="C85" i="9"/>
  <c r="C95" i="9"/>
  <c r="C96" i="9"/>
  <c r="E96" i="9"/>
  <c r="B53" i="72"/>
  <c r="D55" i="9"/>
  <c r="M53" i="9"/>
  <c r="G118" i="9"/>
  <c r="F118" i="9"/>
  <c r="F119" i="9"/>
  <c r="F5" i="5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<sst xmlns="http://schemas.openxmlformats.org/spreadsheetml/2006/main" count="7821" uniqueCount="3417">
  <si>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</si>
  <si>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</si>
  <si>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</si>
  <si>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</si>
  <si>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</si>
  <si>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</si>
  <si>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</si>
  <si>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</si>
  <si>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</si>
  <si>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</si>
  <si>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</si>
  <si>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</si>
  <si>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</si>
  <si>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</si>
  <si>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</si>
  <si>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</si>
  <si>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</si>
  <si>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</si>
  <si>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</si>
  <si>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</si>
  <si>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</si>
  <si>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</si>
  <si>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</si>
  <si>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</si>
  <si>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</si>
  <si>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</si>
  <si>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</si>
  <si>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</si>
  <si>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</si>
  <si>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</si>
  <si>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</si>
  <si>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</si>
  <si>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</si>
  <si>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</si>
  <si>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</si>
  <si>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</si>
  <si>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</si>
  <si>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</si>
  <si>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</si>
  <si>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</si>
  <si>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</si>
  <si>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</si>
  <si>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</si>
  <si>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</si>
  <si>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</si>
  <si>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</si>
  <si>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</si>
  <si>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</si>
  <si>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</si>
  <si>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</si>
  <si>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</si>
  <si>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</si>
  <si>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</si>
  <si>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</si>
  <si>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</si>
  <si>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</si>
  <si>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</si>
  <si>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</si>
  <si>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</si>
  <si>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</si>
  <si>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</si>
  <si>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</si>
  <si>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</si>
  <si>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</si>
  <si>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</si>
  <si>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</si>
  <si>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</si>
  <si>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</si>
  <si>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</si>
  <si>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</si>
  <si>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</si>
  <si>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</si>
  <si>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</si>
  <si>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</si>
  <si>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</si>
  <si>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</si>
  <si>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</si>
  <si>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</si>
  <si>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</si>
  <si>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</si>
  <si>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</si>
  <si>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</si>
  <si>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</si>
  <si>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</si>
  <si>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</si>
  <si>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</si>
  <si>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</si>
  <si>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</si>
  <si>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</si>
  <si>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</si>
  <si>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</si>
  <si>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</si>
  <si>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</si>
  <si>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</si>
  <si>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</si>
  <si>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</si>
  <si>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</si>
  <si>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</si>
  <si>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</si>
  <si>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</si>
  <si>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</si>
  <si>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</si>
  <si>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</si>
  <si>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</si>
  <si>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</si>
  <si>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</si>
  <si>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</si>
  <si>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</si>
  <si>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</si>
  <si>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</si>
  <si>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</si>
  <si>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</si>
  <si>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</si>
  <si>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</si>
  <si>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</si>
  <si>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</si>
  <si>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</si>
  <si>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</si>
  <si>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</si>
  <si>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</si>
  <si>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</si>
  <si>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</si>
  <si>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</si>
  <si>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</si>
  <si>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</si>
  <si>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</si>
  <si>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</si>
  <si>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</si>
  <si>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</si>
  <si>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</si>
  <si>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</si>
  <si>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</si>
  <si>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</si>
  <si>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</si>
  <si>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</si>
  <si>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</si>
  <si>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</si>
  <si>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</si>
  <si>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</si>
  <si>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</si>
  <si>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</si>
  <si>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</si>
  <si>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</si>
  <si>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</si>
  <si>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</si>
  <si>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</si>
  <si>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</si>
  <si>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</si>
  <si>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</si>
  <si>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</si>
  <si>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</si>
  <si>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</si>
  <si>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</si>
  <si>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</si>
  <si>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</si>
  <si>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</si>
  <si>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</si>
  <si>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</si>
  <si>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</si>
  <si>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</si>
  <si>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</si>
  <si>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</si>
  <si>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</si>
  <si>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</si>
  <si>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</si>
  <si>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</si>
  <si>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</si>
  <si>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</si>
  <si>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</si>
  <si>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</si>
  <si>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</si>
  <si>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</si>
  <si>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</si>
  <si>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</si>
  <si>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</si>
  <si>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</si>
  <si>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</si>
  <si>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</si>
  <si>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</si>
  <si>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</si>
  <si>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</si>
  <si>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</si>
  <si>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</si>
  <si>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</si>
  <si>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</si>
  <si>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</si>
  <si>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</si>
  <si>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</si>
  <si>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</si>
  <si>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</si>
  <si>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</si>
  <si>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</si>
  <si>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</si>
  <si>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</si>
  <si>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</si>
  <si>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</si>
  <si>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</si>
  <si>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</si>
  <si>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</si>
  <si>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</si>
  <si>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</si>
  <si>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</si>
  <si>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</si>
  <si>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</si>
  <si>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</si>
  <si>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</si>
  <si>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</si>
  <si>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</si>
  <si>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</si>
  <si>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</si>
  <si>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</si>
  <si>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</si>
  <si>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</si>
  <si>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</si>
  <si>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</si>
  <si>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</si>
  <si>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</si>
  <si>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</si>
  <si>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</si>
  <si>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</si>
  <si>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</si>
  <si>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</si>
  <si>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</si>
  <si>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</si>
  <si>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</si>
  <si>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</si>
  <si>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</si>
  <si>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</si>
  <si>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</si>
  <si>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</si>
  <si>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</si>
  <si>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</si>
  <si>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</si>
  <si>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</si>
  <si>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</si>
  <si>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</si>
  <si>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</si>
  <si>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</si>
  <si>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</si>
  <si>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</si>
  <si>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</si>
  <si>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</si>
  <si>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</si>
  <si>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</si>
  <si>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</si>
  <si>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</si>
  <si>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</si>
  <si>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</si>
  <si>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</si>
  <si>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</si>
  <si>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</si>
  <si>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</si>
  <si>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</si>
  <si>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</si>
  <si>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</si>
  <si>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</si>
  <si>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</si>
  <si>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</si>
  <si>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</si>
  <si>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</si>
  <si>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</si>
  <si>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</si>
  <si>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</si>
  <si>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</si>
  <si>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</si>
  <si>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</si>
  <si>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</si>
  <si>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</si>
  <si>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</si>
  <si>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</si>
  <si>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</si>
  <si>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</si>
  <si>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</si>
  <si>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</si>
  <si>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</si>
  <si>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</si>
  <si>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</si>
  <si>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</si>
  <si>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</si>
  <si>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</si>
  <si>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</si>
  <si>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</si>
  <si>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</si>
  <si>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</si>
  <si>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</si>
  <si>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</si>
  <si>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</si>
  <si>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</si>
  <si>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</si>
  <si>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</si>
  <si>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</si>
  <si>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</si>
  <si>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</si>
  <si>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</si>
  <si>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</si>
  <si>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</si>
  <si>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</si>
  <si>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</si>
  <si>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</si>
  <si>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</si>
  <si>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</si>
  <si>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</si>
  <si>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</si>
  <si>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</si>
  <si>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</si>
  <si>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</si>
  <si>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</si>
  <si>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</si>
  <si>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</si>
  <si>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</si>
  <si>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</si>
  <si>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</si>
  <si>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</si>
  <si>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</si>
  <si>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</si>
  <si>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</si>
  <si>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</si>
  <si>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</si>
  <si>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</si>
  <si>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</si>
  <si>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</si>
  <si>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</si>
  <si>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</si>
  <si>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</si>
  <si>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</si>
  <si>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</si>
  <si>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</si>
  <si>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</si>
  <si>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</si>
  <si>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</si>
  <si>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</si>
  <si>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</si>
  <si>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</si>
  <si>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</si>
  <si>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</si>
  <si>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</si>
  <si>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</si>
  <si>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</si>
  <si>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</si>
  <si>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</si>
  <si>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</si>
  <si>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</si>
  <si>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</si>
  <si>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</si>
  <si>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</si>
  <si>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</si>
  <si>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</si>
  <si>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</si>
  <si>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</si>
  <si>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</si>
  <si>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</si>
  <si>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</si>
  <si>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</si>
  <si>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</si>
  <si>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</si>
  <si>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</si>
  <si>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</si>
  <si>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</si>
  <si>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</si>
  <si>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</si>
  <si>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</si>
  <si>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</si>
  <si>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</si>
  <si>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</si>
  <si>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</si>
  <si>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</si>
  <si>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</si>
  <si>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</si>
  <si>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</si>
  <si>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</si>
  <si>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</si>
  <si>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</si>
  <si>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</si>
  <si>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</si>
  <si>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</si>
  <si>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</si>
  <si>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</si>
  <si>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</si>
  <si>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</si>
  <si>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</si>
  <si>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</si>
  <si>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</si>
  <si>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</si>
  <si>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</si>
  <si>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</si>
  <si>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</si>
  <si>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</si>
  <si>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</si>
  <si>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</si>
  <si>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</si>
  <si>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</si>
  <si>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</si>
  <si>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</si>
  <si>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</si>
  <si>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</si>
  <si>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</si>
  <si>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</si>
  <si>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</si>
  <si>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</si>
  <si>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</si>
  <si>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</si>
  <si>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</si>
  <si>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</si>
  <si>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</si>
  <si>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</si>
  <si>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</si>
  <si>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</si>
  <si>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</si>
  <si>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</si>
  <si>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</si>
  <si>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</si>
  <si>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</si>
  <si>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</si>
  <si>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</si>
  <si>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</si>
  <si>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</si>
  <si>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</si>
  <si>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</si>
  <si>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</si>
  <si>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</si>
  <si>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</si>
  <si>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</si>
  <si>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</si>
  <si>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</si>
  <si>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</si>
  <si>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</si>
  <si>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</si>
  <si>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</si>
  <si>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</si>
  <si>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</si>
  <si>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</si>
  <si>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</si>
  <si>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</si>
  <si>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</si>
  <si>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</si>
  <si>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</si>
  <si>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</si>
  <si>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</si>
  <si>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</si>
  <si>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</si>
  <si>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</si>
  <si>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</si>
  <si>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</si>
  <si>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</si>
  <si>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</si>
  <si>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</si>
  <si>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</si>
  <si>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</si>
  <si>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</si>
  <si>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</si>
  <si>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</si>
  <si>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</si>
  <si>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</si>
  <si>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</si>
  <si>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</si>
  <si>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</si>
  <si>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</si>
  <si>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</si>
  <si>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</si>
  <si>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</si>
  <si>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</si>
  <si>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</si>
  <si>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</si>
  <si>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</si>
  <si>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</si>
  <si>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</si>
  <si>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</si>
  <si>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</si>
  <si>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</si>
  <si>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</si>
  <si>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</si>
  <si>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</si>
  <si>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</si>
  <si>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</si>
  <si>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</si>
  <si>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</si>
  <si>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</si>
  <si>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</si>
  <si>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</si>
  <si>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</si>
  <si>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</si>
  <si>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</si>
  <si>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</si>
  <si>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</si>
  <si>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</si>
  <si>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</si>
  <si>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</si>
  <si>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</si>
  <si>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</si>
  <si>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</si>
  <si>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</si>
  <si>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</si>
  <si>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</si>
  <si>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</si>
  <si>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</si>
  <si>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</si>
  <si>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</si>
  <si>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</si>
  <si>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</si>
  <si>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</si>
  <si>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</si>
  <si>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</si>
  <si>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</si>
  <si>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</si>
  <si>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</si>
  <si>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</si>
  <si>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</si>
  <si>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</si>
  <si>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</si>
  <si>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</si>
  <si>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</si>
  <si>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</si>
  <si>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</si>
  <si>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</si>
  <si>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</si>
  <si>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</si>
  <si>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</si>
  <si>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</si>
  <si>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</si>
  <si>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</si>
  <si>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</si>
  <si>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</si>
  <si>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</si>
  <si>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</si>
  <si>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</si>
  <si>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</si>
  <si>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</si>
  <si>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</si>
  <si>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</si>
  <si>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</si>
  <si>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</si>
  <si>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</si>
  <si>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</si>
  <si>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</si>
  <si>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</si>
  <si>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</si>
  <si>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</si>
  <si>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</si>
  <si>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</si>
  <si>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</si>
  <si>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</si>
  <si>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</si>
  <si>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</si>
  <si>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</si>
  <si>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</si>
  <si>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</si>
  <si>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</si>
  <si>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</si>
  <si>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</si>
  <si>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</si>
  <si>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</si>
  <si>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</si>
  <si>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</si>
  <si>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</si>
  <si>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</si>
  <si>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</si>
  <si>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</si>
  <si>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</si>
  <si>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</si>
  <si>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</si>
  <si>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</si>
  <si>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</si>
  <si>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</si>
  <si>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</si>
  <si>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</si>
  <si>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</si>
  <si>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</si>
  <si>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</si>
  <si>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</si>
  <si>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</si>
  <si>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</si>
  <si>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</si>
  <si>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</si>
  <si>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</si>
  <si>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</si>
  <si>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</si>
  <si>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</si>
  <si>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</si>
  <si>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</si>
  <si>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</si>
  <si>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</si>
  <si>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</si>
  <si>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</si>
  <si>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</si>
  <si>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</si>
  <si>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</si>
  <si>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</si>
  <si>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</si>
  <si>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</si>
  <si>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</si>
  <si>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</si>
  <si>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</si>
  <si>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</si>
  <si>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</si>
  <si>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</si>
  <si>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</si>
  <si>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</si>
  <si>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</si>
  <si>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</si>
  <si>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</si>
  <si>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</si>
  <si>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</si>
  <si>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</si>
  <si>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</si>
  <si>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</si>
  <si>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</si>
  <si>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</si>
  <si>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</si>
  <si>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</si>
  <si>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</si>
  <si>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</si>
  <si>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</si>
  <si>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</si>
  <si>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</si>
  <si>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</si>
  <si>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</si>
  <si>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</si>
  <si>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</si>
  <si>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</si>
  <si>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</si>
  <si>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</si>
  <si>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</si>
  <si>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</si>
  <si>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</si>
  <si>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</si>
  <si>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</si>
  <si>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</si>
  <si>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</si>
  <si>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</si>
  <si>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</si>
  <si>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</si>
  <si>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</si>
  <si>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</si>
  <si>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</si>
  <si>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</si>
  <si>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</si>
  <si>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</si>
  <si>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</si>
  <si>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</si>
  <si>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</si>
  <si>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</si>
  <si>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</si>
  <si>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</si>
  <si>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</si>
  <si>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</si>
  <si>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</si>
  <si>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</si>
  <si>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</si>
  <si>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</si>
  <si>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</si>
  <si>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</si>
  <si>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</si>
  <si>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</si>
  <si>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</si>
  <si>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</si>
  <si>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</si>
  <si>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</si>
  <si>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</si>
  <si>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</si>
  <si>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</si>
  <si>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</si>
  <si>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</si>
  <si>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</si>
  <si>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</si>
  <si>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</si>
  <si>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</si>
  <si>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</si>
  <si>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</si>
  <si>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</si>
  <si>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</si>
  <si>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</si>
  <si>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</si>
  <si>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</si>
  <si>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</si>
  <si>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</si>
  <si>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</si>
  <si>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</si>
  <si>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</si>
  <si>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</si>
  <si>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</si>
  <si>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</si>
  <si>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</si>
  <si>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</si>
  <si>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</si>
  <si>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</si>
  <si>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</si>
  <si>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</si>
  <si>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</si>
  <si>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</si>
  <si>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</si>
  <si>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</si>
  <si>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</si>
  <si>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</si>
  <si>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</si>
  <si>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</si>
  <si>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</si>
  <si>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</si>
  <si>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</si>
  <si>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</si>
  <si>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</si>
  <si>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</si>
  <si>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</si>
  <si>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</si>
  <si>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</si>
  <si>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</si>
  <si>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</si>
  <si>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</si>
  <si>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</si>
  <si>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</si>
  <si>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</si>
  <si>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</si>
  <si>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</si>
  <si>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</si>
  <si>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</si>
  <si>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</si>
  <si>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</si>
  <si>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</si>
  <si>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</si>
  <si>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</si>
  <si>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</si>
  <si>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</si>
  <si>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</si>
  <si>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</si>
  <si>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</si>
  <si>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</si>
  <si>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</si>
  <si>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</si>
  <si>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</si>
  <si>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</si>
  <si>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</si>
  <si>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</si>
  <si>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</si>
  <si>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</si>
  <si>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</si>
  <si>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</si>
  <si>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</si>
  <si>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</si>
  <si>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</si>
  <si>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</si>
  <si>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</si>
  <si>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</si>
  <si>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</si>
  <si>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</si>
  <si>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</si>
  <si>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</si>
  <si>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</si>
  <si>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</si>
  <si>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</si>
  <si>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</si>
  <si>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</si>
  <si>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</si>
  <si>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</si>
  <si>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</si>
  <si>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</si>
  <si>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</si>
  <si>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</si>
  <si>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</si>
  <si>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</si>
  <si>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</si>
  <si>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</si>
  <si>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</si>
  <si>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</si>
  <si>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</si>
  <si>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</si>
  <si>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</si>
  <si>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</si>
  <si>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</si>
  <si>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</si>
  <si>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</si>
  <si>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</si>
  <si>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</si>
  <si>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</si>
  <si>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</si>
  <si>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</si>
  <si>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</si>
  <si>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</si>
  <si>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</si>
  <si>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</si>
  <si>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</si>
  <si>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</si>
  <si>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</si>
  <si>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</si>
  <si>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</si>
  <si>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</si>
  <si>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</si>
  <si>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</si>
  <si>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</si>
  <si>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</si>
  <si>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</si>
  <si>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</si>
  <si>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</si>
  <si>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</si>
  <si>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</si>
  <si>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</si>
  <si>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</si>
  <si>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</si>
  <si>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</si>
  <si>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</si>
  <si>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</si>
  <si>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</si>
  <si>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</si>
  <si>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</si>
  <si>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</si>
  <si>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</si>
  <si>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</si>
  <si>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</si>
  <si>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</si>
  <si>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</si>
  <si>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</si>
  <si>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</si>
  <si>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</si>
  <si>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</si>
  <si>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</si>
  <si>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</si>
  <si>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</si>
  <si>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</si>
  <si>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</si>
  <si>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</si>
  <si>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</si>
  <si>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</si>
  <si>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</si>
  <si>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</si>
  <si>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</si>
  <si>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</si>
  <si>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</si>
  <si>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</si>
  <si>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</si>
  <si>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</si>
  <si>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</si>
  <si>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</si>
  <si>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</si>
  <si>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</si>
  <si>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</si>
  <si>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</si>
  <si>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</si>
  <si>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</si>
  <si>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</si>
  <si>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</si>
  <si>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</si>
  <si>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</si>
  <si>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</si>
  <si>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</si>
  <si>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</si>
  <si>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</si>
  <si>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</si>
  <si>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</si>
  <si>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</si>
  <si>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</si>
  <si>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</si>
  <si>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</si>
  <si>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</si>
  <si>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</si>
  <si>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</si>
  <si>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</si>
  <si>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</si>
  <si>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</si>
  <si>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</si>
  <si>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</si>
  <si>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</si>
  <si>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</si>
  <si>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</si>
  <si>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</si>
  <si>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</si>
  <si>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</si>
  <si>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</si>
  <si>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</si>
  <si>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</si>
  <si>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</si>
  <si>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</si>
  <si>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</si>
  <si>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</si>
  <si>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</si>
  <si>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</si>
  <si>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</si>
  <si>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</si>
  <si>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</si>
  <si>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</si>
  <si>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</si>
  <si>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</si>
  <si>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</si>
  <si>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</si>
  <si>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</si>
  <si>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</si>
  <si>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</si>
  <si>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</si>
  <si>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</si>
  <si>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</si>
  <si>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</si>
  <si>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</si>
  <si>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</si>
  <si>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</si>
  <si>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</si>
  <si>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</si>
  <si>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</si>
  <si>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</si>
  <si>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</si>
  <si>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</si>
  <si>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</si>
  <si>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</si>
  <si>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</si>
  <si>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</si>
  <si>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</si>
  <si>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</si>
  <si>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</si>
  <si>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</si>
  <si>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</si>
  <si>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</si>
  <si>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</si>
  <si>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</si>
  <si>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</si>
  <si>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</si>
  <si>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</si>
  <si>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</si>
  <si>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</si>
  <si>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</si>
  <si>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</si>
  <si>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</si>
  <si>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</si>
  <si>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</si>
  <si>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</si>
  <si>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</si>
  <si>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</si>
  <si>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</si>
  <si>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</si>
  <si>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</si>
  <si>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</si>
  <si>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</si>
  <si>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</si>
  <si>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</si>
  <si>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</si>
  <si>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</si>
  <si>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</si>
  <si>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</si>
  <si>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</si>
  <si>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</si>
  <si>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</si>
  <si>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</si>
  <si>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</si>
  <si>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</si>
  <si>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</si>
  <si>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</si>
  <si>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</si>
  <si>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</si>
  <si>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</si>
  <si>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</si>
  <si>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</si>
  <si>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</si>
  <si>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</si>
  <si>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</si>
  <si>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</si>
  <si>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</si>
  <si>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</si>
  <si>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</si>
  <si>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</si>
  <si>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</si>
  <si>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</si>
  <si>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</si>
  <si>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</si>
  <si>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</si>
  <si>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</si>
  <si>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</si>
  <si>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</si>
  <si>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</si>
  <si>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</si>
  <si>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</si>
  <si>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</si>
  <si>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</si>
  <si>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</si>
  <si>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</si>
  <si>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</si>
  <si>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</si>
  <si>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</si>
  <si>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</si>
  <si>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</si>
  <si>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</si>
  <si>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</si>
  <si>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</si>
  <si>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</si>
  <si>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</si>
  <si>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</si>
  <si>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</si>
  <si>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</si>
  <si>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</si>
  <si>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</si>
  <si>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</si>
  <si>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</si>
  <si>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</si>
  <si>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</si>
  <si>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</si>
  <si>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</si>
  <si>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</si>
  <si>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</si>
  <si>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</si>
  <si>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</si>
  <si>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</si>
  <si>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</si>
  <si>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</si>
  <si>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</si>
  <si>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</si>
  <si>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</si>
  <si>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</si>
  <si>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</si>
  <si>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</si>
  <si>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</si>
  <si>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</si>
  <si>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</si>
  <si>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</si>
  <si>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</si>
  <si>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</si>
  <si>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</si>
  <si>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</si>
  <si>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</si>
  <si>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</si>
  <si>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</si>
  <si>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</si>
  <si>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</si>
  <si>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</si>
  <si>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</si>
  <si>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</si>
  <si>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</si>
  <si>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</si>
  <si>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</si>
  <si>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</si>
  <si>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</si>
  <si>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</si>
  <si>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</si>
  <si>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</si>
  <si>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</si>
  <si>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</si>
  <si>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</si>
  <si>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</si>
  <si>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</si>
  <si>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</si>
  <si>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</si>
  <si>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</si>
  <si>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</si>
  <si>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</si>
  <si>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</si>
  <si>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</si>
  <si>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</si>
  <si>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</si>
  <si>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</si>
  <si>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</si>
  <si>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</si>
  <si>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</si>
  <si>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</si>
  <si>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</si>
  <si>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</si>
  <si>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</si>
  <si>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</si>
  <si>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</si>
  <si>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</si>
  <si>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</si>
  <si>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</si>
  <si>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</si>
  <si>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</si>
  <si>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</si>
  <si>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</si>
  <si>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</si>
  <si>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</si>
  <si>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</si>
  <si>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</si>
  <si>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</si>
  <si>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</si>
  <si>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</si>
  <si>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</si>
  <si>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</si>
  <si>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</si>
  <si>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</si>
  <si>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</si>
  <si>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</si>
  <si>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</si>
  <si>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</si>
  <si>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</si>
  <si>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</si>
  <si>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</si>
  <si>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</si>
  <si>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</si>
  <si>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</si>
  <si>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</si>
  <si>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</si>
  <si>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</si>
  <si>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</si>
  <si>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</si>
  <si>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</si>
  <si>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</si>
  <si>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</si>
  <si>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</si>
  <si>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</si>
  <si>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</si>
  <si>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</si>
  <si>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</si>
  <si>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</si>
  <si>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</si>
  <si>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</si>
  <si>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</si>
  <si>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</si>
  <si>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</si>
  <si>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</si>
  <si>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</si>
  <si>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</si>
  <si>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</si>
  <si>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</si>
  <si>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</si>
  <si>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</si>
  <si>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</si>
  <si>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</si>
  <si>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</si>
  <si>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</si>
  <si>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</si>
  <si>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</si>
  <si>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</si>
  <si>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</si>
  <si>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</si>
  <si>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</si>
  <si>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</si>
  <si>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</si>
  <si>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</si>
  <si>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</si>
  <si>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</si>
  <si>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</si>
  <si>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</si>
  <si>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</si>
  <si>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</si>
  <si>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</si>
  <si>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</si>
  <si>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</si>
  <si>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</si>
  <si>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</si>
  <si>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</si>
  <si>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</si>
  <si>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</si>
  <si>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</si>
  <si>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</si>
  <si>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</si>
  <si>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</si>
  <si>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</si>
  <si>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</si>
  <si>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</si>
  <si>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</si>
  <si>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</si>
  <si>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</si>
  <si>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</si>
  <si>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</si>
  <si>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</si>
  <si>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</si>
  <si>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</si>
  <si>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</si>
  <si>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</si>
  <si>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</si>
  <si>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</si>
  <si>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</si>
  <si>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</si>
  <si>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</si>
  <si>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</si>
  <si>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</si>
  <si>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</si>
  <si>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</si>
  <si>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</si>
  <si>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</si>
  <si>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</si>
  <si>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</si>
  <si>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</si>
  <si>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</si>
  <si>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</si>
  <si>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</si>
  <si>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</si>
  <si>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</si>
  <si>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</si>
  <si>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</si>
  <si>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</si>
  <si>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</si>
  <si>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</si>
  <si>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</si>
  <si>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</si>
  <si>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</si>
  <si>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</si>
  <si>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</si>
  <si>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</si>
  <si>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</si>
  <si>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</si>
  <si>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</si>
  <si>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</si>
  <si>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</si>
  <si>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</si>
  <si>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</si>
  <si>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</si>
  <si>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</si>
  <si>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</si>
  <si>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</si>
  <si>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</si>
  <si>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</si>
  <si>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</si>
  <si>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</si>
  <si>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</si>
  <si>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</si>
  <si>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</si>
  <si>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</si>
  <si>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</si>
  <si>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</si>
  <si>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</si>
  <si>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</si>
  <si>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</si>
  <si>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</si>
  <si>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</si>
  <si>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</si>
  <si>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</si>
  <si>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</si>
  <si>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</si>
  <si>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</si>
  <si>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</si>
  <si>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</si>
  <si>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</si>
  <si>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</si>
  <si>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</si>
  <si>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</si>
  <si>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</si>
  <si>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</si>
  <si>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</si>
  <si>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</si>
  <si>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</si>
  <si>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</si>
  <si>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</si>
  <si>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</si>
  <si>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</si>
  <si>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</si>
  <si>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</si>
  <si>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</si>
  <si>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</si>
  <si>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</si>
  <si>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</si>
  <si>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</si>
  <si>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</si>
  <si>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</si>
  <si>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</si>
  <si>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</si>
  <si>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</si>
  <si>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</si>
  <si>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</si>
  <si>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</si>
  <si>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</si>
  <si>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</si>
  <si>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</si>
  <si>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</si>
  <si>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</si>
  <si>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</si>
  <si>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</si>
  <si>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</si>
  <si>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</si>
  <si>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</si>
  <si>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</si>
  <si>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</si>
  <si>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</si>
  <si>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</si>
  <si>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</si>
  <si>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</si>
  <si>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</si>
  <si>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</si>
  <si>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</si>
  <si>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</si>
  <si>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</si>
  <si>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</si>
  <si>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</si>
  <si>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</si>
  <si>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</si>
  <si>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</si>
  <si>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</si>
  <si>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</si>
  <si>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</si>
  <si>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</si>
  <si>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</si>
  <si>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</si>
  <si>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</si>
  <si>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</si>
  <si>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</si>
  <si>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</si>
  <si>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</si>
  <si>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</si>
  <si>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</si>
  <si>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</si>
  <si>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</si>
  <si>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</si>
  <si>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</si>
  <si>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</si>
  <si>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</si>
  <si>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</si>
  <si>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</si>
  <si>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</si>
  <si>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</si>
  <si>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</si>
  <si>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</si>
  <si>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</si>
  <si>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</si>
  <si>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</si>
  <si>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</si>
  <si>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</si>
  <si>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</si>
  <si>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</si>
  <si>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</si>
  <si>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</si>
  <si>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</si>
  <si>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</si>
  <si>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</si>
  <si>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</si>
  <si>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</si>
  <si>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</si>
  <si>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</si>
  <si>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</si>
  <si>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</si>
  <si>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</si>
  <si>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</si>
  <si>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</si>
  <si>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</si>
  <si>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</si>
  <si>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</si>
  <si>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</si>
  <si>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</si>
  <si>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</si>
  <si>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</si>
  <si>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</si>
  <si>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</si>
  <si>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</si>
  <si>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</si>
  <si>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</si>
  <si>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</si>
  <si>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</si>
  <si>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</si>
  <si>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</si>
  <si>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</si>
  <si>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</si>
  <si>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</si>
  <si>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</si>
  <si>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</si>
  <si>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</si>
  <si>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</si>
  <si>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</si>
  <si>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</si>
  <si>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</si>
  <si>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</si>
  <si>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</si>
  <si>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</si>
  <si>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</si>
  <si>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</si>
  <si>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</si>
  <si>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</si>
  <si>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</si>
  <si>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</si>
  <si>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</si>
  <si>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</si>
  <si>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</si>
  <si>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</si>
  <si>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</si>
  <si>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</si>
  <si>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</si>
  <si>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</si>
  <si>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</si>
  <si>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</si>
  <si>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</si>
  <si>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</si>
  <si>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</si>
  <si>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</si>
  <si>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</si>
  <si>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</si>
  <si>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</si>
  <si>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</si>
  <si>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</si>
  <si>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</si>
  <si>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</si>
  <si>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</si>
  <si>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</si>
  <si>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</si>
  <si>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</si>
  <si>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</si>
  <si>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</si>
  <si>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</si>
  <si>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</si>
  <si>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</si>
  <si>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</si>
  <si>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</si>
  <si>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</si>
  <si>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</si>
  <si>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</si>
  <si>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</si>
  <si>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</si>
  <si>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</si>
  <si>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</si>
  <si>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</si>
  <si>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</si>
  <si>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</si>
  <si>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</si>
  <si>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</si>
  <si>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</si>
  <si>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</si>
  <si>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</si>
  <si>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</si>
  <si>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</si>
  <si>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</si>
  <si>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</si>
  <si>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</si>
  <si>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</si>
  <si>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</si>
  <si>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</si>
  <si>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</si>
  <si>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</si>
  <si>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</si>
  <si>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</si>
  <si>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</si>
  <si>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</si>
  <si>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</si>
  <si>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</si>
  <si>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</si>
  <si>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</si>
  <si>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</si>
  <si>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</si>
  <si>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</si>
  <si>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</si>
  <si>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</si>
  <si>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</si>
  <si>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</si>
  <si>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</si>
  <si>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</si>
  <si>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</si>
  <si>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</si>
  <si>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</si>
  <si>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</si>
  <si>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</si>
  <si>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</si>
  <si>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</si>
  <si>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</si>
  <si>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</si>
  <si>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</si>
  <si>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</si>
  <si>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</si>
  <si>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</si>
  <si>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</si>
  <si>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</si>
  <si>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</si>
  <si>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</si>
  <si>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</si>
  <si>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</si>
  <si>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</si>
  <si>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</si>
  <si>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</si>
  <si>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</si>
  <si>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</si>
  <si>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</si>
  <si>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</si>
  <si>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</si>
  <si>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</si>
  <si>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</si>
  <si>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</si>
  <si>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</si>
  <si>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</si>
  <si>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</si>
  <si>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</si>
  <si>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</si>
  <si>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</si>
  <si>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</si>
  <si>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</si>
  <si>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</si>
  <si>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</si>
  <si>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</si>
  <si>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</si>
  <si>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</si>
  <si>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</si>
  <si>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</si>
  <si>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</si>
  <si>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</si>
  <si>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</si>
  <si>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</si>
  <si>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</si>
  <si>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</si>
  <si>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</si>
  <si>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</si>
  <si>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</si>
  <si>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</si>
  <si>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</si>
  <si>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</si>
  <si>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</si>
  <si>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</si>
  <si>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</si>
  <si>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</si>
  <si>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</si>
  <si>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</si>
  <si>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</si>
  <si>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</si>
  <si>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</si>
  <si>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</si>
  <si>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</si>
  <si>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</si>
  <si>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</si>
  <si>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</si>
  <si>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</si>
  <si>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</si>
  <si>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</si>
  <si>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</si>
  <si>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</si>
  <si>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</si>
  <si>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</si>
  <si>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</si>
  <si>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</si>
  <si>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</si>
  <si>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</si>
  <si>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</si>
  <si>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</si>
  <si>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</si>
  <si>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</si>
  <si>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</si>
  <si>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</si>
  <si>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</si>
  <si>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</si>
  <si>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</si>
  <si>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</si>
  <si>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</si>
  <si>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</si>
  <si>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</si>
  <si>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</si>
  <si>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</si>
  <si>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</si>
  <si>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</si>
  <si>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</si>
  <si>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</si>
  <si>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</si>
  <si>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</si>
  <si>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</si>
  <si>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</si>
  <si>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</si>
  <si>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</si>
  <si>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</si>
  <si>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</si>
  <si>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</si>
  <si>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</si>
  <si>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</si>
  <si>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</si>
  <si>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</si>
  <si>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</si>
  <si>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</si>
  <si>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</si>
  <si>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</si>
  <si>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</si>
  <si>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</si>
  <si>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</si>
  <si>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</si>
  <si>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</si>
  <si>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</si>
  <si>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</si>
  <si>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</si>
  <si>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</si>
  <si>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</si>
  <si>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</si>
  <si>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</si>
  <si>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</si>
  <si>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</si>
  <si>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</si>
  <si>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</si>
  <si>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</si>
  <si>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</si>
  <si>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</si>
  <si>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</si>
  <si>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</si>
  <si>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</si>
  <si>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</si>
  <si>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</si>
  <si>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</si>
  <si>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</si>
  <si>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</si>
  <si>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</si>
  <si>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</si>
  <si>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</si>
  <si>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</si>
  <si>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</si>
  <si>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</si>
  <si>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</si>
  <si>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</si>
  <si>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</si>
  <si>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</si>
  <si>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</si>
  <si>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</si>
  <si>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</si>
  <si>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</si>
  <si>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</si>
  <si>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</si>
  <si>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</si>
  <si>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</si>
  <si>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</si>
  <si>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</si>
  <si>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</si>
  <si>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</si>
  <si>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</si>
  <si>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</si>
  <si>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</si>
  <si>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</si>
  <si>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</si>
  <si>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</si>
  <si>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</si>
  <si>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</si>
  <si>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</si>
  <si>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</si>
  <si>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</si>
  <si>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</si>
  <si>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</si>
  <si>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</si>
  <si>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</si>
  <si>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</si>
  <si>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</si>
  <si>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</si>
  <si>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</si>
  <si>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</si>
  <si>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</si>
  <si>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</si>
  <si>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</si>
  <si>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</si>
  <si>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</si>
  <si>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</si>
  <si>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</si>
  <si>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</si>
  <si>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</si>
  <si>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</si>
  <si>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</si>
  <si>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</si>
  <si>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</si>
  <si>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</si>
  <si>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</si>
  <si>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</si>
  <si>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</si>
  <si>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</si>
  <si>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</si>
  <si>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</si>
  <si>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</si>
  <si>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</si>
  <si>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</si>
  <si>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</si>
  <si>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</si>
  <si>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</si>
  <si>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</si>
  <si>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</si>
  <si>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</si>
  <si>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</si>
  <si>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</si>
  <si>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</si>
  <si>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</si>
  <si>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</si>
  <si>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</si>
  <si>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</si>
  <si>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</si>
  <si>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</si>
  <si>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</si>
  <si>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</si>
  <si>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</si>
  <si>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</si>
  <si>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</si>
  <si>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</si>
  <si>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</si>
  <si>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</si>
  <si>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</si>
  <si>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</si>
  <si>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</si>
  <si>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</si>
  <si>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</si>
  <si>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</si>
  <si>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</si>
  <si>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</si>
  <si>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</si>
  <si>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</si>
  <si>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</si>
  <si>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</si>
  <si>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</si>
  <si>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</si>
  <si>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</si>
  <si>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</si>
  <si>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</si>
  <si>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</si>
  <si>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</si>
  <si>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</si>
  <si>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</si>
  <si>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</si>
  <si>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</si>
  <si>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</si>
  <si>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</si>
  <si>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</si>
  <si>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</si>
  <si>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</si>
  <si>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</si>
  <si>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</si>
  <si>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</si>
  <si>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</si>
  <si>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</si>
  <si>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</si>
  <si>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</si>
  <si>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</si>
  <si>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</si>
  <si>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</si>
  <si>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</si>
  <si>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</si>
  <si>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</si>
  <si>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</si>
  <si>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</si>
  <si>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</si>
  <si>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</si>
  <si>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</si>
  <si>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</si>
  <si>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</si>
  <si>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</si>
  <si>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</si>
  <si>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</si>
  <si>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</si>
  <si>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</si>
  <si>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</si>
  <si>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</si>
  <si>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</si>
  <si>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</si>
  <si>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</si>
  <si>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</si>
  <si>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</si>
  <si>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</si>
  <si>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</si>
  <si>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</si>
  <si>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</si>
  <si>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</si>
  <si>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</si>
  <si>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</si>
  <si>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</si>
  <si>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</si>
  <si>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</si>
  <si>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</si>
  <si>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</si>
  <si>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</si>
  <si>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</si>
  <si>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</si>
  <si>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</si>
  <si>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</si>
  <si>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</si>
  <si>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</si>
  <si>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</si>
  <si>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</si>
  <si>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</si>
  <si>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</si>
  <si>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</si>
  <si>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</si>
  <si>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</si>
  <si>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</si>
  <si>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</si>
  <si>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</si>
  <si>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</si>
  <si>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</si>
  <si>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</si>
  <si>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</si>
  <si>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</si>
  <si>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</si>
  <si>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</si>
  <si>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</si>
  <si>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</si>
  <si>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</si>
  <si>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</si>
  <si>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</si>
  <si>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</si>
  <si>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</si>
  <si>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</si>
  <si>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</si>
  <si>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</si>
  <si>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</si>
  <si>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</si>
  <si>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</si>
  <si>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</si>
  <si>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</si>
  <si>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</si>
  <si>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</si>
  <si>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</si>
  <si>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</si>
  <si>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</si>
  <si>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</si>
  <si>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</si>
  <si>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</si>
  <si>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</si>
  <si>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</si>
  <si>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</si>
  <si>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</si>
  <si>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</si>
  <si>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</si>
  <si>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</si>
  <si>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</si>
  <si>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</si>
  <si>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</si>
  <si>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</si>
  <si>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</si>
  <si>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</si>
  <si>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</si>
  <si>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</si>
  <si>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</si>
  <si>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</si>
  <si>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</si>
  <si>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</si>
  <si>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</si>
  <si>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</si>
  <si>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</si>
  <si>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</si>
  <si>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</si>
  <si>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</si>
  <si>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</si>
  <si>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</si>
  <si>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</si>
  <si>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</si>
  <si>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</si>
  <si>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</si>
  <si>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</si>
  <si>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</si>
  <si>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</si>
  <si>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</si>
  <si>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</si>
  <si>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</si>
  <si>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</si>
  <si>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</si>
  <si>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</si>
  <si>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</si>
  <si>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</si>
  <si>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</si>
  <si>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</si>
  <si>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</si>
  <si>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</si>
  <si>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</si>
  <si>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</si>
  <si>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</si>
  <si>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</si>
  <si>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</si>
  <si>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</si>
  <si>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</si>
  <si>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</si>
  <si>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</si>
  <si>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</si>
  <si>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</si>
  <si>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</si>
  <si>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</si>
  <si>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</si>
  <si>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</si>
  <si>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</si>
  <si>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</si>
  <si>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</si>
  <si>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</si>
  <si>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</si>
  <si>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</si>
  <si>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</si>
  <si>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</si>
  <si>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</si>
  <si>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</si>
  <si>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</si>
  <si>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</si>
  <si>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</si>
  <si>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</si>
  <si>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</si>
  <si>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</si>
  <si>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</si>
  <si>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</si>
  <si>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</si>
  <si>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</si>
  <si>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</si>
  <si>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</si>
  <si>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</si>
  <si>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</si>
  <si>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</si>
  <si>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</si>
  <si>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</si>
  <si>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</si>
  <si>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</si>
  <si>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</si>
  <si>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</si>
  <si>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</si>
  <si>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</si>
  <si>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</si>
  <si>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</si>
  <si>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</si>
  <si>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</si>
  <si>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</si>
  <si>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</si>
  <si>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</si>
  <si>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</si>
  <si>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</si>
  <si>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</si>
  <si>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</si>
  <si>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</si>
  <si>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</si>
  <si>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</si>
  <si>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</si>
  <si>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</si>
  <si>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</si>
  <si>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</si>
  <si>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</si>
  <si>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</si>
  <si>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</si>
  <si>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</si>
  <si>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</si>
  <si>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</si>
  <si>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</si>
  <si>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</si>
  <si>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</si>
  <si>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</si>
  <si>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</si>
  <si>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</si>
  <si>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</si>
  <si>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</si>
  <si>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</si>
  <si>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</si>
  <si>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</si>
  <si>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</si>
  <si>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</si>
  <si>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</si>
  <si>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</si>
  <si>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</si>
  <si>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</si>
  <si>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</si>
  <si>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</si>
  <si>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</si>
  <si>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</si>
  <si>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</si>
  <si>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</si>
  <si>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</si>
  <si>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</si>
  <si>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</si>
  <si>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</si>
  <si>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</si>
  <si>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</si>
  <si>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</si>
  <si>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</si>
  <si>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</si>
  <si>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</si>
  <si>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</si>
  <si>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</si>
  <si>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</si>
  <si>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</si>
  <si>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</si>
  <si>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</si>
  <si>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</si>
  <si>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</si>
  <si>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</si>
  <si>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</si>
  <si>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</si>
  <si>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</si>
  <si>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</si>
  <si>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</si>
  <si>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</si>
  <si>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</si>
  <si>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</si>
  <si>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</si>
  <si>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</si>
  <si>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</si>
  <si>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</si>
  <si>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</si>
  <si>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</si>
  <si>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</si>
  <si>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</si>
  <si>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</si>
  <si>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</si>
  <si>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</si>
  <si>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</si>
  <si>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</si>
  <si>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</si>
  <si>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</si>
  <si>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</si>
  <si>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</si>
  <si>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</si>
  <si>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</si>
  <si>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</si>
  <si>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</si>
  <si>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</si>
  <si>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</si>
  <si>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</si>
  <si>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</si>
  <si>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</si>
  <si>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</si>
  <si>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</si>
  <si>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</si>
  <si>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</si>
  <si>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</si>
  <si>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</si>
  <si>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</si>
  <si>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</si>
  <si>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</si>
  <si>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</si>
  <si>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</si>
  <si>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</si>
  <si>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</si>
  <si>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</si>
  <si>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</si>
  <si>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</si>
  <si>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</si>
  <si>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</si>
  <si>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</si>
  <si>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</si>
  <si>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</si>
  <si>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</si>
  <si>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</si>
  <si>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</si>
  <si>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</si>
  <si>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</si>
  <si>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</si>
  <si>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</si>
  <si>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</si>
  <si>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</si>
  <si>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</si>
  <si>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</si>
  <si>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</si>
  <si>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</si>
  <si>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</si>
  <si>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</si>
  <si>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</si>
  <si>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</si>
  <si>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</si>
  <si>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</si>
  <si>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</si>
  <si>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</si>
  <si>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</si>
  <si>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</si>
  <si>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</si>
  <si>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</si>
  <si>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</si>
  <si>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</si>
  <si>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</si>
  <si>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</si>
  <si>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</si>
  <si>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</si>
  <si>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</si>
  <si>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</si>
  <si>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</si>
  <si>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</si>
  <si>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</si>
  <si>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</si>
  <si>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</si>
  <si>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</si>
  <si>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</si>
  <si>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</si>
  <si>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</si>
  <si>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</si>
  <si>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</si>
  <si>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</si>
  <si>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</si>
  <si>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</si>
  <si>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</si>
  <si>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</si>
  <si>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</si>
  <si>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</si>
  <si>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</si>
  <si>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</si>
  <si>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</si>
  <si>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</si>
  <si>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</si>
  <si>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</si>
  <si>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</si>
  <si>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</si>
  <si>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</si>
  <si>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</si>
  <si>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</si>
  <si>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</si>
  <si>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</si>
  <si>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</si>
  <si>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</si>
  <si>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</si>
  <si>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</si>
  <si>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</si>
  <si>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</si>
  <si>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</si>
  <si>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</si>
  <si>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</si>
  <si>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</si>
  <si>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</si>
  <si>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</si>
  <si>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</si>
  <si>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</si>
  <si>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</si>
  <si>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</si>
  <si>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</si>
  <si>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</si>
  <si>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</si>
  <si>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</si>
  <si>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</si>
  <si>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</si>
  <si>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</si>
  <si>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</si>
  <si>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</si>
  <si>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</si>
  <si>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</si>
  <si>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</si>
  <si>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</si>
  <si>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</si>
  <si>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</si>
  <si>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</si>
  <si>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</si>
  <si>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</si>
  <si>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</si>
  <si>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</si>
  <si>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</si>
  <si>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</si>
  <si>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</si>
  <si>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</si>
  <si>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</si>
  <si>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</si>
  <si>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</si>
  <si>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</si>
  <si>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</si>
  <si>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</si>
  <si>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</si>
  <si>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</si>
  <si>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</si>
  <si>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</si>
  <si>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</si>
  <si>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</si>
  <si>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</si>
  <si>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</si>
  <si>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</si>
  <si>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</si>
  <si>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</si>
  <si>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</si>
  <si>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</si>
  <si>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</si>
  <si>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</si>
  <si>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</si>
  <si>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</si>
  <si>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</si>
  <si>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</si>
  <si>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</si>
  <si>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</si>
  <si>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</si>
  <si>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</si>
  <si>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</si>
  <si>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</si>
  <si>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</si>
  <si>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</si>
  <si>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</si>
  <si>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</si>
  <si>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</si>
  <si>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</si>
  <si>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</si>
  <si>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</si>
  <si>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</si>
  <si>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</si>
  <si>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</si>
  <si>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</si>
  <si>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</si>
  <si>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</si>
  <si>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</si>
  <si>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</si>
  <si>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</si>
  <si>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</si>
  <si>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</si>
  <si>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</si>
  <si>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</si>
  <si>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</si>
  <si>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</si>
  <si>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</si>
  <si>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</si>
  <si>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</si>
  <si>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</si>
  <si>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</si>
  <si>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</si>
  <si>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</si>
  <si>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</si>
  <si>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</si>
  <si>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</si>
  <si>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</si>
  <si>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</si>
  <si>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</si>
  <si>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</si>
  <si>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</si>
  <si>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</si>
  <si>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</si>
  <si>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</si>
  <si>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</si>
  <si>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</si>
  <si>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</si>
  <si>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</si>
  <si>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</si>
  <si>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</si>
  <si>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</si>
  <si>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</si>
  <si>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</si>
  <si>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</si>
  <si>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</si>
  <si>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</si>
  <si>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</si>
  <si>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</si>
  <si>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</si>
  <si>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</si>
  <si>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</si>
  <si>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</si>
  <si>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</si>
  <si>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</si>
  <si>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</si>
  <si>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</si>
  <si>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</si>
  <si>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</si>
  <si>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</si>
  <si>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</si>
  <si>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</si>
  <si>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</si>
  <si>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</si>
  <si>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</si>
  <si>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</si>
  <si>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</si>
  <si>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</si>
  <si>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</si>
  <si>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</si>
  <si>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</si>
  <si>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</si>
  <si>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</si>
  <si>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</si>
  <si>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</si>
  <si>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</si>
  <si>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</si>
  <si>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</si>
  <si>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</si>
  <si>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</si>
  <si>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</si>
  <si>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</si>
  <si>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</si>
  <si>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</si>
  <si>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</si>
  <si>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</si>
  <si>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</si>
  <si>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</si>
  <si>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</si>
  <si>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</si>
  <si>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</si>
  <si>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</si>
  <si>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</si>
  <si>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</si>
  <si>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</si>
  <si>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</si>
  <si>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</si>
  <si>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</si>
  <si>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</si>
  <si>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</si>
  <si>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</si>
  <si>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</si>
  <si>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</si>
  <si>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</si>
  <si>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</si>
  <si>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</si>
  <si>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</si>
  <si>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</si>
  <si>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</si>
  <si>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</si>
  <si>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</si>
  <si>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</si>
  <si>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</si>
  <si>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</si>
  <si>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</si>
  <si>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</si>
  <si>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</si>
  <si>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</si>
  <si>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</si>
  <si>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</si>
  <si>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</si>
  <si>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</si>
  <si>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</si>
  <si>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</si>
  <si>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</si>
  <si>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</si>
  <si>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</si>
  <si>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</si>
  <si>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</si>
  <si>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</si>
  <si>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</si>
  <si>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</si>
  <si>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</si>
  <si>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</si>
  <si>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</si>
  <si>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</si>
  <si>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</si>
  <si>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</si>
  <si>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</si>
  <si>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</si>
  <si>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</si>
  <si>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</si>
  <si>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</si>
  <si>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</si>
  <si>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</si>
  <si>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</si>
  <si>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</si>
  <si>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</si>
  <si>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</si>
  <si>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</si>
  <si>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</si>
  <si>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</si>
  <si>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</si>
  <si>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</si>
  <si>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</si>
  <si>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</si>
  <si>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</si>
  <si>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</si>
  <si>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</si>
  <si>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</si>
  <si>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</si>
  <si>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</si>
  <si>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</si>
  <si>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</si>
  <si>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</si>
  <si>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</si>
  <si>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</si>
  <si>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</si>
  <si>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</si>
  <si>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</si>
  <si>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</si>
  <si>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</si>
  <si>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</si>
  <si>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</si>
  <si>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</si>
  <si>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</si>
  <si>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</si>
  <si>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</si>
  <si>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</si>
  <si>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</si>
  <si>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</si>
  <si>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</si>
  <si>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</si>
  <si>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</si>
  <si>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</si>
  <si>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</si>
  <si>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</si>
  <si>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</si>
  <si>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</si>
  <si>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</si>
  <si>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</si>
  <si>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</si>
  <si>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</si>
  <si>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</si>
  <si>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</si>
  <si>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</si>
  <si>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</si>
  <si>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</si>
  <si>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</si>
  <si>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</si>
  <si>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</si>
  <si>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</si>
  <si>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</si>
  <si>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</si>
  <si>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</si>
  <si>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</si>
  <si>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</si>
  <si>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</si>
  <si>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</si>
  <si>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</si>
  <si>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</si>
  <si>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</si>
  <si>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</si>
  <si>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</si>
  <si>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</si>
  <si>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</si>
  <si>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</si>
  <si>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</si>
  <si>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</si>
  <si>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</si>
  <si>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</si>
  <si>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</si>
  <si>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</si>
  <si>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</si>
  <si>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</si>
  <si>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</si>
  <si>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</si>
  <si>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</si>
  <si>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</si>
  <si>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</si>
  <si>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</si>
  <si>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</si>
  <si>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</si>
  <si>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</si>
  <si>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</si>
  <si>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</si>
  <si>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</si>
  <si>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</si>
  <si>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</si>
  <si>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</si>
  <si>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</si>
  <si>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</si>
  <si>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</si>
  <si>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</si>
  <si>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</si>
  <si>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</si>
  <si>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</si>
  <si>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</si>
  <si>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</si>
  <si>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</si>
  <si>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</si>
  <si>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</si>
  <si>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</si>
  <si>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</si>
  <si>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</si>
  <si>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</si>
  <si>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</si>
  <si>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</si>
  <si>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</si>
  <si>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</si>
  <si>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</si>
  <si>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</si>
  <si>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</si>
  <si>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</si>
  <si>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</si>
  <si>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</si>
  <si>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</si>
  <si>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</si>
  <si>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</si>
  <si>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</si>
  <si>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</si>
  <si>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</si>
  <si>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</si>
  <si>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</si>
  <si>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</si>
  <si>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</si>
  <si>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</si>
  <si>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</si>
  <si>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</si>
  <si>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</si>
  <si>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</si>
  <si>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</si>
  <si>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</si>
  <si>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</si>
  <si>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</si>
  <si>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</si>
  <si>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</si>
  <si>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</si>
  <si>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</si>
  <si>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</si>
  <si>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</si>
  <si>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</si>
  <si>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</si>
  <si>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</si>
  <si>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</si>
  <si>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</si>
  <si>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</si>
  <si>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</si>
  <si>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</si>
  <si>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</si>
  <si>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</si>
  <si>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</si>
  <si>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</si>
  <si>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</si>
  <si>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</si>
  <si>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</si>
  <si>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</si>
  <si>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</si>
  <si>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</si>
  <si>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</si>
  <si>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</si>
  <si>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</si>
  <si>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</si>
  <si>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</si>
  <si>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</si>
  <si>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</si>
  <si>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</si>
  <si>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</si>
  <si>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</si>
  <si>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</si>
  <si>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</si>
  <si>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</si>
  <si>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</si>
  <si>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</si>
  <si>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</si>
  <si>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</si>
  <si>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</si>
  <si>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</si>
  <si>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</si>
  <si>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</si>
  <si>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</si>
  <si>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</si>
  <si>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</si>
  <si>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</si>
  <si>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</si>
  <si>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</si>
  <si>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</si>
  <si>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</si>
  <si>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</si>
  <si>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</si>
  <si>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</si>
  <si>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</si>
  <si>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</si>
  <si>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</si>
  <si>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</si>
  <si>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</si>
  <si>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</si>
  <si>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</si>
  <si>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</si>
  <si>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</si>
  <si>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</si>
  <si>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</si>
  <si>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</si>
  <si>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</si>
  <si>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</si>
  <si>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</si>
  <si>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</si>
  <si>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</si>
  <si>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</si>
  <si>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</si>
  <si>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</si>
  <si>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</si>
  <si>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</si>
  <si>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</si>
  <si>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</si>
  <si>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</si>
  <si>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</si>
  <si>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</si>
  <si>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</si>
  <si>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</si>
  <si>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</si>
  <si>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</si>
  <si>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</si>
  <si>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</si>
  <si>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</si>
  <si>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</si>
  <si>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</si>
  <si>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</si>
  <si>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</si>
  <si>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</si>
  <si>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</si>
  <si>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</si>
  <si>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</si>
  <si>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</si>
  <si>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</si>
  <si>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</si>
  <si>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</si>
  <si>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</si>
  <si>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</si>
  <si>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</si>
  <si>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</si>
  <si>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</si>
  <si>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</si>
  <si>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</si>
  <si>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</si>
  <si>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</si>
  <si>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</si>
  <si>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</si>
  <si>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</si>
  <si>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</si>
  <si>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</si>
  <si>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</si>
  <si>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</si>
  <si>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</si>
  <si>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</si>
  <si>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</si>
  <si>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</si>
  <si>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</si>
  <si>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</si>
  <si>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</si>
  <si>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</si>
  <si>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</si>
  <si>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</si>
  <si>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</si>
  <si>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</si>
  <si>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</si>
  <si>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</si>
  <si>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</si>
  <si>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</si>
  <si>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</si>
  <si>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</si>
  <si>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</si>
  <si>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</si>
  <si>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</si>
  <si>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</si>
  <si>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</si>
  <si>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</si>
  <si>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</si>
  <si>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</si>
  <si>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</si>
  <si>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</si>
  <si>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</si>
  <si>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</si>
  <si>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</si>
  <si>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</si>
  <si>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</si>
  <si>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</si>
  <si>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</si>
  <si>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</si>
  <si>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</si>
  <si>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</si>
  <si>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</si>
  <si>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</si>
  <si>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</si>
  <si>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</si>
  <si>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</si>
  <si>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</si>
  <si>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</si>
  <si>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</si>
  <si>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</si>
  <si>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</si>
  <si>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</si>
  <si>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</si>
  <si>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</si>
  <si>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</si>
  <si>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</si>
  <si>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</si>
  <si>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</si>
  <si>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</si>
  <si>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</si>
  <si>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</si>
  <si>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</si>
  <si>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</si>
  <si>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</si>
  <si>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</si>
  <si>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</si>
  <si>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</si>
  <si>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</si>
  <si>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</si>
  <si>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</si>
  <si>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</si>
  <si>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</si>
  <si>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</si>
  <si>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</si>
  <si>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</si>
  <si>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</si>
  <si>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</si>
  <si>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</si>
  <si>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</si>
  <si>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</si>
  <si>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</si>
  <si>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</si>
  <si>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</si>
  <si>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</si>
  <si>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</si>
  <si>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</si>
  <si>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</si>
  <si>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</si>
  <si>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</si>
  <si>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</si>
  <si>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</si>
  <si>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</si>
  <si>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</si>
  <si>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</si>
  <si>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</si>
  <si>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</si>
  <si>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</si>
  <si>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</si>
  <si>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</si>
  <si>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</si>
  <si>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</si>
  <si>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</si>
  <si>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</si>
  <si>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</si>
  <si>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</si>
  <si>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</si>
  <si>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</si>
  <si>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</si>
  <si>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</si>
  <si>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</si>
  <si>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</si>
  <si>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</si>
  <si>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</si>
  <si>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</si>
  <si>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</si>
  <si>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</si>
  <si>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</si>
  <si>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</si>
  <si>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</si>
  <si>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</si>
  <si>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</si>
  <si>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</si>
  <si>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</si>
  <si>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</si>
  <si>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</si>
  <si>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</si>
  <si>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</si>
  <si>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</si>
  <si>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</si>
  <si>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</si>
  <si>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</si>
  <si>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</si>
  <si>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</si>
  <si>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</si>
  <si>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</si>
  <si>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</si>
  <si>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</si>
  <si>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</si>
  <si>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</si>
  <si>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</si>
  <si>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</si>
  <si>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</si>
  <si>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</si>
  <si>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</si>
  <si>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</si>
  <si>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</si>
  <si>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</si>
  <si>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</si>
  <si>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</si>
  <si>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</si>
  <si>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</si>
  <si>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</si>
  <si>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</si>
  <si>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</si>
  <si>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</si>
  <si>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</si>
  <si>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</si>
  <si>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</si>
  <si>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</si>
  <si>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</si>
  <si>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</si>
  <si>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</si>
  <si>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</si>
  <si>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</si>
  <si>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</si>
  <si>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</si>
  <si>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</si>
  <si>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</si>
  <si>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</si>
  <si>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</si>
  <si>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</si>
  <si>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</si>
  <si>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</si>
  <si>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</si>
  <si>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</si>
  <si>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</si>
  <si>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</si>
  <si>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</si>
  <si>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</si>
  <si>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</si>
  <si>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</si>
  <si>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</si>
  <si>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</si>
  <si>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</si>
  <si>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</si>
  <si>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</si>
  <si>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</si>
  <si>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</si>
  <si>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</si>
  <si>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</si>
  <si>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</si>
  <si>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</si>
  <si>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</si>
  <si>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</si>
  <si>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</si>
  <si>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</si>
  <si>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</si>
  <si>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</si>
  <si>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</si>
  <si>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</si>
  <si>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</si>
  <si>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</si>
  <si>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</si>
  <si>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</si>
  <si>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</si>
  <si>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</si>
  <si>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</si>
  <si>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</si>
  <si>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</si>
  <si>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</si>
  <si>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</si>
  <si>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</si>
  <si>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</si>
  <si>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</si>
  <si>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</si>
  <si>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</si>
  <si>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</si>
  <si>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</si>
  <si>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</si>
  <si>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</si>
  <si>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</si>
  <si>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</si>
  <si>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</si>
  <si>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</si>
  <si>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</si>
  <si>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</si>
  <si>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</si>
  <si>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</si>
  <si>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</si>
  <si>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</si>
  <si>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</si>
  <si>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</si>
  <si>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</si>
  <si>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</si>
  <si>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</si>
  <si>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</si>
  <si>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</si>
  <si>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</si>
  <si>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</si>
  <si>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</si>
  <si>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</si>
  <si>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</si>
  <si>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</si>
  <si>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</si>
  <si>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</si>
  <si>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</si>
  <si>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</si>
  <si>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</si>
  <si>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</si>
  <si>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</si>
  <si>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</si>
  <si>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</si>
  <si>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</si>
  <si>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</si>
  <si>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</si>
  <si>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</si>
  <si>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</si>
  <si>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</si>
  <si>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</si>
  <si>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</si>
  <si>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</si>
  <si>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</si>
  <si>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</si>
  <si>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</si>
  <si>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</si>
  <si>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</si>
  <si>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</si>
  <si>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</si>
  <si>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</si>
  <si>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</si>
  <si>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</si>
  <si>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</si>
  <si>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</si>
  <si>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</si>
  <si>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</si>
  <si>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</si>
  <si>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</si>
  <si>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</si>
  <si>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</si>
  <si>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</si>
  <si>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</si>
  <si>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</si>
  <si>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</si>
  <si>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</si>
  <si>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</si>
  <si>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</si>
  <si>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</si>
  <si>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</si>
  <si>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</si>
  <si>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</si>
  <si>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</si>
  <si>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</si>
  <si>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</si>
  <si>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</si>
  <si>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</si>
  <si>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</si>
  <si>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</si>
  <si>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</si>
  <si>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</si>
  <si>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</si>
  <si>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</si>
  <si>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</si>
  <si>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</si>
  <si>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</si>
  <si>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</si>
  <si>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</si>
  <si>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</si>
  <si>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</si>
  <si>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</si>
  <si>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</si>
  <si>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</si>
  <si>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</si>
  <si>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</si>
  <si>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</si>
  <si>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</si>
  <si>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</si>
  <si>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</si>
  <si>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</si>
  <si>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</si>
  <si>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</si>
  <si>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</si>
  <si>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</si>
  <si>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</si>
  <si>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</si>
  <si>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</si>
  <si>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</si>
  <si>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</si>
  <si>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</si>
  <si>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</si>
  <si>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</si>
  <si>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</si>
  <si>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</si>
  <si>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</si>
  <si>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</si>
  <si>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</si>
  <si>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</si>
  <si>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</si>
  <si>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</si>
  <si>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</si>
  <si>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</si>
  <si>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</si>
  <si>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</si>
  <si>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</si>
  <si>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</si>
  <si>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</si>
  <si>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</si>
  <si>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</si>
  <si>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</si>
  <si>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</si>
  <si>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</si>
  <si>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</si>
  <si>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</si>
  <si>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</si>
  <si>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</si>
  <si>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</si>
  <si>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</si>
  <si>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</si>
  <si>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</si>
  <si>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</si>
  <si>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</si>
  <si>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</si>
  <si>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</si>
  <si>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</si>
  <si>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</si>
  <si>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</si>
  <si>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</si>
  <si>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</si>
  <si>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</si>
  <si>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</si>
  <si>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</si>
  <si>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</si>
  <si>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</si>
  <si>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</si>
  <si>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</si>
  <si>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</si>
  <si>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</si>
  <si>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</si>
  <si>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</si>
  <si>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</si>
  <si>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</si>
  <si>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</si>
  <si>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</si>
  <si>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</si>
  <si>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</si>
  <si>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</si>
  <si>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</si>
  <si>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</si>
  <si>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</si>
  <si>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</si>
  <si>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</si>
  <si>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</si>
  <si>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</si>
  <si>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</si>
  <si>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</si>
  <si>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</si>
  <si>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</si>
  <si>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</si>
  <si>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</si>
  <si>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</si>
  <si>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</si>
  <si>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</si>
  <si>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</si>
  <si>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</si>
  <si>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</si>
  <si>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</si>
  <si>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</si>
  <si>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</si>
  <si>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</si>
  <si>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</si>
  <si>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</si>
  <si>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</si>
  <si>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</si>
  <si>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</si>
  <si>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</si>
  <si>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</si>
  <si>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</si>
  <si>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</si>
  <si>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</si>
  <si>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</si>
  <si>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</si>
  <si>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</si>
  <si>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</si>
  <si>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</si>
  <si>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</si>
  <si>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</si>
  <si>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</si>
  <si>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</si>
  <si>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</si>
  <si>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</si>
  <si>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</si>
  <si>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</si>
  <si>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</si>
  <si>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</si>
  <si>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</si>
  <si>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</si>
  <si>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</si>
  <si>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</si>
  <si>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</si>
  <si>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</si>
  <si>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</si>
  <si>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</si>
  <si>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</si>
  <si>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</si>
  <si>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</si>
  <si>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</si>
  <si>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</si>
  <si>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</si>
  <si>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</si>
  <si>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</si>
  <si>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</si>
  <si>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</si>
  <si>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</si>
  <si>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</si>
  <si>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</si>
  <si>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</si>
  <si>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</si>
  <si>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</si>
  <si>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</si>
  <si>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</si>
  <si>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</si>
  <si>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</si>
  <si>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</si>
  <si>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</si>
  <si>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</si>
  <si>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</si>
  <si>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</si>
  <si>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</si>
  <si>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</si>
  <si>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</si>
  <si>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</si>
  <si>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</si>
  <si>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</si>
  <si>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</si>
  <si>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</si>
  <si>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</si>
  <si>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</si>
  <si>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</si>
  <si>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</si>
  <si>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</si>
  <si>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</si>
  <si>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</si>
  <si>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</si>
  <si>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</si>
  <si>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</si>
  <si>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</si>
  <si>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</si>
  <si>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</si>
  <si>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</si>
  <si>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</si>
  <si>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</si>
  <si>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</si>
  <si>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</si>
  <si>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</si>
  <si>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</si>
  <si>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</si>
  <si>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</si>
  <si>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</si>
  <si>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</si>
  <si>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</si>
  <si>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</si>
  <si>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</si>
  <si>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</si>
  <si>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</si>
  <si>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</si>
  <si>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</si>
  <si>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</si>
  <si>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</si>
  <si>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</si>
  <si>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</si>
  <si>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</si>
  <si>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</si>
  <si>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</si>
  <si>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</si>
  <si>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</si>
  <si>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</si>
  <si>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</si>
  <si>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</si>
  <si>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</si>
  <si>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</si>
  <si>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</si>
  <si>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</si>
  <si>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</si>
  <si>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</si>
  <si>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</si>
  <si>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</si>
  <si>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</si>
  <si>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</si>
  <si>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</si>
  <si>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</si>
  <si>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</si>
  <si>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</si>
  <si>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</si>
  <si>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</si>
  <si>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</si>
  <si>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</si>
  <si>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</si>
  <si>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</si>
  <si>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</si>
  <si>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</si>
  <si>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</si>
  <si>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</si>
  <si>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</si>
  <si>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</si>
  <si>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</si>
  <si>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</si>
  <si>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</si>
  <si>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</si>
  <si>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</si>
  <si>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</si>
  <si>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</si>
  <si>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</si>
  <si>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</si>
  <si>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</si>
  <si>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</si>
  <si>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</si>
  <si>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</si>
  <si>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</si>
  <si>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</si>
  <si>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</si>
  <si>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</si>
  <si>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</si>
  <si>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</si>
  <si>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</si>
  <si>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</si>
  <si>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</si>
  <si>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</si>
  <si>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</si>
  <si>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</si>
  <si>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</si>
  <si>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</si>
  <si>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</si>
  <si>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</si>
  <si>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</si>
  <si>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</si>
  <si>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</si>
  <si>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</si>
  <si>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</si>
  <si>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</si>
  <si>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</si>
  <si>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</si>
  <si>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</si>
  <si>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</si>
  <si>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</si>
  <si>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</si>
  <si>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</si>
  <si>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</si>
  <si>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</si>
  <si>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</si>
  <si>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</si>
  <si>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</si>
  <si>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</si>
  <si>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</si>
  <si>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</si>
  <si>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</si>
  <si>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</si>
  <si>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</si>
  <si>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</si>
  <si>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</si>
  <si>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</si>
  <si>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</si>
  <si>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</si>
  <si>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</si>
  <si>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</si>
  <si>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</si>
  <si>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</si>
  <si>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</si>
  <si>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</si>
  <si>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</si>
  <si>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</si>
  <si>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</si>
  <si>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</si>
  <si>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</si>
  <si>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</si>
  <si>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</si>
  <si>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</si>
  <si>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</si>
  <si>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</si>
  <si>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</si>
  <si>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</si>
  <si>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</si>
  <si>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</si>
  <si>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</si>
  <si>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</si>
  <si>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</si>
  <si>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</si>
  <si>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</si>
  <si>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</si>
  <si>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</si>
  <si>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</si>
  <si>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</si>
  <si>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</si>
  <si>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</si>
  <si>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</si>
  <si>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</si>
  <si>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</si>
  <si>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</si>
  <si>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</si>
  <si>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</si>
  <si>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</si>
  <si>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</si>
  <si>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</si>
  <si>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</si>
  <si>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</si>
  <si>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</si>
  <si>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</si>
  <si>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</si>
  <si>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</si>
  <si>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</si>
  <si>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</si>
  <si>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</si>
  <si>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</si>
  <si>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</si>
  <si>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</si>
  <si>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</si>
  <si>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</si>
  <si>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</si>
  <si>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</si>
  <si>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</si>
  <si>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</si>
  <si>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</si>
  <si>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</si>
  <si>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</si>
  <si>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</si>
  <si>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</si>
  <si>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</si>
  <si>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</si>
  <si>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</si>
  <si>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</si>
  <si>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</si>
  <si>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</si>
  <si>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</si>
  <si>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</si>
  <si>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</si>
  <si>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</si>
  <si>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</si>
  <si>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</si>
  <si>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</si>
  <si>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</si>
  <si>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</si>
  <si>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</si>
  <si>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</si>
  <si>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</si>
  <si>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</si>
  <si>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</si>
  <si>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</si>
  <si>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</si>
  <si>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</si>
  <si>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</si>
  <si>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</si>
  <si>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</si>
  <si>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</si>
  <si>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</si>
  <si>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</si>
  <si>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</si>
  <si>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</si>
  <si>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</si>
  <si>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</si>
  <si>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</si>
  <si>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</si>
  <si>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</si>
  <si>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</si>
  <si>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</si>
  <si>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</si>
  <si>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</si>
  <si>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</si>
  <si>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</si>
  <si>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</si>
  <si>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</si>
  <si>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</si>
  <si>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</si>
  <si>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</si>
  <si>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</si>
  <si>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</si>
  <si>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</si>
  <si>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</si>
  <si>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</si>
  <si>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</si>
  <si>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</si>
  <si>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</si>
  <si>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</si>
  <si>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</si>
  <si>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</si>
  <si>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</si>
  <si>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</si>
  <si>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</si>
  <si>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</si>
  <si>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</si>
  <si>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</si>
  <si>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</si>
  <si>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</si>
  <si>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</si>
  <si>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</si>
  <si>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</si>
  <si>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</si>
  <si>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</si>
  <si>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</si>
  <si>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</si>
  <si>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</si>
  <si>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</si>
  <si>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</si>
  <si>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</si>
  <si>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</si>
  <si>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</si>
  <si>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</si>
  <si>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</si>
  <si>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</si>
  <si>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</si>
  <si>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</si>
  <si>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</si>
  <si>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</si>
  <si>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</si>
  <si>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</si>
  <si>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</si>
  <si>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</si>
  <si>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</si>
  <si>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</si>
  <si>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</si>
  <si>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</si>
  <si>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</si>
  <si>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</si>
  <si>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</si>
  <si>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</si>
  <si>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</si>
  <si>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</si>
  <si>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</si>
  <si>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</si>
  <si>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</si>
  <si>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</si>
  <si>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</si>
  <si>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</si>
  <si>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</si>
  <si>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</si>
  <si>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</si>
  <si>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</si>
  <si>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</si>
  <si>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</si>
  <si>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</si>
  <si>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</si>
  <si>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</si>
  <si>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</si>
  <si>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</si>
  <si>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</si>
  <si>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</si>
  <si>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</si>
  <si>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</si>
  <si>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</si>
  <si>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</si>
  <si>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</si>
  <si>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</si>
  <si>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</si>
  <si>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</si>
  <si>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</si>
  <si>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</si>
  <si>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</si>
  <si>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</si>
  <si>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</si>
  <si>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</si>
  <si>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</si>
  <si>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</si>
  <si>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</si>
  <si>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</si>
  <si>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</si>
  <si>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</si>
  <si>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</si>
  <si>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</si>
  <si>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</si>
  <si>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</si>
  <si>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</si>
  <si>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</si>
  <si>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</si>
  <si>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</si>
  <si>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</si>
  <si>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</si>
  <si>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</si>
  <si>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</si>
  <si>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</si>
  <si>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</si>
  <si>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</si>
  <si>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</si>
  <si>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</si>
  <si>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</si>
  <si>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</si>
  <si>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</si>
  <si>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</si>
  <si>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</si>
  <si>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</si>
  <si>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</si>
  <si>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</si>
  <si>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</si>
  <si>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</si>
  <si>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</si>
  <si>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</si>
  <si>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</si>
  <si>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</si>
  <si>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</si>
  <si>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</si>
  <si>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</si>
  <si>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</si>
  <si>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</si>
  <si>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</si>
  <si>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</si>
  <si>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</si>
  <si>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</si>
  <si>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</si>
  <si>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</si>
  <si>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</si>
  <si>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</si>
  <si>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</si>
  <si>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</si>
  <si>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</si>
  <si>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</si>
  <si>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</si>
  <si>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</si>
  <si>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</si>
  <si>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</si>
  <si>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</si>
  <si>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</si>
  <si>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</si>
  <si>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</si>
  <si>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</si>
  <si>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</si>
  <si>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</si>
  <si>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</si>
  <si>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</si>
  <si>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</si>
  <si>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</si>
  <si>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</si>
  <si>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</si>
  <si>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</si>
  <si>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</si>
  <si>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</si>
  <si>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</si>
  <si>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</si>
  <si>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</si>
  <si>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</si>
  <si>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</si>
  <si>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</si>
  <si>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</si>
  <si>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</si>
  <si>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</si>
  <si>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</si>
  <si>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</si>
  <si>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</si>
  <si>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</si>
  <si>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地上</t>
  </si>
  <si>
    <t>商业</t>
    <phoneticPr fontId="7" type="noConversion"/>
  </si>
  <si>
    <t>是</t>
  </si>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</sst>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DBNum2][$-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7"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估价对象为房地产，为所有。根据《国有土地使用证》[]，估价对象（分摊）出让国有建设用地使用权面积为0平方米，建筑面积为237.74平方米。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估价对象为房地产,属开发建设的，该项目尚在开发建设中。根据《国有土地使用证》[]，估价对象（分摊）出让国有建设用地使用权面积为0平方米，规划建筑面积为237.74平方米。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2025年4月22日</v>
      </c>
    </row>
    <row r="13" spans="1:2" s="1203" customFormat="1">
      <c r="A13" s="1201" t="s">
        <v>529</v>
      </c>
      <c r="B13" s="1202"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237.74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45769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1.66</v>
      </c>
      <c r="D5" s="3025">
        <f>IF(ISERROR(ROUND(POWER(1+E5,A5-C5)*(POWER(1+E5,C5)-1)/(POWER(1+E5,A5)-1),3)),0,ROUND(POWER(1+E5,A5-C5)*(POWER(1+E5,C5)-1)/(POWER(1+E5,A5)-1),4))</f>
        <v>7.9600000000000004E-2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31.68</v>
      </c>
      <c r="D7" s="3025">
        <f>IF(ISERROR(ROUND(POWER(1+E7,A7-C7)*(POWER(1+E7,C7)-1)/(POWER(1+E7,A7)-1),3)),0,ROUND(POWER(1+E7,A7-C7)*(POWER(1+E7,C7)-1)/(POWER(1+E7,A7)-1),4))</f>
        <v>0.76019999999999999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45769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21"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22"/>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237.74</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237.74</v>
      </c>
      <c r="H5" s="13">
        <f t="shared" ref="H5:AT5" si="0">SUM(H13:H656)</f>
        <v>237.74</v>
      </c>
      <c r="I5" s="13">
        <f t="shared" si="0"/>
        <v>237.74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237.74</v>
      </c>
      <c r="BA5" s="15">
        <f t="shared" si="1"/>
        <v>237.74</v>
      </c>
      <c r="BB5" s="15">
        <f t="shared" si="1"/>
        <v>237.74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3415</v>
      </c>
      <c r="E13" s="13">
        <f>IF($C$3="是",ROUND($A$3*G13/$B$3,2),ROUND($A$3*(G13-AT13)/$B$3,2))</f>
        <v>0</v>
      </c>
      <c r="F13" s="29"/>
      <c r="G13" s="30">
        <f>H13+AC13+AT13</f>
        <v>237.74</v>
      </c>
      <c r="H13" s="17">
        <f>SUMIF(I$12:AB$12,"总值",I13:AB13)</f>
        <v>237.74</v>
      </c>
      <c r="I13" s="1626">
        <v>237.74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237.74</v>
      </c>
      <c r="BA13" s="13">
        <f>SUM(BB13:BK13)</f>
        <v>237.74</v>
      </c>
      <c r="BB13" s="13">
        <f>IF($D13="是",I13-J13,0)</f>
        <v>237.74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237.74</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237.74</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237.74</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0</v>
      </c>
      <c r="E19" s="53">
        <f t="shared" ref="E19:E26" si="1">SUM(F19:G19)</f>
        <v>237.74</v>
      </c>
      <c r="F19" s="2795">
        <f>'数据-基础表'!I13</f>
        <v>237.74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237.74</v>
      </c>
      <c r="F27" s="1140">
        <f>IF(SUM(F19:F26)=E8,SUM(F19:F26),"地上面积有误")</f>
        <v>237.74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237.74</v>
      </c>
      <c r="F31" s="677">
        <f>F27+F30</f>
        <v>237.74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237.74</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237.74</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8"/>
  <sheetViews>
    <sheetView tabSelected="1" view="pageBreakPreview" zoomScale="80" zoomScaleNormal="80" zoomScaleSheetLayoutView="80" workbookViewId="0">
      <selection activeCell="A49" sqref="A4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1259.19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1821</v>
      </c>
      <c r="C5" s="2512">
        <f ca="1">IF(B5=D14,结果表!H102,ROUND(B5*10000/$B$1,0))</f>
        <v>0</v>
      </c>
      <c r="D5" s="2512" t="e">
        <f>ROUND(B5*10000/$B$2,0)</f>
        <v>#DIV/0!</v>
      </c>
      <c r="E5" s="2686"/>
      <c r="F5" s="2687"/>
      <c r="G5" s="2687"/>
      <c r="H5" s="2688"/>
      <c r="I5" s="2688"/>
      <c r="J5" s="2688"/>
      <c r="K5" s="2688"/>
    </row>
    <row r="6" spans="1:11" ht="16.5">
      <c r="A6" s="2512" t="s">
        <v>656</v>
      </c>
      <c r="B6" s="2512">
        <f>SUM(G14:G23)</f>
        <v>1821</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1259.19</v>
      </c>
      <c r="C14" s="2518"/>
      <c r="D14" s="2518">
        <f>D29</f>
        <v>1821</v>
      </c>
      <c r="E14" s="2518">
        <f>ROUND(D14*10000/B14,0)</f>
        <v>14462</v>
      </c>
      <c r="F14" s="2518" t="e">
        <f>ROUND(D14*10000/C14,0)</f>
        <v>#DIV/0!</v>
      </c>
      <c r="G14" s="2518">
        <f>D14</f>
        <v>1821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A29" s="3467">
        <f>D14*10000</f>
        <v>18210000</v>
      </c>
      <c r="B29" s="2513" t="s">
        <v>3416</v>
      </c>
      <c r="C29" s="2513">
        <v>2001</v>
      </c>
      <c r="D29" s="2513">
        <f>ROUND(C29*0.91,0)</f>
        <v>1821</v>
      </c>
      <c r="E29" s="2513">
        <f>D29*10000/1259.19</f>
        <v>14461.677745217163</v>
      </c>
    </row>
    <row r="30" spans="1:11">
      <c r="E30" s="2513">
        <v>15891</v>
      </c>
    </row>
    <row r="31" spans="1:11">
      <c r="E31" s="2513">
        <f>ROUND((E30-E14)/E30,3)</f>
        <v>0.09</v>
      </c>
    </row>
    <row r="35" spans="1:1">
      <c r="A35" s="2513">
        <v>138.47</v>
      </c>
    </row>
    <row r="36" spans="1:1">
      <c r="A36" s="2513">
        <v>76.349999999999994</v>
      </c>
    </row>
    <row r="37" spans="1:1">
      <c r="A37" s="2513">
        <v>58.7</v>
      </c>
    </row>
    <row r="38" spans="1:1">
      <c r="A38" s="2513">
        <v>55.01</v>
      </c>
    </row>
    <row r="39" spans="1:1">
      <c r="A39" s="2513">
        <v>55.02</v>
      </c>
    </row>
    <row r="40" spans="1:1">
      <c r="A40" s="2513">
        <v>148.30000000000001</v>
      </c>
    </row>
    <row r="41" spans="1:1">
      <c r="A41" s="2513">
        <v>53.65</v>
      </c>
    </row>
    <row r="42" spans="1:1">
      <c r="A42" s="2513">
        <v>105.16</v>
      </c>
    </row>
    <row r="43" spans="1:1">
      <c r="A43" s="2513">
        <v>96.67</v>
      </c>
    </row>
    <row r="44" spans="1:1">
      <c r="A44" s="2513">
        <v>137.74</v>
      </c>
    </row>
    <row r="45" spans="1:1">
      <c r="A45" s="2513">
        <v>116.41</v>
      </c>
    </row>
    <row r="46" spans="1:1">
      <c r="A46" s="2513">
        <v>84.55</v>
      </c>
    </row>
    <row r="47" spans="1:1">
      <c r="A47" s="2513">
        <v>133.16</v>
      </c>
    </row>
    <row r="48" spans="1:1">
      <c r="A48" s="2513">
        <f>SUM(A35:A47)</f>
        <v>1259.1899999999998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c r="D4" s="1756"/>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c r="D14" s="3594"/>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1" t="s">
        <v>2131</v>
      </c>
      <c r="F18" s="3582"/>
      <c r="G18" s="3582"/>
      <c r="H18" s="3582"/>
      <c r="I18" s="3582"/>
      <c r="K18" s="302" t="s">
        <v>1289</v>
      </c>
      <c r="L18" s="302">
        <f>IF(C1="",'数据-汇总表'!E3,SUMIF(项目类型,C1,'数据-汇总表'!E17:E26)+SUMIF(项目类型,C1,'数据-汇总表'!I17:I26))</f>
        <v>237.74</v>
      </c>
      <c r="M18" s="302">
        <f>IF(C1="",'数据-汇总表'!E3,SUMIF(项目类型,C1,'数据-汇总表'!E17:E26))</f>
        <v>237.74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t="e">
        <f ca="1">ROUND(H101*F45,0)</f>
        <v>#REF!</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45769</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1" t="s">
        <v>1340</v>
      </c>
      <c r="L48" s="3621"/>
      <c r="M48" s="3643" t="e">
        <f ca="1">H101</f>
        <v>#REF!</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t="str">
        <f ca="1">IF(项目基本情况!E8="房地产抵押价值",H107,H109)</f>
        <v>——</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t="e">
        <f ca="1">ROUND(D45*'数据-取费表'!B41/(1+'数据-取费表'!C42),0)</f>
        <v>#REF!</v>
      </c>
      <c r="E52" s="2334" t="s">
        <v>1354</v>
      </c>
      <c r="F52" s="2554">
        <f>'数据-取费表'!B41</f>
        <v>0</v>
      </c>
      <c r="G52" s="2555"/>
      <c r="H52" s="2544"/>
      <c r="I52" s="1807"/>
      <c r="J52" s="2523">
        <v>1</v>
      </c>
      <c r="K52" s="3622" t="s">
        <v>1355</v>
      </c>
      <c r="L52" s="3622"/>
      <c r="M52" s="2525" t="b">
        <f>D48</f>
        <v>0</v>
      </c>
      <c r="N52" s="2523" t="str">
        <f>E48</f>
        <v>销售额×税（费）率</v>
      </c>
      <c r="O52" s="2526">
        <f>F48</f>
        <v>0</v>
      </c>
    </row>
    <row r="53" spans="1:35" ht="12" customHeight="1">
      <c r="A53" s="2335" t="s">
        <v>1356</v>
      </c>
      <c r="B53" s="3583" t="s">
        <v>2291</v>
      </c>
      <c r="C53" s="3584"/>
      <c r="D53" s="1087" t="e">
        <f ca="1">ROUND(D45*'数据-取费表'!B41/(1+'数据-取费表'!C42),0)</f>
        <v>#REF!</v>
      </c>
      <c r="E53" s="2334" t="s">
        <v>1354</v>
      </c>
      <c r="F53" s="2554">
        <f>'数据-取费表'!B41</f>
        <v>0</v>
      </c>
      <c r="G53" s="2555"/>
      <c r="H53" s="2544"/>
      <c r="I53" s="1807"/>
      <c r="J53" s="2523">
        <v>2</v>
      </c>
      <c r="K53" s="3622" t="s">
        <v>1357</v>
      </c>
      <c r="L53" s="3622"/>
      <c r="M53" s="2525" t="e">
        <f t="shared" ref="M53:O54" ca="1" si="0">D55</f>
        <v>#REF!</v>
      </c>
      <c r="N53" s="2523" t="str">
        <f t="shared" si="0"/>
        <v>销售额×税（费）率</v>
      </c>
      <c r="O53" s="2526" t="str">
        <f t="shared" si="0"/>
        <v>免征</v>
      </c>
    </row>
    <row r="54" spans="1:35" ht="12" customHeight="1">
      <c r="A54" s="2335" t="s">
        <v>1358</v>
      </c>
      <c r="B54" s="3583" t="s">
        <v>2292</v>
      </c>
      <c r="C54" s="3584"/>
      <c r="D54" s="1087" t="e">
        <f ca="1">C68</f>
        <v>#REF!</v>
      </c>
      <c r="E54" s="327" t="s">
        <v>1359</v>
      </c>
      <c r="F54" s="2554">
        <f>'数据-取费表'!B41</f>
        <v>0</v>
      </c>
      <c r="G54" s="2555"/>
      <c r="H54" s="2556"/>
      <c r="I54" s="1807"/>
      <c r="J54" s="2523">
        <v>3</v>
      </c>
      <c r="K54" s="3622" t="s">
        <v>1360</v>
      </c>
      <c r="L54" s="3622"/>
      <c r="M54" s="2525" t="e">
        <f t="shared" ca="1" si="0"/>
        <v>#REF!</v>
      </c>
      <c r="N54" s="2523" t="str">
        <f t="shared" si="0"/>
        <v>增值额×税（费）率</v>
      </c>
      <c r="O54" s="2527" t="str">
        <f t="shared" si="0"/>
        <v>免征</v>
      </c>
    </row>
    <row r="55" spans="1:35" ht="24" customHeight="1">
      <c r="A55" s="3572" t="s">
        <v>1361</v>
      </c>
      <c r="B55" s="3573"/>
      <c r="C55" s="3573"/>
      <c r="D55" s="2324" t="e">
        <f ca="1">IF(H55="个人住宅",0,ROUND(D45*I55,0))</f>
        <v>#REF!</v>
      </c>
      <c r="E55" s="2334" t="s">
        <v>1362</v>
      </c>
      <c r="F55" s="2554" t="str">
        <f>IF(H55="正常",I55,"免征")</f>
        <v>免征</v>
      </c>
      <c r="G55" s="2555"/>
      <c r="H55" s="2550"/>
      <c r="I55" s="165">
        <f>'数据-取费表'!B49</f>
        <v>0</v>
      </c>
      <c r="J55" s="2523">
        <f>IF(H59="非个人房产","",4)</f>
        <v>4</v>
      </c>
      <c r="K55" s="3622" t="str">
        <f>IF(H59="非个人房产","——","个人所得税")</f>
        <v>个人所得税</v>
      </c>
      <c r="L55" s="3622"/>
      <c r="M55" s="2528" t="e">
        <f ca="1">D59</f>
        <v>#REF!</v>
      </c>
      <c r="N55" s="2040" t="str">
        <f>E59</f>
        <v>差额计税</v>
      </c>
      <c r="O55" s="2529">
        <f>F59</f>
        <v>0.01</v>
      </c>
    </row>
    <row r="56" spans="1:35" ht="24.75">
      <c r="A56" s="3572" t="s">
        <v>1363</v>
      </c>
      <c r="B56" s="3573"/>
      <c r="C56" s="3573"/>
      <c r="D56" s="2324" t="e">
        <f ca="1">IF(H56="个人住宅",D57,D58)</f>
        <v>#REF!</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0</v>
      </c>
      <c r="O57" s="2533"/>
      <c r="P57" s="2690" t="e">
        <f ca="1">N57/M49</f>
        <v>#VALUE!</v>
      </c>
    </row>
    <row r="58" spans="1:35" ht="24.75">
      <c r="A58" s="2335" t="s">
        <v>1352</v>
      </c>
      <c r="B58" s="3583" t="s">
        <v>1369</v>
      </c>
      <c r="C58" s="3557"/>
      <c r="D58" s="2324" t="e">
        <f ca="1">IF(H58="转让取得",C81,C97)</f>
        <v>#REF!</v>
      </c>
      <c r="E58" s="2334" t="s">
        <v>1364</v>
      </c>
      <c r="F58" s="302" t="s">
        <v>28</v>
      </c>
      <c r="G58" s="2555"/>
      <c r="H58" s="2558"/>
      <c r="I58" s="1808"/>
      <c r="J58" s="3622"/>
      <c r="K58" s="3622"/>
      <c r="L58" s="2530" t="s">
        <v>1370</v>
      </c>
      <c r="M58" s="2534"/>
      <c r="N58" s="2535" t="str">
        <f ca="1">NUMBERSTRING(INT(N57*10000),2)&amp;"元整"</f>
        <v>零元整</v>
      </c>
      <c r="O58" s="2536"/>
    </row>
    <row r="59" spans="1:35" ht="24.75" thickBot="1">
      <c r="A59" s="3625" t="s">
        <v>1371</v>
      </c>
      <c r="B59" s="3626"/>
      <c r="C59" s="362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t="e">
        <f ca="1">M49-N57</f>
        <v>#VALUE!</v>
      </c>
      <c r="O59" s="2539"/>
    </row>
    <row r="60" spans="1:35" ht="12" customHeight="1">
      <c r="A60" s="1809"/>
      <c r="B60" s="1747"/>
      <c r="C60" s="1747"/>
      <c r="D60" s="1747"/>
      <c r="E60" s="1578"/>
      <c r="F60" s="1808"/>
      <c r="G60" s="1808"/>
      <c r="H60" s="1810"/>
      <c r="I60" s="129"/>
      <c r="J60" s="3624"/>
      <c r="K60" s="3622"/>
      <c r="L60" s="2530" t="s">
        <v>1370</v>
      </c>
      <c r="M60" s="2534"/>
      <c r="N60" s="2535" t="e">
        <f ca="1">NUMBERSTRING(INT(N59*10000),2)&amp;"元整"</f>
        <v>#VALUE!</v>
      </c>
      <c r="O60" s="2536"/>
    </row>
    <row r="61" spans="1:35" ht="13.5" thickBot="1">
      <c r="A61" s="3570" t="s">
        <v>1373</v>
      </c>
      <c r="B61" s="3570"/>
      <c r="C61" s="3570"/>
      <c r="D61" s="3570"/>
      <c r="E61" s="3570"/>
      <c r="F61" s="1808"/>
      <c r="G61" s="1808"/>
      <c r="H61" s="1810"/>
      <c r="I61" s="129"/>
      <c r="J61" s="2523">
        <f>J59+1</f>
        <v>7</v>
      </c>
      <c r="K61" s="3622" t="s">
        <v>1374</v>
      </c>
      <c r="L61" s="3622"/>
      <c r="M61" s="2540"/>
      <c r="N61" s="2541" t="e">
        <f ca="1">ROUND(N59*10000/'数据-汇总表'!E3,0)</f>
        <v>#VALUE!</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f>C4</f>
        <v>0</v>
      </c>
      <c r="D101" s="2586">
        <f>D4</f>
        <v>0</v>
      </c>
      <c r="E101" s="3644" t="s">
        <v>1431</v>
      </c>
      <c r="F101" s="3601"/>
      <c r="G101" s="1827" t="s">
        <v>1432</v>
      </c>
      <c r="H101" s="2595" t="e">
        <f ca="1">H118</f>
        <v>#REF!</v>
      </c>
      <c r="I101" s="129"/>
    </row>
    <row r="102" spans="1:35" ht="18.75" customHeight="1">
      <c r="A102" s="3603" t="s">
        <v>1433</v>
      </c>
      <c r="B102" s="2584" t="s">
        <v>1432</v>
      </c>
      <c r="C102" s="2585" t="e">
        <f ca="1">IF(D32="楼面单价",ROUND(C19,0),C19)</f>
        <v>#REF!</v>
      </c>
      <c r="D102" s="2586" t="e">
        <f ca="1">IF(D32="楼面单价",ROUND(D19,0),D19)</f>
        <v>#REF!</v>
      </c>
      <c r="E102" s="3644"/>
      <c r="F102" s="3601"/>
      <c r="G102" s="1827" t="s">
        <v>1434</v>
      </c>
      <c r="H102" s="2555" t="e">
        <f ca="1">I118</f>
        <v>#REF!</v>
      </c>
      <c r="I102" s="129"/>
    </row>
    <row r="103" spans="1:35" ht="42.75" customHeight="1">
      <c r="A103" s="3603"/>
      <c r="B103" s="2584" t="s">
        <v>1434</v>
      </c>
      <c r="C103" s="2587" t="e">
        <f ca="1">C20</f>
        <v>#REF!</v>
      </c>
      <c r="D103" s="2588" t="e">
        <f ca="1">D20</f>
        <v>#REF!</v>
      </c>
      <c r="E103" s="3638" t="s">
        <v>1435</v>
      </c>
      <c r="F103" s="3639"/>
      <c r="G103" s="1828" t="s">
        <v>1436</v>
      </c>
      <c r="H103" s="2595">
        <f>IF(D36="正常操作",H104+H105+H106,H105+H106)</f>
        <v>0</v>
      </c>
      <c r="I103" s="129"/>
    </row>
    <row r="104" spans="1:35" ht="18.75" customHeight="1">
      <c r="A104" s="360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t="e">
        <f ca="1">IF(E107="——","——",H101-H103)</f>
        <v>#REF!</v>
      </c>
      <c r="I107" s="129"/>
    </row>
    <row r="108" spans="1:35" ht="18.75" customHeight="1">
      <c r="A108" s="129"/>
      <c r="B108" s="129"/>
      <c r="C108" s="129"/>
      <c r="D108" s="129"/>
      <c r="E108" s="3600"/>
      <c r="F108" s="3601"/>
      <c r="G108" s="1827" t="s">
        <v>1434</v>
      </c>
      <c r="H108" s="2555">
        <f ca="1">IF(H107=H101,H102,ROUND(H107*10000/'数据-汇总表'!E3,0))</f>
        <v>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房地产</v>
      </c>
      <c r="B118" s="2329">
        <f>M18</f>
        <v>237.74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1" t="s">
        <v>1452</v>
      </c>
      <c r="B119" s="3571"/>
      <c r="C119" s="3571"/>
      <c r="D119" s="3611" t="e">
        <f ca="1">NUMBERSTRING(INT(D118*10000),2)&amp;"元整"</f>
        <v>#REF!</v>
      </c>
      <c r="E119" s="3613"/>
      <c r="F119" s="3611" t="e">
        <f ca="1">NUMBERSTRING(INT(F118*10000),2)&amp;"元整"</f>
        <v>#REF!</v>
      </c>
      <c r="G119" s="3613"/>
      <c r="H119" s="3611" t="e">
        <f ca="1">NUMBERSTRING(INT(H118*10000),2)&amp;"元整"</f>
        <v>#REF!</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t="e">
        <f ca="1">H107</f>
        <v>#REF!</v>
      </c>
      <c r="E122" s="3636"/>
      <c r="F122" s="3636"/>
      <c r="G122" s="3636"/>
      <c r="H122" s="3636"/>
      <c r="I122" s="3637"/>
      <c r="AA122" s="725"/>
    </row>
    <row r="123" spans="1:27" ht="18.75" customHeight="1">
      <c r="A123" s="3571" t="s">
        <v>1452</v>
      </c>
      <c r="B123" s="3571"/>
      <c r="C123" s="3571"/>
      <c r="D123" s="3611" t="e">
        <f ca="1">NUMBERSTRING(INT(D122*10000),2)&amp;"元整"</f>
        <v>#REF!</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237.74</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237.74</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237.74</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1" t="s">
        <v>1544</v>
      </c>
    </row>
    <row r="43" spans="1:7" ht="13.5" customHeight="1">
      <c r="A43" s="780" t="s">
        <v>347</v>
      </c>
      <c r="B43" s="215" t="s">
        <v>1545</v>
      </c>
      <c r="C43" s="238" t="e">
        <f ca="1">ROUND(IF('数据-取费表'!B22&lt;=1,C39*F22*'数据-取费表'!B21/2,C39*(POWER((1+F22),'数据-取费表'!B21/2)-1)),0)</f>
        <v>#VALUE!</v>
      </c>
      <c r="D43" s="238"/>
      <c r="E43" s="238"/>
      <c r="F43" s="239"/>
      <c r="G43" s="3652"/>
    </row>
    <row r="44" spans="1:7" ht="13.5" customHeight="1">
      <c r="A44" s="780" t="s">
        <v>348</v>
      </c>
      <c r="B44" s="215" t="s">
        <v>1546</v>
      </c>
      <c r="C44" s="238" t="e">
        <f ca="1">ROUND(IF('数据-取费表'!B22&lt;=1,C40*F22*'数据-取费表'!B21/2,C40*(POWER((1+F22),'数据-取费表'!B21/2)-1)),4)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237.74</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237.74</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237.74</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1" t="s">
        <v>1591</v>
      </c>
    </row>
    <row r="43" spans="1:7" ht="13.5" customHeight="1">
      <c r="A43" s="780" t="s">
        <v>347</v>
      </c>
      <c r="B43" s="215" t="s">
        <v>1545</v>
      </c>
      <c r="C43" s="238" t="e">
        <f ca="1">ROUND(IF('数据-取费表'!B22&lt;=1,C39*F22*'数据-取费表'!B20/2,C39*(POWER((1+F22),'数据-取费表'!B20/2)-1)),0)</f>
        <v>#VALUE!</v>
      </c>
      <c r="D43" s="238"/>
      <c r="E43" s="238"/>
      <c r="F43" s="239"/>
      <c r="G43" s="3652"/>
    </row>
    <row r="44" spans="1:7" ht="13.5" customHeight="1">
      <c r="A44" s="780" t="s">
        <v>348</v>
      </c>
      <c r="B44" s="215" t="s">
        <v>1546</v>
      </c>
      <c r="C44" s="238" t="e">
        <f ca="1">ROUND(IF('数据-取费表'!B22&lt;=1,C40*F22*'数据-取费表'!B20/2,C40*(POWER((1+F22),'数据-取费表'!B20/2)-1)),4)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237.74</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237.74</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45769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45769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45769</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估价对象为房地产，为所有。根据《国有土地使用证》[]，估价对象（分摊）出让国有建设用地使用权面积为0平方米，建筑面积为237.74平方米。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估价对象为房地产,属开发建设的，该项目尚在开发建设中。根据《国有土地使用证》[]，估价对象（分摊）出让国有建设用地使用权面积为0平方米，规划建筑面积为237.74平方米。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45769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5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237.74</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5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237.74</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t="e">
        <f>ROUND(IF(F21="与级别开发程度一致",0,(G21-E21)/C21),0)</f>
        <v>#DIV/0!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45769</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237.74</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237.74</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237.74</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1" t="s">
        <v>94</v>
      </c>
    </row>
    <row r="43" spans="1:7" ht="13.5" customHeight="1">
      <c r="A43" s="780" t="s">
        <v>347</v>
      </c>
      <c r="B43" s="215" t="s">
        <v>426</v>
      </c>
      <c r="C43" s="238" t="e">
        <f ca="1">ROUND(IF('数据-取费表'!B22&lt;=1,C39*F22*'数据-取费表'!B21/2,C39*(POWER((1+F22),'数据-取费表'!B21/2)-1)),0)</f>
        <v>#VALUE!</v>
      </c>
      <c r="D43" s="238"/>
      <c r="E43" s="238"/>
      <c r="F43" s="239"/>
      <c r="G43" s="3652"/>
    </row>
    <row r="44" spans="1:7" ht="13.5" customHeight="1">
      <c r="A44" s="780" t="s">
        <v>348</v>
      </c>
      <c r="B44" s="215" t="s">
        <v>428</v>
      </c>
      <c r="C44" s="238" t="e">
        <f ca="1">ROUND(IF('数据-取费表'!B22&lt;=1,C40*F22*'数据-取费表'!B21/2,C40*(POWER((1+F22),'数据-取费表'!B21/2)-1)),4)</f>
        <v>#VALUE!</v>
      </c>
      <c r="D44" s="238"/>
      <c r="E44" s="238"/>
      <c r="F44" s="239"/>
      <c r="G44" s="365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t="e">
        <f ca="1">结果表!H101</f>
        <v>#REF!</v>
      </c>
      <c r="E5" s="1491"/>
    </row>
    <row r="6" spans="1:5" ht="15.75">
      <c r="A6" s="1491"/>
      <c r="B6" s="3470"/>
      <c r="C6" s="1494" t="s">
        <v>911</v>
      </c>
      <c r="D6" s="850" t="e">
        <f ca="1">NUMBERSTRING(INT(D5*10000),2)&amp;"元整"</f>
        <v>#REF!</v>
      </c>
      <c r="E6" s="1491"/>
    </row>
    <row r="7" spans="1:5" ht="15.75">
      <c r="A7" s="1491"/>
      <c r="B7" s="3475"/>
      <c r="C7" s="1495" t="s">
        <v>912</v>
      </c>
      <c r="D7" s="851" t="e">
        <f ca="1">结果表!H102</f>
        <v>#REF!</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t="e">
        <f ca="1">结果表!H107</f>
        <v>#REF!</v>
      </c>
      <c r="E13" s="1491"/>
    </row>
    <row r="14" spans="1:5" ht="15.75">
      <c r="A14" s="1491"/>
      <c r="B14" s="3470"/>
      <c r="C14" s="1494" t="s">
        <v>911</v>
      </c>
      <c r="D14" s="850" t="e">
        <f ca="1">NUMBERSTRING(INT(D13*10000),2)&amp;"元整"</f>
        <v>#REF!</v>
      </c>
      <c r="E14" s="1491"/>
    </row>
    <row r="15" spans="1:5" ht="15">
      <c r="A15" s="1491"/>
      <c r="B15" s="3475"/>
      <c r="C15" s="1495" t="s">
        <v>921</v>
      </c>
      <c r="D15" s="859" t="e">
        <f ca="1">结果表!H108</f>
        <v>#REF!</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45769</v>
      </c>
      <c r="B1" s="3210" t="s">
        <v>3380</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3408</v>
      </c>
      <c r="AG2" t="s">
        <v>673</v>
      </c>
      <c r="AH2" t="s">
        <v>21</v>
      </c>
      <c r="AI2" t="s">
        <v>3409</v>
      </c>
      <c r="AJ2" t="s">
        <v>3</v>
      </c>
      <c r="AK2" t="s">
        <v>3410</v>
      </c>
      <c r="AM2" t="s">
        <v>3408</v>
      </c>
      <c r="AN2" t="s">
        <v>673</v>
      </c>
      <c r="AO2" t="s">
        <v>21</v>
      </c>
      <c r="AP2" t="s">
        <v>3409</v>
      </c>
      <c r="AQ2" t="s">
        <v>3</v>
      </c>
      <c r="AR2" t="s">
        <v>3410</v>
      </c>
    </row>
    <row r="3" spans="1:44" s="3161" customFormat="1" ht="12.75">
      <c r="A3" s="3149" t="s">
        <v>2819</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3407</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3406</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3405</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3376</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3385</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3384</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3377</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3375</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3383</v>
      </c>
    </row>
    <row r="27" spans="1:44" s="3009" customFormat="1">
      <c r="I27" s="3208" t="s">
        <v>2825</v>
      </c>
    </row>
    <row r="28" spans="1:44" s="3009" customFormat="1"/>
    <row r="29" spans="1:44" s="3209" customFormat="1" ht="12.75">
      <c r="B29" s="3210" t="s">
        <v>3381</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3409</v>
      </c>
      <c r="AJ30"/>
      <c r="AK30" t="s">
        <v>3410</v>
      </c>
      <c r="AN30" t="s">
        <v>673</v>
      </c>
      <c r="AO30" t="s">
        <v>21</v>
      </c>
      <c r="AP30" t="s">
        <v>3409</v>
      </c>
      <c r="AQ30"/>
      <c r="AR30" t="s">
        <v>3410</v>
      </c>
    </row>
    <row r="31" spans="1:44" s="3161" customFormat="1" ht="12.75">
      <c r="A31" s="3149" t="s">
        <v>2834</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3407</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3406</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3405</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3376</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3378</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3379</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3382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45769</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房地产</v>
      </c>
      <c r="B4" s="854">
        <f>项目基本情况!C17</f>
        <v>237.74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t="e">
        <f ca="1">结果表!D122</f>
        <v>#REF!</v>
      </c>
      <c r="E8" s="3481"/>
      <c r="F8" s="3481"/>
      <c r="G8" s="3481"/>
      <c r="H8" s="3481"/>
      <c r="I8" s="3481"/>
    </row>
    <row r="9" spans="1:9" ht="15">
      <c r="A9" s="3482" t="s">
        <v>927</v>
      </c>
      <c r="B9" s="3482"/>
      <c r="C9" s="3482"/>
      <c r="D9" s="3482" t="e">
        <f ca="1">结果表!D123</f>
        <v>#REF!</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2025-04-22T02:41:50Z</dcterms:modified>
</cp:coreProperties>
</file>