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火炬大厦\"/>
    </mc:Choice>
  </mc:AlternateContent>
  <bookViews>
    <workbookView xWindow="0" yWindow="0" windowWidth="10380" windowHeight="6975"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Sheet6" sheetId="85" state="hidden" r:id="rId15"/>
    <sheet name="结果" sheetId="90" r:id="rId16"/>
    <sheet name="面积" sheetId="80" r:id="rId17"/>
    <sheet name="数据-取费表" sheetId="1" r:id="rId18"/>
    <sheet name="估价对象房地状况" sheetId="20" state="hidden" r:id="rId19"/>
    <sheet name="结果表" sheetId="9" state="hidden" r:id="rId20"/>
    <sheet name="收益法倒推租金-商业" sheetId="83" r:id="rId21"/>
    <sheet name="售价比较法-商业" sheetId="82" r:id="rId22"/>
    <sheet name="商业售价案例" sheetId="84" r:id="rId23"/>
    <sheet name="租金比较法-商业" sheetId="33" r:id="rId24"/>
    <sheet name="商业租金案例" sheetId="81" r:id="rId25"/>
    <sheet name="成本法" sheetId="68" state="hidden" r:id="rId26"/>
    <sheet name="成本法 (元)" sheetId="69" state="hidden" r:id="rId27"/>
    <sheet name="假设开发法" sheetId="12" state="hidden" r:id="rId28"/>
    <sheet name="收益法" sheetId="15" state="hidden" r:id="rId29"/>
    <sheet name="收益法 (元)" sheetId="67" state="hidden" r:id="rId30"/>
    <sheet name="收益法-酒店模型" sheetId="77" state="hidden" r:id="rId31"/>
    <sheet name="收益法（汇总）" sheetId="70" state="hidden" r:id="rId32"/>
    <sheet name="比较法-住宅" sheetId="21" state="hidden" r:id="rId33"/>
    <sheet name="收益法倒推租金-办公" sheetId="89" r:id="rId34"/>
    <sheet name="售价比较法-办公 " sheetId="87" r:id="rId35"/>
    <sheet name="办公售价案例" sheetId="88" r:id="rId36"/>
    <sheet name="租金比较法-办公" sheetId="34" r:id="rId37"/>
    <sheet name="办公租金案例" sheetId="86"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系统读取表" sheetId="74" r:id="rId55"/>
    <sheet name="存贷款利率" sheetId="73" state="hidden" r:id="rId56"/>
  </sheets>
  <externalReferences>
    <externalReference r:id="rId57"/>
    <externalReference r:id="rId58"/>
    <externalReference r:id="rId59"/>
  </externalReferences>
  <definedNames>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2" hidden="1">'比较法-住宅'!$A$1:$L$49</definedName>
    <definedName name="_xlnm._FilterDatabase" localSheetId="34" hidden="1">'售价比较法-办公 '!$A$1:$L$50</definedName>
    <definedName name="_xlnm._FilterDatabase" localSheetId="21" hidden="1">'售价比较法-商业'!$A$1:$L$49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_FilterDatabase" localSheetId="36" hidden="1">'租金比较法-办公'!$A$1:$L$50</definedName>
    <definedName name="_xlnm._FilterDatabase" localSheetId="23" hidden="1">'租金比较法-商业'!$A$1:$L$49</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2">'比较法-住宅'!$A$1:$K$54,'比较法-住宅'!$A$57:$M$131</definedName>
    <definedName name="_xlnm.Print_Area" localSheetId="25">成本法!$A$1:$G$57</definedName>
    <definedName name="_xlnm.Print_Area" localSheetId="26">'成本法 (元)'!$A$1:$G$57</definedName>
    <definedName name="_xlnm.Print_Area" localSheetId="18">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7">假设开发法!$A$1:$K$32</definedName>
    <definedName name="_xlnm.Print_Area" localSheetId="19">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20">'收益法倒推租金-商业'!$A$1:$I$53</definedName>
    <definedName name="_xlnm.Print_Area" localSheetId="34">'售价比较法-办公 '!$A$1:$K$55,'售价比较法-办公 '!$A$58:$M$132</definedName>
    <definedName name="_xlnm.Print_Area" localSheetId="21">'售价比较法-商业'!$A$1:$K$54,'售价比较法-商业'!$A$57:$M$131</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54">系统读取表!$A$1:$I$26</definedName>
    <definedName name="_xlnm.Print_Area" localSheetId="11">项目基本情况!$A$1:$I$38</definedName>
    <definedName name="_xlnm.Print_Area" localSheetId="36">'租金比较法-办公'!$A$1:$K$55,'租金比较法-办公'!$A$58:$M$132</definedName>
    <definedName name="_xlnm.Print_Area" localSheetId="23">'租金比较法-商业'!$A$1:$K$54,'租金比较法-商业'!$A$57:$M$131</definedName>
    <definedName name="八级">区片价!$P$1:$P$44</definedName>
    <definedName name="办公">'[1]比较法-办公'!$B$87:$M$87</definedName>
    <definedName name="办公层高" localSheetId="33">'[2]比较法-办公'!$B$119:$M$119</definedName>
    <definedName name="办公层高" localSheetId="20">'[2]比较法-办公'!$B$119:$M$119</definedName>
    <definedName name="办公层高" localSheetId="34">'售价比较法-办公 '!$B$119:$M$119</definedName>
    <definedName name="办公层高">'租金比较法-办公'!$B$119:$M$119</definedName>
    <definedName name="办公朝向" localSheetId="33">'[2]比较法-办公'!$B$91:$M$91</definedName>
    <definedName name="办公朝向" localSheetId="20">'[2]比较法-办公'!$B$91:$M$91</definedName>
    <definedName name="办公朝向" localSheetId="34">'售价比较法-办公 '!$B$91:$M$91</definedName>
    <definedName name="办公朝向">'租金比较法-办公'!$B$91:$M$91</definedName>
    <definedName name="办公道路级别" localSheetId="33">'[2]比较法-办公'!$B$87:$M$87</definedName>
    <definedName name="办公道路级别" localSheetId="20">'[2]比较法-办公'!$B$87:$M$87</definedName>
    <definedName name="办公道路级别" localSheetId="34">'售价比较法-办公 '!$B$87:$M$87</definedName>
    <definedName name="办公道路级别">'租金比较法-办公'!$B$87:$M$87</definedName>
    <definedName name="办公公共部分装修" localSheetId="33">'[2]比较法-办公'!$B$108:$M$108</definedName>
    <definedName name="办公公共部分装修" localSheetId="20">'[2]比较法-办公'!$B$108:$M$108</definedName>
    <definedName name="办公公共部分装修" localSheetId="34">'售价比较法-办公 '!$B$108:$M$108</definedName>
    <definedName name="办公公共部分装修">'租金比较法-办公'!$B$108:$M$108</definedName>
    <definedName name="办公基础设施水平" localSheetId="33">'[2]比较法-办公'!$B$117:$M$117</definedName>
    <definedName name="办公基础设施水平" localSheetId="20">'[2]比较法-办公'!$B$117:$M$117</definedName>
    <definedName name="办公基础设施水平" localSheetId="34">'售价比较法-办公 '!$B$117:$M$117</definedName>
    <definedName name="办公基础设施水平">'租金比较法-办公'!$B$117:$M$117</definedName>
    <definedName name="办公集聚程度" localSheetId="33">[2]定义!$M$1:$M$6</definedName>
    <definedName name="办公集聚程度" localSheetId="20">[2]定义!$M$1:$M$6</definedName>
    <definedName name="办公集聚程度">定义!$M$1:$M$6</definedName>
    <definedName name="办公建筑结构" localSheetId="33">'[2]比较法-办公'!$B$106:$M$106</definedName>
    <definedName name="办公建筑结构" localSheetId="20">'[2]比较法-办公'!$B$106:$M$106</definedName>
    <definedName name="办公建筑结构" localSheetId="34">'售价比较法-办公 '!$B$106:$M$106</definedName>
    <definedName name="办公建筑结构">'租金比较法-办公'!$B$106:$M$106</definedName>
    <definedName name="办公建筑类型" localSheetId="33">'[2]比较法-办公'!$B$101:$M$101</definedName>
    <definedName name="办公建筑类型" localSheetId="20">'[2]比较法-办公'!$B$101:$M$101</definedName>
    <definedName name="办公建筑类型" localSheetId="34">'售价比较法-办公 '!$B$101:$M$101</definedName>
    <definedName name="办公建筑类型">'租金比较法-办公'!$B$101:$M$101</definedName>
    <definedName name="办公交易情况" localSheetId="33">'[2]比较法-办公'!$A$62:$M$62</definedName>
    <definedName name="办公交易情况" localSheetId="20">'[2]比较法-办公'!$A$62:$M$62</definedName>
    <definedName name="办公交易情况" localSheetId="34">'售价比较法-办公 '!$A$62:$M$62</definedName>
    <definedName name="办公交易情况">'租金比较法-办公'!$A$62:$M$62</definedName>
    <definedName name="办公楼层" localSheetId="33">'[2]比较法-办公'!$B$89:$M$89</definedName>
    <definedName name="办公楼层" localSheetId="20">'[2]比较法-办公'!$B$89:$M$89</definedName>
    <definedName name="办公楼层" localSheetId="34">'售价比较法-办公 '!$B$89:$M$89</definedName>
    <definedName name="办公楼层">'租金比较法-办公'!$B$89:$M$89</definedName>
    <definedName name="办公内部装修" localSheetId="33">'[2]比较法-办公'!$B$123:$M$123</definedName>
    <definedName name="办公内部装修" localSheetId="20">'[2]比较法-办公'!$B$123:$M$123</definedName>
    <definedName name="办公内部装修" localSheetId="34">'售价比较法-办公 '!$B$123:$M$123</definedName>
    <definedName name="办公内部装修">'租金比较法-办公'!$B$123:$M$123</definedName>
    <definedName name="办公物业管理" localSheetId="33">'[2]比较法-办公'!$B$115:$M$115</definedName>
    <definedName name="办公物业管理" localSheetId="20">'[2]比较法-办公'!$B$115:$M$115</definedName>
    <definedName name="办公物业管理" localSheetId="34">'售价比较法-办公 '!$B$115:$M$115</definedName>
    <definedName name="办公物业管理">'租金比较法-办公'!$B$115:$M$115</definedName>
    <definedName name="办公用途" localSheetId="33">'[2]比较法-办公'!$B$64:$M$64</definedName>
    <definedName name="办公用途" localSheetId="20">'[2]比较法-办公'!$B$64:$M$64</definedName>
    <definedName name="办公用途" localSheetId="34">'售价比较法-办公 '!$B$64:$M$64</definedName>
    <definedName name="办公用途">'租金比较法-办公'!$B$64:$M$64</definedName>
    <definedName name="仓储公共部分装修" localSheetId="33">'[2]比较法-仓储'!$B$77:$M$77</definedName>
    <definedName name="仓储公共部分装修" localSheetId="20">'[2]比较法-仓储'!$B$77:$M$77</definedName>
    <definedName name="仓储公共部分装修">'比较法-仓储'!$B$77:$M$77</definedName>
    <definedName name="仓储交易情况" localSheetId="33">'[2]比较法-仓储'!$A$49:$M$49</definedName>
    <definedName name="仓储交易情况" localSheetId="20">'[2]比较法-仓储'!$A$49:$M$49</definedName>
    <definedName name="仓储交易情况">'比较法-仓储'!$A$49:$M$49</definedName>
    <definedName name="仓储楼层" localSheetId="33">'[2]比较法-仓储'!$B$69:$M$69</definedName>
    <definedName name="仓储楼层" localSheetId="20">'[2]比较法-仓储'!$B$69:$M$69</definedName>
    <definedName name="仓储楼层">'比较法-仓储'!$B$69:$M$69</definedName>
    <definedName name="仓储物业等级" localSheetId="33">'[2]比较法-仓储'!$B$82:$M$82</definedName>
    <definedName name="仓储物业等级" localSheetId="20">'[2]比较法-仓储'!$B$82:$M$82</definedName>
    <definedName name="仓储物业等级">'比较法-仓储'!$B$82:$M$82</definedName>
    <definedName name="仓储用途" localSheetId="33">'[2]比较法-仓储'!$B$51:$M$51</definedName>
    <definedName name="仓储用途" localSheetId="20">'[2]比较法-仓储'!$B$51:$M$51</definedName>
    <definedName name="仓储用途">'比较法-仓储'!$B$51:$M$51</definedName>
    <definedName name="产业集聚程度" localSheetId="33">[2]定义!$N$1:$N$6</definedName>
    <definedName name="产业集聚程度" localSheetId="20">[2]定义!$N$1:$N$6</definedName>
    <definedName name="产业集聚程度">定义!$N$1:$N$6</definedName>
    <definedName name="车位公共部分装修" localSheetId="33">'[2]比较法-车位'!$B$83:$M$83</definedName>
    <definedName name="车位公共部分装修" localSheetId="20">'[2]比较法-车位'!$B$83:$M$83</definedName>
    <definedName name="车位公共部分装修">'比较法-车位'!$B$83:$M$83</definedName>
    <definedName name="车位交易情况" localSheetId="33">'[2]比较法-车位'!$A$51:$M$51</definedName>
    <definedName name="车位交易情况" localSheetId="20">'[2]比较法-车位'!$A$51:$M$51</definedName>
    <definedName name="车位交易情况">'比较法-车位'!$A$51:$M$51</definedName>
    <definedName name="车位类型" localSheetId="33">'[2]比较法-车位'!$B$93:$M$93</definedName>
    <definedName name="车位类型" localSheetId="20">'[2]比较法-车位'!$B$93:$M$93</definedName>
    <definedName name="车位类型">'比较法-车位'!$B$93:$M$93</definedName>
    <definedName name="车位楼层" localSheetId="33">'[2]比较法-车位'!$B$71:$M$71</definedName>
    <definedName name="车位楼层" localSheetId="20">'[2]比较法-车位'!$B$71:$M$71</definedName>
    <definedName name="车位楼层">'比较法-车位'!$B$71:$M$71</definedName>
    <definedName name="车位配套类型" localSheetId="33">'[2]比较法-车位'!$B$79:$M$79</definedName>
    <definedName name="车位配套类型" localSheetId="20">'[2]比较法-车位'!$B$79:$M$79</definedName>
    <definedName name="车位配套类型">'比较法-车位'!$B$79:$M$79</definedName>
    <definedName name="车位物业等级" localSheetId="33">'[2]比较法-车位'!$B$88:$M$88</definedName>
    <definedName name="车位物业等级" localSheetId="20">'[2]比较法-车位'!$B$88:$M$88</definedName>
    <definedName name="车位物业等级">'比较法-车位'!$B$88:$M$88</definedName>
    <definedName name="车位用途" localSheetId="33">'[2]比较法-车位'!$B$53:$M$53</definedName>
    <definedName name="车位用途" localSheetId="20">'[2]比较法-车位'!$B$53:$M$53</definedName>
    <definedName name="车位用途">'比较法-车位'!$B$53:$M$53</definedName>
    <definedName name="城镇土地纳税等级分级范围" localSheetId="33">'[2]数据-取费表'!$A$53:$A$63</definedName>
    <definedName name="城镇土地纳税等级分级范围" localSheetId="20">'[2]数据-取费表'!$A$53:$A$63</definedName>
    <definedName name="城镇土地纳税等级分级范围">'数据-取费表'!$A$53:$A$63</definedName>
    <definedName name="单价内涵" localSheetId="33">[2]定义!$V$1:$V$3</definedName>
    <definedName name="单价内涵" localSheetId="20">[2]定义!$V$1:$V$3</definedName>
    <definedName name="单价内涵">定义!$V$1:$V$3</definedName>
    <definedName name="地类判定" localSheetId="33">[2]定义!$H$1:$H$9</definedName>
    <definedName name="地类判定" localSheetId="20">[2]定义!$H$1:$H$9</definedName>
    <definedName name="地类判定">定义!$H$1:$H$9</definedName>
    <definedName name="二级">区片价!$J$1:$J$21</definedName>
    <definedName name="二级分类" localSheetId="33">[2]修正!$C$17:$C$39</definedName>
    <definedName name="二级分类" localSheetId="20">[2]修正!$C$17:$C$39</definedName>
    <definedName name="二级分类">修正!$C$19:$C$51</definedName>
    <definedName name="法定最高年限" localSheetId="33">[2]定义!$G$1:$G$4</definedName>
    <definedName name="法定最高年限" localSheetId="20">[2]定义!$G$1:$G$4</definedName>
    <definedName name="法定最高年限">定义!$G$1:$G$6</definedName>
    <definedName name="工业公共部分装修" localSheetId="33">'[2]比较法-工业'!$B$95:$M$95</definedName>
    <definedName name="工业公共部分装修" localSheetId="20">'[2]比较法-工业'!$B$95:$M$95</definedName>
    <definedName name="工业公共部分装修">'比较法-工业'!$B$95:$M$95</definedName>
    <definedName name="工业基础设施水平" localSheetId="33">'[2]比较法-工业'!$B$102:$M$102</definedName>
    <definedName name="工业基础设施水平" localSheetId="20">'[2]比较法-工业'!$B$102:$M$102</definedName>
    <definedName name="工业基础设施水平">'比较法-工业'!$B$102:$M$102</definedName>
    <definedName name="工业建筑结构" localSheetId="33">'[2]比较法-工业'!$B$93:$M$93</definedName>
    <definedName name="工业建筑结构" localSheetId="20">'[2]比较法-工业'!$B$93:$M$93</definedName>
    <definedName name="工业建筑结构">'比较法-工业'!$B$93:$M$93</definedName>
    <definedName name="工业建筑类型" localSheetId="33">'[2]比较法-工业'!$B$88:$M$88</definedName>
    <definedName name="工业建筑类型" localSheetId="20">'[2]比较法-工业'!$B$88:$M$88</definedName>
    <definedName name="工业建筑类型">'比较法-工业'!$B$88:$M$88</definedName>
    <definedName name="工业交易情况" localSheetId="33">'[2]比较法-工业'!$A$55:$M$55</definedName>
    <definedName name="工业交易情况" localSheetId="20">'[2]比较法-工业'!$A$55:$M$55</definedName>
    <definedName name="工业交易情况">'比较法-工业'!$A$55:$M$55</definedName>
    <definedName name="工业内部装修" localSheetId="33">'[2]比较法-工业'!$B$104:$M$104</definedName>
    <definedName name="工业内部装修" localSheetId="20">'[2]比较法-工业'!$B$104:$M$104</definedName>
    <definedName name="工业内部装修">'比较法-工业'!$B$104:$M$104</definedName>
    <definedName name="工业物业管理" localSheetId="33">'[2]比较法-工业'!$B$100:$M$100</definedName>
    <definedName name="工业物业管理" localSheetId="20">'[2]比较法-工业'!$B$100:$M$100</definedName>
    <definedName name="工业物业管理">'比较法-工业'!$B$100:$M$100</definedName>
    <definedName name="工业用途" localSheetId="33">'[2]比较法-工业'!$B$57:$M$57</definedName>
    <definedName name="工业用途" localSheetId="20">'[2]比较法-工业'!$B$57:$M$57</definedName>
    <definedName name="工业用途">'比较法-工业'!$B$57:$M$57</definedName>
    <definedName name="公共配套设施" localSheetId="33">[2]定义!$Q$1:$Q$6</definedName>
    <definedName name="公共配套设施" localSheetId="20">[2]定义!$Q$1:$Q$6</definedName>
    <definedName name="公共配套设施">定义!$Q$1:$Q$6</definedName>
    <definedName name="估价范围判定">定义!$D$1:$D$4</definedName>
    <definedName name="估价方法" localSheetId="33">[2]定义!$B$1:$B$50</definedName>
    <definedName name="估价方法" localSheetId="20">[2]定义!$B$1:$B$50</definedName>
    <definedName name="估价方法">定义!$B$1:$B$50</definedName>
    <definedName name="环境" localSheetId="33">[2]定义!$S$1:$S$6</definedName>
    <definedName name="环境" localSheetId="20">[2]定义!$S$1:$S$6</definedName>
    <definedName name="环境">定义!$S$1:$S$6</definedName>
    <definedName name="基础设施水平" localSheetId="33">[2]定义!$R$1:$R$6</definedName>
    <definedName name="基础设施水平" localSheetId="20">[2]定义!$R$1:$R$6</definedName>
    <definedName name="基础设施水平">定义!$R$1:$R$6</definedName>
    <definedName name="季度">基准地价修正!$Q$19:$AD$19</definedName>
    <definedName name="价值类型2" localSheetId="33">[2]定义!$B$54:$B$56</definedName>
    <definedName name="价值类型2" localSheetId="20">[2]定义!$B$54:$B$56</definedName>
    <definedName name="价值类型2">定义!$B$54:$B$56</definedName>
    <definedName name="交通便捷度" localSheetId="33">[2]定义!$O$1:$O$6</definedName>
    <definedName name="交通便捷度" localSheetId="20">[2]定义!$O$1:$O$6</definedName>
    <definedName name="交通便捷度">定义!$O$1:$O$6</definedName>
    <definedName name="九级">区片价!$Q$1:$Q$51</definedName>
    <definedName name="居住社区成熟度" localSheetId="33">[2]定义!$K$1:$K$6</definedName>
    <definedName name="居住社区成熟度" localSheetId="20">[2]定义!$K$1:$K$6</definedName>
    <definedName name="居住社区成熟度">定义!$K$1:$K$6</definedName>
    <definedName name="类别" localSheetId="33">[2]定义!$J$1:$J$3</definedName>
    <definedName name="类别" localSheetId="20">[2]定义!$J$1:$J$3</definedName>
    <definedName name="类别">定义!$J$1:$J$3</definedName>
    <definedName name="临街状况" localSheetId="33">[2]定义!$T$1:$T$5</definedName>
    <definedName name="临街状况" localSheetId="20">[2]定义!$T$1:$T$5</definedName>
    <definedName name="临街状况">定义!$T$1:$T$5</definedName>
    <definedName name="六级">区片价!$N$1:$N$64</definedName>
    <definedName name="内部装修维护情况" localSheetId="33">[2]定义!$U$1:$U$6</definedName>
    <definedName name="内部装修维护情况" localSheetId="20">[2]定义!$U$1:$U$6</definedName>
    <definedName name="内部装修维护情况">定义!$U$1:$U$6</definedName>
    <definedName name="判定" localSheetId="33">[2]定义!$D$1:$D$4</definedName>
    <definedName name="判定" localSheetId="20">[2]定义!$D$1:$D$4</definedName>
    <definedName name="判定">[1]定义!$D$1:$D$4</definedName>
    <definedName name="七级">区片价!$O$1:$O$45</definedName>
    <definedName name="七通一平" localSheetId="33">[2]修正!$A$6:$A$14</definedName>
    <definedName name="七通一平" localSheetId="20">[2]修正!$A$6:$A$14</definedName>
    <definedName name="七通一平">修正!$A$8:$A$16</definedName>
    <definedName name="区域土地利用方向" localSheetId="33">[2]定义!$P$1:$P$6</definedName>
    <definedName name="区域土地利用方向" localSheetId="20">[2]定义!$P$1:$P$6</definedName>
    <definedName name="区域土地利用方向">定义!$P$1:$P$6</definedName>
    <definedName name="人">'[1]比较法-办公'!$A$62:$M$62</definedName>
    <definedName name="三级">区片价!$K$1:$K$26</definedName>
    <definedName name="商业层高" localSheetId="33">'[2]比较法-商业'!$B$116:$M$116</definedName>
    <definedName name="商业层高" localSheetId="20">'[2]比较法-商业'!$B$116:$M$116</definedName>
    <definedName name="商业层高" localSheetId="21">'售价比较法-商业'!$B$116:$M$116</definedName>
    <definedName name="商业层高">'租金比较法-商业'!$B$116:$M$116</definedName>
    <definedName name="商业成新度" localSheetId="21">'售价比较法-商业'!$B$109:$M$109</definedName>
    <definedName name="商业成新度">'租金比较法-商业'!$B$109:$M$109</definedName>
    <definedName name="商业繁华度" localSheetId="33">[2]定义!$L$1:$L$6</definedName>
    <definedName name="商业繁华度" localSheetId="20">[2]定义!$L$1:$L$6</definedName>
    <definedName name="商业繁华度">定义!$L$1:$L$6</definedName>
    <definedName name="商业公共部分装修" localSheetId="33">'[2]比较法-商业'!$B$107:$M$107</definedName>
    <definedName name="商业公共部分装修" localSheetId="20">'[2]比较法-商业'!$B$107:$M$107</definedName>
    <definedName name="商业公共部分装修" localSheetId="21">'售价比较法-商业'!$B$107:$M$107</definedName>
    <definedName name="商业公共部分装修">'租金比较法-商业'!$B$107:$M$107</definedName>
    <definedName name="商业基础设施水平" localSheetId="33">'[2]比较法-商业'!$B$112:$M$112</definedName>
    <definedName name="商业基础设施水平" localSheetId="20">'[2]比较法-商业'!$B$112:$M$112</definedName>
    <definedName name="商业基础设施水平" localSheetId="21">'售价比较法-商业'!$B$112:$M$112</definedName>
    <definedName name="商业基础设施水平">'租金比较法-商业'!$B$112:$M$112</definedName>
    <definedName name="商业建筑结构" localSheetId="33">'[2]比较法-商业'!$B$105:$M$105</definedName>
    <definedName name="商业建筑结构" localSheetId="20">'[2]比较法-商业'!$B$105:$M$105</definedName>
    <definedName name="商业建筑结构" localSheetId="21">'售价比较法-商业'!$B$105:$M$105</definedName>
    <definedName name="商业建筑结构">'租金比较法-商业'!$B$105:$M$105</definedName>
    <definedName name="商业交易情况" localSheetId="33">'[2]比较法-商业'!$A$61:$M$61</definedName>
    <definedName name="商业交易情况" localSheetId="20">'[2]比较法-商业'!$A$61:$M$61</definedName>
    <definedName name="商业交易情况" localSheetId="21">'售价比较法-商业'!$A$61:$M$61</definedName>
    <definedName name="商业交易情况">'租金比较法-商业'!$A$61:$M$61</definedName>
    <definedName name="商业街名称" localSheetId="33">[2]修正!$C$59:$C$119</definedName>
    <definedName name="商业街名称" localSheetId="20">[2]修正!$C$59:$C$119</definedName>
    <definedName name="商业街名称">修正!$C$71:$C$138</definedName>
    <definedName name="商业进深比" localSheetId="33">'[2]比较法-商业'!$B$120:$M$120</definedName>
    <definedName name="商业进深比" localSheetId="20">'[2]比较法-商业'!$B$120:$M$120</definedName>
    <definedName name="商业进深比" localSheetId="21">'售价比较法-商业'!$B$120:$M$120</definedName>
    <definedName name="商业进深比">'租金比较法-商业'!$B$120:$M$120</definedName>
    <definedName name="商业类型" localSheetId="33">'[2]比较法-商业'!$B$100:$M$100</definedName>
    <definedName name="商业类型" localSheetId="20">'[2]比较法-商业'!$B$100:$M$100</definedName>
    <definedName name="商业类型" localSheetId="21">'售价比较法-商业'!$B$100:$M$100</definedName>
    <definedName name="商业类型">'租金比较法-商业'!$B$100:$M$100</definedName>
    <definedName name="商业临街状况" localSheetId="33">'[2]比较法-商业'!$B$86:$M$86</definedName>
    <definedName name="商业临街状况" localSheetId="20">'[2]比较法-商业'!$B$86:$M$86</definedName>
    <definedName name="商业临街状况" localSheetId="21">'售价比较法-商业'!$B$86:$M$86</definedName>
    <definedName name="商业临街状况">'租金比较法-商业'!$B$86:$M$86</definedName>
    <definedName name="商业楼层" localSheetId="33">'[2]比较法-商业'!$B$92:$M$92</definedName>
    <definedName name="商业楼层" localSheetId="20">'[2]比较法-商业'!$B$92:$M$92</definedName>
    <definedName name="商业楼层" localSheetId="21">'售价比较法-商业'!$B$92:$M$92</definedName>
    <definedName name="商业楼层">'租金比较法-商业'!$B$92:$M$92</definedName>
    <definedName name="商业内部装修" localSheetId="33">'[2]比较法-商业'!$B$122:$M$122</definedName>
    <definedName name="商业内部装修" localSheetId="20">'[2]比较法-商业'!$B$122:$M$122</definedName>
    <definedName name="商业内部装修" localSheetId="21">'售价比较法-商业'!$B$122:$M$122</definedName>
    <definedName name="商业内部装修">'租金比较法-商业'!$B$122:$M$122</definedName>
    <definedName name="商业人流量" localSheetId="33">'[2]比较法-商业'!$B$90:$M$90</definedName>
    <definedName name="商业人流量" localSheetId="20">'[2]比较法-商业'!$B$90:$M$90</definedName>
    <definedName name="商业人流量" localSheetId="21">'售价比较法-商业'!$B$90:$M$90</definedName>
    <definedName name="商业人流量">'租金比较法-商业'!$B$90:$M$90</definedName>
    <definedName name="商业业态" localSheetId="33">'[2]比较法-商业'!$B$114:$M$114</definedName>
    <definedName name="商业业态" localSheetId="20">'[2]比较法-商业'!$B$114:$M$114</definedName>
    <definedName name="商业业态" localSheetId="21">'售价比较法-商业'!$B$114:$M$114</definedName>
    <definedName name="商业业态">'租金比较法-商业'!$B$114:$M$114</definedName>
    <definedName name="商业用途" localSheetId="33">'[2]比较法-商业'!$B$63:$M$63</definedName>
    <definedName name="商业用途" localSheetId="20">'[2]比较法-商业'!$B$63:$M$63</definedName>
    <definedName name="商业用途" localSheetId="21">'售价比较法-商业'!$B$63:$M$63</definedName>
    <definedName name="商业用途">'租金比较法-商业'!$B$63:$M$63</definedName>
    <definedName name="十二级">区片价!$T$1:$T$8</definedName>
    <definedName name="十级">区片价!$R$1:$R$32</definedName>
    <definedName name="十一级">区片价!$S$1:$S$21</definedName>
    <definedName name="是否封闭" localSheetId="33">'[2]比较法-仓储'!$B$89:$M$89</definedName>
    <definedName name="是否封闭" localSheetId="20">'[2]比较法-仓储'!$B$89:$M$89</definedName>
    <definedName name="是否封闭">'比较法-仓储'!$B$89:$M$89</definedName>
    <definedName name="是否直接入户" localSheetId="33">'[2]比较法-车位'!$B$95:$M$95</definedName>
    <definedName name="是否直接入户" localSheetId="20">'[2]比较法-车位'!$B$95:$M$95</definedName>
    <definedName name="是否直接入户">'比较法-车位'!$B$95:$M$95</definedName>
    <definedName name="四级">区片价!$L$1:$L$33</definedName>
    <definedName name="套工道路等级" localSheetId="33">'[2]土地比较法-工业'!$B$97:$M$97</definedName>
    <definedName name="套工道路等级" localSheetId="20">'[2]土地比较法-工业'!$B$97:$M$97</definedName>
    <definedName name="套工道路等级">'土地比较法-工业'!$B$97:$M$97</definedName>
    <definedName name="套工地质条件" localSheetId="33">'[2]土地比较法-工业'!$B$114:$M$114</definedName>
    <definedName name="套工地质条件" localSheetId="20">'[2]土地比较法-工业'!$B$114:$M$114</definedName>
    <definedName name="套工地质条件">'土地比较法-工业'!$B$114:$M$114</definedName>
    <definedName name="套工交易情况" localSheetId="33">'[2]土地比较法-住宅、综合'!$A$73:$M$73</definedName>
    <definedName name="套工交易情况" localSheetId="20">'[2]土地比较法-住宅、综合'!$A$73:$M$73</definedName>
    <definedName name="套工交易情况">'土地比较法-住宅、综合'!$A$72:$M$72</definedName>
    <definedName name="套工土地级别" localSheetId="33">'[2]土地比较法-工业'!$B$99:$M$99</definedName>
    <definedName name="套工土地级别" localSheetId="20">'[2]土地比较法-工业'!$B$99:$M$99</definedName>
    <definedName name="套工土地级别">'土地比较法-工业'!$B$99:$M$99</definedName>
    <definedName name="套工用途" localSheetId="33">'[2]土地比较法-工业'!$B$70:$M$70</definedName>
    <definedName name="套工用途" localSheetId="20">'[2]土地比较法-工业'!$B$70:$M$70</definedName>
    <definedName name="套工用途">'土地比较法-工业'!$B$70:$M$70</definedName>
    <definedName name="套工宗地开发程度" localSheetId="33">'[2]土地比较法-工业'!$B$112:$M$112</definedName>
    <definedName name="套工宗地开发程度" localSheetId="20">'[2]土地比较法-工业'!$B$112:$M$112</definedName>
    <definedName name="套工宗地开发程度">'土地比较法-工业'!$B$112:$M$112</definedName>
    <definedName name="套工宗地形状" localSheetId="33">'[2]土地比较法-工业'!$B$110:$M$110</definedName>
    <definedName name="套工宗地形状" localSheetId="20">'[2]土地比较法-工业'!$B$110:$M$110</definedName>
    <definedName name="套工宗地形状">'土地比较法-工业'!$B$110:$M$110</definedName>
    <definedName name="套综道路等级" localSheetId="33">'[2]土地比较法-住宅、综合'!$B$106:$M$106</definedName>
    <definedName name="套综道路等级" localSheetId="20">'[2]土地比较法-住宅、综合'!$B$106:$M$106</definedName>
    <definedName name="套综道路等级">'土地比较法-住宅、综合'!$B$105:$M$105</definedName>
    <definedName name="套综工程地质条件" localSheetId="33">'[2]土地比较法-住宅、综合'!$B$125:$M$125</definedName>
    <definedName name="套综工程地质条件" localSheetId="20">'[2]土地比较法-住宅、综合'!$B$125:$M$125</definedName>
    <definedName name="套综工程地质条件">'土地比较法-住宅、综合'!$B$124:$M$124</definedName>
    <definedName name="套综交易情况" localSheetId="33">'[2]土地比较法-住宅、综合'!$A$73:$M$73</definedName>
    <definedName name="套综交易情况" localSheetId="20">'[2]土地比较法-住宅、综合'!$A$73:$M$73</definedName>
    <definedName name="套综交易情况">'土地比较法-住宅、综合'!$A$72:$M$72</definedName>
    <definedName name="套综临街宽度及深度" localSheetId="33">'[2]土地比较法-住宅、综合'!$B$121:$M$121</definedName>
    <definedName name="套综临街宽度及深度" localSheetId="20">'[2]土地比较法-住宅、综合'!$B$121:$M$121</definedName>
    <definedName name="套综临街宽度及深度">'土地比较法-住宅、综合'!$B$120:$M$120</definedName>
    <definedName name="套综土地级别" localSheetId="33">'[2]土地比较法-住宅、综合'!$B$108:$M$108</definedName>
    <definedName name="套综土地级别" localSheetId="20">'[2]土地比较法-住宅、综合'!$B$108:$M$108</definedName>
    <definedName name="套综土地级别">'土地比较法-住宅、综合'!$B$107:$M$107</definedName>
    <definedName name="套综用途" localSheetId="33">'[2]土地比较法-住宅、综合'!$B$75:$M$75</definedName>
    <definedName name="套综用途" localSheetId="20">'[2]土地比较法-住宅、综合'!$B$75:$M$75</definedName>
    <definedName name="套综用途">'土地比较法-住宅、综合'!$B$74:$M$74</definedName>
    <definedName name="套综宗地内开发程度" localSheetId="33">'[2]土地比较法-住宅、综合'!$B$123:$M$123</definedName>
    <definedName name="套综宗地内开发程度" localSheetId="20">'[2]土地比较法-住宅、综合'!$B$123:$M$123</definedName>
    <definedName name="套综宗地内开发程度">'土地比较法-住宅、综合'!$B$122:$M$122</definedName>
    <definedName name="套综宗地形状" localSheetId="33">'[2]土地比较法-住宅、综合'!$B$119:$M$119</definedName>
    <definedName name="套综宗地形状" localSheetId="20">'[2]土地比较法-住宅、综合'!$B$119:$M$119</definedName>
    <definedName name="套综宗地形状">'土地比较法-住宅、综合'!$B$118:$M$118</definedName>
    <definedName name="土地估价师">估价师及机构信息!$D$3:$D$24</definedName>
    <definedName name="土地级别" localSheetId="33">[2]定义!$C$1:$C$14</definedName>
    <definedName name="土地级别" localSheetId="20">[2]定义!$C$1:$C$14</definedName>
    <definedName name="土地级别">定义!$C$1:$C$14</definedName>
    <definedName name="土地利用方向">定义!$P$1:$P$6</definedName>
    <definedName name="土地年限区间" localSheetId="33">[2]定义!$I$1:$I$8</definedName>
    <definedName name="土地年限区间" localSheetId="20">[2]定义!$I$1:$I$8</definedName>
    <definedName name="土地年限区间">定义!$I$1:$I$16</definedName>
    <definedName name="位置" localSheetId="33">[2]定义!$E$2:$E$4</definedName>
    <definedName name="位置" localSheetId="20">[2]定义!$E$2:$E$4</definedName>
    <definedName name="位置">定义!$E$2:$E$4</definedName>
    <definedName name="我">'[1]比较法-办公'!$B$115:$M$115</definedName>
    <definedName name="五等判定" localSheetId="33">[2]定义!$W$1:$W$6</definedName>
    <definedName name="五等判定" localSheetId="20">[2]定义!$W$1:$W$6</definedName>
    <definedName name="五等判定">定义!$W$1:$W$6</definedName>
    <definedName name="五级">区片价!$M$1:$M$41</definedName>
    <definedName name="项目类型" localSheetId="33">'[2]数据-汇总表'!$C$17:$C$26</definedName>
    <definedName name="项目类型" localSheetId="20">'[2]数据-汇总表'!$C$17:$C$26</definedName>
    <definedName name="项目类型" localSheetId="30">'[3]数据-汇总表'!$C$17:$C$26</definedName>
    <definedName name="项目类型">'数据-汇总表'!$C$17:$C$26</definedName>
    <definedName name="写字楼等级" localSheetId="33">'[2]比较法-办公'!$B$113:$M$113</definedName>
    <definedName name="写字楼等级" localSheetId="20">'[2]比较法-办公'!$B$113:$M$113</definedName>
    <definedName name="写字楼等级" localSheetId="34">'售价比较法-办公 '!$B$113:$M$113</definedName>
    <definedName name="写字楼等级">'租金比较法-办公'!$B$113:$M$113</definedName>
    <definedName name="一级">区片价!$I$1:$I$6</definedName>
    <definedName name="一修多修正项2" localSheetId="33">[2]典型户型修正!$5:$5</definedName>
    <definedName name="一修多修正项2" localSheetId="20">[2]典型户型修正!$5:$5</definedName>
    <definedName name="一修多修正项2">典型户型修正!$5:$5</definedName>
    <definedName name="一修多修正项3" localSheetId="33">[2]典型户型修正!$7:$7</definedName>
    <definedName name="一修多修正项3" localSheetId="20">[2]典型户型修正!$7:$7</definedName>
    <definedName name="一修多修正项3">典型户型修正!$7:$7</definedName>
    <definedName name="一修多修正项4" localSheetId="33">[2]典型户型修正!$9:$9</definedName>
    <definedName name="一修多修正项4" localSheetId="20">[2]典型户型修正!$9:$9</definedName>
    <definedName name="一修多修正项4">典型户型修正!$9:$9</definedName>
    <definedName name="一修多修正项5" localSheetId="33">[2]典型户型修正!$11:$11</definedName>
    <definedName name="一修多修正项5" localSheetId="20">[2]典型户型修正!$11:$11</definedName>
    <definedName name="一修多修正项5">典型户型修正!$11:$11</definedName>
    <definedName name="一修多修正项6" localSheetId="33">[2]典型户型修正!$13:$13</definedName>
    <definedName name="一修多修正项6" localSheetId="20">[2]典型户型修正!$13:$13</definedName>
    <definedName name="一修多修正项6">典型户型修正!$13:$13</definedName>
    <definedName name="一修多修正项7" localSheetId="33">[2]典型户型修正!$15:$15</definedName>
    <definedName name="一修多修正项7" localSheetId="20">[2]典型户型修正!$15:$15</definedName>
    <definedName name="一修多修正项7">典型户型修正!$15:$15</definedName>
    <definedName name="一修多修正项8" localSheetId="33">[2]典型户型修正!$17:$17</definedName>
    <definedName name="一修多修正项8" localSheetId="20">[2]典型户型修正!$17:$17</definedName>
    <definedName name="一修多修正项8">典型户型修正!$17:$17</definedName>
    <definedName name="用途明细" localSheetId="33">[2]定义!$A$1:$A$50</definedName>
    <definedName name="用途明细" localSheetId="20">[2]定义!$A$1:$A$50</definedName>
    <definedName name="用途明细">定义!$A$1:$A$50</definedName>
    <definedName name="有无电梯" localSheetId="33">'[2]比较法-仓储'!$B$84:$M$84</definedName>
    <definedName name="有无电梯" localSheetId="20">'[2]比较法-仓储'!$B$84:$M$84</definedName>
    <definedName name="有无电梯">'比较法-仓储'!$B$84:$M$84</definedName>
    <definedName name="主用途" localSheetId="33">[2]定义!$F$1:$F$10</definedName>
    <definedName name="主用途" localSheetId="20">[2]定义!$F$1:$F$10</definedName>
    <definedName name="主用途">定义!$F$1:$F$12</definedName>
    <definedName name="住宅朝向" localSheetId="33">'[2]比较法-住宅'!$B$88:$M$88</definedName>
    <definedName name="住宅朝向" localSheetId="20">'[2]比较法-住宅'!$B$88:$M$88</definedName>
    <definedName name="住宅朝向">'比较法-住宅'!$B$88:$M$88</definedName>
    <definedName name="住宅房型" localSheetId="33">'[2]比较法-住宅'!$B$118:$M$118</definedName>
    <definedName name="住宅房型" localSheetId="20">'[2]比较法-住宅'!$B$118:$M$118</definedName>
    <definedName name="住宅房型">'比较法-住宅'!$B$118:$M$118</definedName>
    <definedName name="住宅公共部分装修" localSheetId="33">'[2]比较法-住宅'!$B$109:$M$109</definedName>
    <definedName name="住宅公共部分装修" localSheetId="20">'[2]比较法-住宅'!$B$109:$M$109</definedName>
    <definedName name="住宅公共部分装修">'比较法-住宅'!$B$109:$M$109</definedName>
    <definedName name="住宅基础设施水平" localSheetId="33">'[2]比较法-住宅'!$B$116:$M$116</definedName>
    <definedName name="住宅基础设施水平" localSheetId="20">'[2]比较法-住宅'!$B$116:$M$116</definedName>
    <definedName name="住宅基础设施水平">'比较法-住宅'!$B$116:$M$116</definedName>
    <definedName name="住宅建筑结构" localSheetId="33">'[2]比较法-住宅'!$B$105:$M$105</definedName>
    <definedName name="住宅建筑结构" localSheetId="20">'[2]比较法-住宅'!$B$105:$M$105</definedName>
    <definedName name="住宅建筑结构">'比较法-住宅'!$B$105:$M$105</definedName>
    <definedName name="住宅建筑类型" localSheetId="33">'[2]比较法-住宅'!$B$100:$M$100</definedName>
    <definedName name="住宅建筑类型" localSheetId="20">'[2]比较法-住宅'!$B$100:$M$100</definedName>
    <definedName name="住宅建筑类型">'比较法-住宅'!$B$100:$M$100</definedName>
    <definedName name="住宅建筑品质" localSheetId="33">'[2]比较法-住宅'!$B$107:$M$107</definedName>
    <definedName name="住宅建筑品质" localSheetId="20">'[2]比较法-住宅'!$B$107:$M$107</definedName>
    <definedName name="住宅建筑品质">'比较法-住宅'!$B$107:$M$107</definedName>
    <definedName name="住宅交易情况" localSheetId="33">'[2]比较法-住宅'!$A$61:$M$61</definedName>
    <definedName name="住宅交易情况" localSheetId="20">'[2]比较法-住宅'!$A$61:$M$61</definedName>
    <definedName name="住宅交易情况">'比较法-住宅'!$A$61:$M$61</definedName>
    <definedName name="住宅楼层" localSheetId="33">'[2]比较法-住宅'!$B$86:$M$86</definedName>
    <definedName name="住宅楼层" localSheetId="20">'[2]比较法-住宅'!$B$86:$M$86</definedName>
    <definedName name="住宅楼层">'比较法-住宅'!$B$86:$M$86</definedName>
    <definedName name="住宅内部装修" localSheetId="33">'[2]比较法-住宅'!$B$122:$M$122</definedName>
    <definedName name="住宅内部装修" localSheetId="20">'[2]比较法-住宅'!$B$122:$M$122</definedName>
    <definedName name="住宅内部装修">'比较法-住宅'!$B$122:$M$122</definedName>
    <definedName name="住宅物业管理" localSheetId="33">'[2]比较法-住宅'!$B$114:$M$114</definedName>
    <definedName name="住宅物业管理" localSheetId="20">'[2]比较法-住宅'!$B$114:$M$114</definedName>
    <definedName name="住宅物业管理">'比较法-住宅'!$B$114:$M$114</definedName>
    <definedName name="住宅用途" localSheetId="33">'[2]比较法-住宅'!$B$63:$M$63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33">[2]估价师及机构信息!$A$3:$A$24</definedName>
    <definedName name="注册房地产估价师" localSheetId="20">[2]估价师及机构信息!$A$3:$A$24</definedName>
    <definedName name="注册房地产估价师">估价师及机构信息!$A$3:$A$16</definedName>
  </definedNames>
  <calcPr calcId="152511"/>
</workbook>
</file>

<file path=xl/calcChain.xml><?xml version="1.0" encoding="utf-8"?>
<calcChain xmlns="http://schemas.openxmlformats.org/spreadsheetml/2006/main">
  <c r="E7" i="90" l="1"/>
  <c r="E6" i="90"/>
  <c r="E5" i="90"/>
  <c r="C33" i="33"/>
  <c r="F93" i="87" l="1"/>
  <c r="E93" i="87"/>
  <c r="D36" i="89"/>
  <c r="I3" i="89"/>
  <c r="F46" i="89"/>
  <c r="C37" i="89"/>
  <c r="E29" i="89"/>
  <c r="H26" i="89"/>
  <c r="H25" i="89"/>
  <c r="E24" i="89" s="1"/>
  <c r="E25" i="89"/>
  <c r="C22" i="89"/>
  <c r="C21" i="89"/>
  <c r="E19" i="89" s="1"/>
  <c r="F19" i="89"/>
  <c r="C18" i="89"/>
  <c r="E16" i="89" s="1"/>
  <c r="F16" i="89"/>
  <c r="E15" i="89"/>
  <c r="C15" i="89"/>
  <c r="H12" i="89"/>
  <c r="I11" i="89"/>
  <c r="M10" i="89"/>
  <c r="P9" i="89"/>
  <c r="O10" i="89" s="1"/>
  <c r="H9" i="89"/>
  <c r="J8" i="89"/>
  <c r="C8" i="89"/>
  <c r="C12" i="89" s="1"/>
  <c r="I5" i="89"/>
  <c r="M4" i="89"/>
  <c r="C11" i="89"/>
  <c r="I5" i="87"/>
  <c r="B131" i="87"/>
  <c r="B129" i="87"/>
  <c r="B127" i="87"/>
  <c r="J45" i="87" s="1"/>
  <c r="D126" i="87"/>
  <c r="J44" i="87" s="1"/>
  <c r="E124" i="87"/>
  <c r="F124" i="87" s="1"/>
  <c r="G124" i="87" s="1"/>
  <c r="H124" i="87" s="1"/>
  <c r="I124" i="87" s="1"/>
  <c r="J124" i="87" s="1"/>
  <c r="K124" i="87" s="1"/>
  <c r="L124" i="87" s="1"/>
  <c r="M124" i="87" s="1"/>
  <c r="D124" i="87"/>
  <c r="D120" i="87"/>
  <c r="E120" i="87" s="1"/>
  <c r="F120" i="87" s="1"/>
  <c r="G120" i="87" s="1"/>
  <c r="H120" i="87" s="1"/>
  <c r="I120" i="87" s="1"/>
  <c r="J120" i="87" s="1"/>
  <c r="K120" i="87" s="1"/>
  <c r="L120" i="87" s="1"/>
  <c r="M120" i="87" s="1"/>
  <c r="G118" i="87"/>
  <c r="D118" i="87"/>
  <c r="E118" i="87" s="1"/>
  <c r="F118" i="87" s="1"/>
  <c r="I116" i="87"/>
  <c r="J116" i="87" s="1"/>
  <c r="K116" i="87" s="1"/>
  <c r="L116" i="87" s="1"/>
  <c r="M116" i="87" s="1"/>
  <c r="E116" i="87"/>
  <c r="F116" i="87" s="1"/>
  <c r="G116" i="87" s="1"/>
  <c r="H116" i="87" s="1"/>
  <c r="D116" i="87"/>
  <c r="G114" i="87"/>
  <c r="H114" i="87" s="1"/>
  <c r="I114" i="87" s="1"/>
  <c r="J114" i="87" s="1"/>
  <c r="K114" i="87" s="1"/>
  <c r="L114" i="87" s="1"/>
  <c r="M114" i="87" s="1"/>
  <c r="D114" i="87"/>
  <c r="E114" i="87" s="1"/>
  <c r="F114" i="87" s="1"/>
  <c r="E112" i="87"/>
  <c r="F112" i="87" s="1"/>
  <c r="G112" i="87" s="1"/>
  <c r="D112" i="87"/>
  <c r="G110" i="87"/>
  <c r="F110" i="87"/>
  <c r="E110" i="87"/>
  <c r="D110" i="87"/>
  <c r="C110" i="87"/>
  <c r="H109" i="87"/>
  <c r="I109" i="87" s="1"/>
  <c r="J109" i="87" s="1"/>
  <c r="K109" i="87" s="1"/>
  <c r="L109" i="87" s="1"/>
  <c r="M109" i="87" s="1"/>
  <c r="D109" i="87"/>
  <c r="E109" i="87" s="1"/>
  <c r="F109" i="87" s="1"/>
  <c r="G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K102" i="87"/>
  <c r="L102" i="87" s="1"/>
  <c r="M102" i="87" s="1"/>
  <c r="G102" i="87"/>
  <c r="H102" i="87" s="1"/>
  <c r="I102" i="87" s="1"/>
  <c r="J102" i="87" s="1"/>
  <c r="D102" i="87"/>
  <c r="E102" i="87" s="1"/>
  <c r="F102" i="87" s="1"/>
  <c r="B99" i="87"/>
  <c r="J32" i="87" s="1"/>
  <c r="B97" i="87"/>
  <c r="B95" i="87"/>
  <c r="J29" i="87"/>
  <c r="AC29" i="87" s="1"/>
  <c r="C93" i="87"/>
  <c r="B93" i="87"/>
  <c r="I92" i="87"/>
  <c r="J92" i="87" s="1"/>
  <c r="K92" i="87" s="1"/>
  <c r="L92" i="87" s="1"/>
  <c r="M92" i="87" s="1"/>
  <c r="E92" i="87"/>
  <c r="F92" i="87" s="1"/>
  <c r="G92" i="87" s="1"/>
  <c r="H92" i="87" s="1"/>
  <c r="D92" i="87"/>
  <c r="B91" i="87"/>
  <c r="L90" i="87"/>
  <c r="M90" i="87" s="1"/>
  <c r="H90" i="87"/>
  <c r="I90" i="87" s="1"/>
  <c r="J90" i="87" s="1"/>
  <c r="K90" i="87" s="1"/>
  <c r="D90" i="87"/>
  <c r="E90" i="87" s="1"/>
  <c r="F90" i="87" s="1"/>
  <c r="G90" i="87" s="1"/>
  <c r="B89" i="87"/>
  <c r="K88" i="87"/>
  <c r="L88" i="87" s="1"/>
  <c r="M88" i="87" s="1"/>
  <c r="G88" i="87"/>
  <c r="H88" i="87" s="1"/>
  <c r="I88" i="87" s="1"/>
  <c r="J88" i="87" s="1"/>
  <c r="D88" i="87"/>
  <c r="E88" i="87" s="1"/>
  <c r="F88" i="87" s="1"/>
  <c r="D86" i="87"/>
  <c r="E86" i="87" s="1"/>
  <c r="F86" i="87" s="1"/>
  <c r="G86" i="87" s="1"/>
  <c r="G84" i="87"/>
  <c r="D84" i="87"/>
  <c r="E84" i="87" s="1"/>
  <c r="F84" i="87" s="1"/>
  <c r="D82" i="87"/>
  <c r="E82" i="87" s="1"/>
  <c r="F82" i="87" s="1"/>
  <c r="G82" i="87" s="1"/>
  <c r="G80" i="87"/>
  <c r="D80" i="87"/>
  <c r="E80" i="87" s="1"/>
  <c r="F80" i="87" s="1"/>
  <c r="D78" i="87"/>
  <c r="E78" i="87" s="1"/>
  <c r="F78" i="87" s="1"/>
  <c r="G78" i="87" s="1"/>
  <c r="B75" i="87"/>
  <c r="B73" i="87"/>
  <c r="B71" i="87"/>
  <c r="L70" i="87"/>
  <c r="M70" i="87" s="1"/>
  <c r="H70" i="87"/>
  <c r="I70" i="87" s="1"/>
  <c r="J70" i="87" s="1"/>
  <c r="K70" i="87" s="1"/>
  <c r="D70" i="87"/>
  <c r="E70" i="87" s="1"/>
  <c r="F70" i="87" s="1"/>
  <c r="G70" i="87" s="1"/>
  <c r="M68" i="87"/>
  <c r="L68" i="87"/>
  <c r="K68" i="87"/>
  <c r="J68" i="87"/>
  <c r="I68" i="87"/>
  <c r="H68" i="87"/>
  <c r="G68" i="87"/>
  <c r="F68" i="87"/>
  <c r="E68" i="87"/>
  <c r="D68" i="87"/>
  <c r="C68" i="87"/>
  <c r="C64" i="87"/>
  <c r="I55" i="87"/>
  <c r="J55" i="87" s="1"/>
  <c r="G55" i="87"/>
  <c r="H55" i="87" s="1"/>
  <c r="E55" i="87"/>
  <c r="F55" i="87" s="1"/>
  <c r="P50" i="87"/>
  <c r="P49" i="87"/>
  <c r="K49" i="87"/>
  <c r="V48" i="87"/>
  <c r="T48" i="87"/>
  <c r="R48" i="87"/>
  <c r="P48" i="87"/>
  <c r="AC47" i="87"/>
  <c r="W47" i="87"/>
  <c r="Q47" i="87"/>
  <c r="Z47" i="87" s="1"/>
  <c r="J47" i="87"/>
  <c r="H47" i="87"/>
  <c r="AB47" i="87" s="1"/>
  <c r="F47" i="87"/>
  <c r="AA47" i="87" s="1"/>
  <c r="Q46" i="87"/>
  <c r="Z46" i="87" s="1"/>
  <c r="J46" i="87"/>
  <c r="AC46" i="87" s="1"/>
  <c r="H46" i="87"/>
  <c r="AB46" i="87" s="1"/>
  <c r="F46" i="87"/>
  <c r="AA46" i="87" s="1"/>
  <c r="Q45" i="87"/>
  <c r="Z45" i="87" s="1"/>
  <c r="Q44" i="87"/>
  <c r="Z44" i="87" s="1"/>
  <c r="F44" i="87"/>
  <c r="AA44" i="87" s="1"/>
  <c r="W43" i="87"/>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Z40" i="87"/>
  <c r="Q40" i="87"/>
  <c r="J40" i="87"/>
  <c r="AC40" i="87" s="1"/>
  <c r="H40" i="87"/>
  <c r="AB40" i="87" s="1"/>
  <c r="F40" i="87"/>
  <c r="AA40" i="87" s="1"/>
  <c r="W39" i="87"/>
  <c r="Q39" i="87"/>
  <c r="Z39" i="87" s="1"/>
  <c r="J39" i="87"/>
  <c r="AC39" i="87" s="1"/>
  <c r="H39" i="87"/>
  <c r="AB39" i="87" s="1"/>
  <c r="F39" i="87"/>
  <c r="AA39" i="87" s="1"/>
  <c r="AB38" i="87"/>
  <c r="U38" i="87"/>
  <c r="Q38" i="87"/>
  <c r="Z38" i="87" s="1"/>
  <c r="J38" i="87"/>
  <c r="AC38" i="87" s="1"/>
  <c r="H38" i="87"/>
  <c r="F38" i="87"/>
  <c r="AA38" i="87" s="1"/>
  <c r="Q37" i="87"/>
  <c r="Z37" i="87" s="1"/>
  <c r="AA36" i="87"/>
  <c r="Z36" i="87"/>
  <c r="Q36" i="87"/>
  <c r="J36" i="87"/>
  <c r="AC36" i="87" s="1"/>
  <c r="H36" i="87"/>
  <c r="AB36" i="87" s="1"/>
  <c r="F36" i="87"/>
  <c r="S36" i="87" s="1"/>
  <c r="Z35" i="87"/>
  <c r="W35" i="87"/>
  <c r="Q35" i="87"/>
  <c r="J35" i="87"/>
  <c r="AC35" i="87" s="1"/>
  <c r="H35" i="87"/>
  <c r="AB35" i="87" s="1"/>
  <c r="F35" i="87"/>
  <c r="AA35" i="87" s="1"/>
  <c r="Q34" i="87"/>
  <c r="Z34" i="87" s="1"/>
  <c r="J34" i="87"/>
  <c r="AC34" i="87" s="1"/>
  <c r="H34" i="87"/>
  <c r="U34" i="87" s="1"/>
  <c r="F34" i="87"/>
  <c r="AA34" i="87" s="1"/>
  <c r="C34" i="87"/>
  <c r="AB33" i="87"/>
  <c r="U33" i="87"/>
  <c r="Q33" i="87"/>
  <c r="Z33" i="87" s="1"/>
  <c r="J33" i="87"/>
  <c r="W33" i="87" s="1"/>
  <c r="H33" i="87"/>
  <c r="F33" i="87"/>
  <c r="AA33" i="87" s="1"/>
  <c r="AA32" i="87"/>
  <c r="U32" i="87"/>
  <c r="Q32" i="87"/>
  <c r="Z32" i="87" s="1"/>
  <c r="H32" i="87"/>
  <c r="AB32" i="87" s="1"/>
  <c r="F32" i="87"/>
  <c r="S32" i="87" s="1"/>
  <c r="AA31" i="87"/>
  <c r="W31" i="87"/>
  <c r="Q31" i="87"/>
  <c r="Z31" i="87" s="1"/>
  <c r="J31" i="87"/>
  <c r="AC31" i="87" s="1"/>
  <c r="H31" i="87"/>
  <c r="AB31" i="87" s="1"/>
  <c r="F31" i="87"/>
  <c r="S31" i="87" s="1"/>
  <c r="AC30" i="87"/>
  <c r="AB30" i="87"/>
  <c r="Z30" i="87"/>
  <c r="U30" i="87"/>
  <c r="Q30" i="87"/>
  <c r="J30" i="87"/>
  <c r="W30" i="87" s="1"/>
  <c r="H30" i="87"/>
  <c r="F30" i="87"/>
  <c r="AA30" i="87" s="1"/>
  <c r="Q29" i="87"/>
  <c r="Z29" i="87" s="1"/>
  <c r="H29" i="87"/>
  <c r="U29" i="87" s="1"/>
  <c r="F29" i="87"/>
  <c r="S29" i="87" s="1"/>
  <c r="AA28" i="87"/>
  <c r="Q28" i="87"/>
  <c r="Z28" i="87" s="1"/>
  <c r="J28" i="87"/>
  <c r="AC28" i="87" s="1"/>
  <c r="H28" i="87"/>
  <c r="U28" i="87" s="1"/>
  <c r="F28" i="87"/>
  <c r="S28" i="87" s="1"/>
  <c r="AC27" i="87"/>
  <c r="Z27" i="87"/>
  <c r="Q27" i="87"/>
  <c r="J27" i="87"/>
  <c r="W27" i="87" s="1"/>
  <c r="H27" i="87"/>
  <c r="F27" i="87"/>
  <c r="AA27" i="87" s="1"/>
  <c r="Q25" i="87"/>
  <c r="Z25" i="87" s="1"/>
  <c r="J25" i="87"/>
  <c r="AC25" i="87" s="1"/>
  <c r="H25" i="87"/>
  <c r="AB25" i="87" s="1"/>
  <c r="F25" i="87"/>
  <c r="AA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J10" i="87"/>
  <c r="AC10" i="87" s="1"/>
  <c r="H10" i="87"/>
  <c r="AB10" i="87" s="1"/>
  <c r="F10" i="87"/>
  <c r="AA10" i="87" s="1"/>
  <c r="Q9" i="87"/>
  <c r="Z9" i="87" s="1"/>
  <c r="J9" i="87"/>
  <c r="AC9" i="87" s="1"/>
  <c r="H9" i="87"/>
  <c r="AB9" i="87" s="1"/>
  <c r="F9" i="87"/>
  <c r="AA9" i="87" s="1"/>
  <c r="AA8" i="87"/>
  <c r="J8" i="87"/>
  <c r="W8" i="87" s="1"/>
  <c r="H8" i="87"/>
  <c r="U8" i="87" s="1"/>
  <c r="F8" i="87"/>
  <c r="S8" i="87" s="1"/>
  <c r="I7" i="87"/>
  <c r="G7" i="87"/>
  <c r="E7" i="87"/>
  <c r="C7" i="87"/>
  <c r="C59" i="87" s="1"/>
  <c r="D59" i="87" s="1"/>
  <c r="E59" i="87" s="1"/>
  <c r="F59" i="87" s="1"/>
  <c r="G59" i="87" s="1"/>
  <c r="H59" i="87" s="1"/>
  <c r="I59" i="87" s="1"/>
  <c r="J59" i="87" s="1"/>
  <c r="K59" i="87" s="1"/>
  <c r="L59" i="87" s="1"/>
  <c r="M59" i="87" s="1"/>
  <c r="N59" i="87" s="1"/>
  <c r="O59" i="87" s="1"/>
  <c r="E5" i="87"/>
  <c r="D3" i="87"/>
  <c r="B2" i="87"/>
  <c r="F93" i="34"/>
  <c r="E93" i="34"/>
  <c r="D93" i="34"/>
  <c r="C93" i="34"/>
  <c r="D2" i="87"/>
  <c r="F45" i="87" l="1"/>
  <c r="AA45" i="87" s="1"/>
  <c r="H45" i="87"/>
  <c r="AB45" i="87" s="1"/>
  <c r="W34" i="87"/>
  <c r="C9" i="89"/>
  <c r="C10" i="89"/>
  <c r="F7" i="87"/>
  <c r="H7" i="87"/>
  <c r="J7" i="87"/>
  <c r="W10" i="87"/>
  <c r="S12" i="87"/>
  <c r="U13" i="87"/>
  <c r="W14" i="87"/>
  <c r="W21" i="87"/>
  <c r="W15" i="87"/>
  <c r="W19" i="87"/>
  <c r="W23" i="87"/>
  <c r="S27" i="87"/>
  <c r="W29" i="87"/>
  <c r="S41" i="87"/>
  <c r="H112" i="87"/>
  <c r="I112" i="87" s="1"/>
  <c r="J112" i="87" s="1"/>
  <c r="K112" i="87" s="1"/>
  <c r="L112" i="87" s="1"/>
  <c r="M112" i="87" s="1"/>
  <c r="J37" i="87"/>
  <c r="AB8" i="87"/>
  <c r="W9" i="87"/>
  <c r="S11" i="87"/>
  <c r="U12" i="87"/>
  <c r="W13" i="87"/>
  <c r="S25" i="87"/>
  <c r="AB27" i="87"/>
  <c r="U27" i="87"/>
  <c r="AB28" i="87"/>
  <c r="AA29" i="87"/>
  <c r="AC33" i="87"/>
  <c r="AB34" i="87"/>
  <c r="F37" i="87"/>
  <c r="W38" i="87"/>
  <c r="AC32" i="87"/>
  <c r="W32" i="87"/>
  <c r="AC45" i="87"/>
  <c r="W45" i="87"/>
  <c r="AC8" i="87"/>
  <c r="S10" i="87"/>
  <c r="U11" i="87"/>
  <c r="W12" i="87"/>
  <c r="S14" i="87"/>
  <c r="S15" i="87"/>
  <c r="S17" i="87"/>
  <c r="S19" i="87"/>
  <c r="S21" i="87"/>
  <c r="S23" i="87"/>
  <c r="U25" i="87"/>
  <c r="AB29" i="87"/>
  <c r="H37" i="87"/>
  <c r="U42" i="87"/>
  <c r="U46" i="87"/>
  <c r="U9" i="87"/>
  <c r="W17" i="87"/>
  <c r="S9" i="87"/>
  <c r="U10" i="87"/>
  <c r="W11" i="87"/>
  <c r="S13" i="87"/>
  <c r="U14" i="87"/>
  <c r="U15" i="87"/>
  <c r="U17" i="87"/>
  <c r="U19" i="87"/>
  <c r="U21" i="87"/>
  <c r="U23" i="87"/>
  <c r="W25" i="87"/>
  <c r="AC44" i="87"/>
  <c r="W44" i="87"/>
  <c r="S40" i="87"/>
  <c r="U41" i="87"/>
  <c r="W42" i="87"/>
  <c r="S44" i="87"/>
  <c r="W46" i="87"/>
  <c r="W28" i="87"/>
  <c r="S30" i="87"/>
  <c r="U31" i="87"/>
  <c r="S35" i="87"/>
  <c r="U36" i="87"/>
  <c r="S39" i="87"/>
  <c r="U40" i="87"/>
  <c r="W41" i="87"/>
  <c r="S43" i="87"/>
  <c r="H44" i="87"/>
  <c r="S47" i="87"/>
  <c r="E126" i="87"/>
  <c r="F126" i="87" s="1"/>
  <c r="G126" i="87" s="1"/>
  <c r="S33" i="87"/>
  <c r="S34" i="87"/>
  <c r="U35" i="87"/>
  <c r="W36" i="87"/>
  <c r="S38" i="87"/>
  <c r="U39" i="87"/>
  <c r="W40" i="87"/>
  <c r="S42" i="87"/>
  <c r="U43" i="87"/>
  <c r="S46" i="87"/>
  <c r="U47" i="87"/>
  <c r="C34" i="34"/>
  <c r="I7" i="34"/>
  <c r="G7" i="34"/>
  <c r="E7" i="34"/>
  <c r="E5" i="34"/>
  <c r="I7" i="33"/>
  <c r="G7" i="33"/>
  <c r="E7" i="33"/>
  <c r="C5" i="33"/>
  <c r="S45" i="87" l="1"/>
  <c r="U45" i="87"/>
  <c r="C13" i="89"/>
  <c r="C14" i="89"/>
  <c r="C17" i="89" s="1"/>
  <c r="C20" i="89"/>
  <c r="C19" i="89" s="1"/>
  <c r="AB44" i="87"/>
  <c r="U44" i="87"/>
  <c r="AA37" i="87"/>
  <c r="S37" i="87"/>
  <c r="AB37" i="87"/>
  <c r="U37" i="87"/>
  <c r="AC37" i="87"/>
  <c r="W37" i="87"/>
  <c r="W7" i="87"/>
  <c r="AC7" i="87"/>
  <c r="V49" i="87" s="1"/>
  <c r="I49" i="87" s="1"/>
  <c r="AB7" i="87"/>
  <c r="U7" i="87"/>
  <c r="AA7" i="87"/>
  <c r="S7" i="87"/>
  <c r="C33" i="82"/>
  <c r="I7" i="82"/>
  <c r="G7" i="82"/>
  <c r="E7" i="82"/>
  <c r="T49" i="87" l="1"/>
  <c r="G49" i="87" s="1"/>
  <c r="C16" i="89"/>
  <c r="C23" i="89"/>
  <c r="G53" i="87"/>
  <c r="H53" i="87" s="1"/>
  <c r="G54" i="87"/>
  <c r="H54" i="87" s="1"/>
  <c r="I53" i="87"/>
  <c r="J53" i="87" s="1"/>
  <c r="R49" i="87"/>
  <c r="I5" i="83"/>
  <c r="I3" i="83"/>
  <c r="R2" i="80"/>
  <c r="R3" i="80"/>
  <c r="R4" i="80"/>
  <c r="R5" i="80"/>
  <c r="R6" i="80"/>
  <c r="R7" i="80"/>
  <c r="R8" i="80"/>
  <c r="R9" i="80"/>
  <c r="R10" i="80"/>
  <c r="R11" i="80"/>
  <c r="R12" i="80"/>
  <c r="R13" i="80"/>
  <c r="R14" i="80"/>
  <c r="R15" i="80"/>
  <c r="R16" i="80"/>
  <c r="R17" i="80"/>
  <c r="R18" i="80"/>
  <c r="R19" i="80"/>
  <c r="R20" i="80"/>
  <c r="R21" i="80"/>
  <c r="R22" i="80"/>
  <c r="R23" i="80"/>
  <c r="R24" i="80"/>
  <c r="R25" i="80"/>
  <c r="R26" i="80"/>
  <c r="S27" i="80"/>
  <c r="S29" i="80"/>
  <c r="S31" i="80" s="1"/>
  <c r="M31" i="80"/>
  <c r="L21" i="1"/>
  <c r="L20" i="1"/>
  <c r="B55" i="1"/>
  <c r="B56" i="1"/>
  <c r="B57" i="1"/>
  <c r="B58" i="1"/>
  <c r="B59" i="1"/>
  <c r="B54" i="1"/>
  <c r="F20" i="6"/>
  <c r="AH7" i="1" s="1"/>
  <c r="K13" i="3"/>
  <c r="C27" i="89" l="1"/>
  <c r="C7" i="89"/>
  <c r="C28" i="89" s="1"/>
  <c r="E49" i="87"/>
  <c r="R50" i="87"/>
  <c r="F46" i="83"/>
  <c r="C37" i="83"/>
  <c r="E29" i="83"/>
  <c r="H26" i="83"/>
  <c r="H25" i="83"/>
  <c r="E25" i="83"/>
  <c r="E24" i="83"/>
  <c r="C22" i="83"/>
  <c r="C21" i="83"/>
  <c r="F19" i="83"/>
  <c r="E19" i="83"/>
  <c r="C18" i="83"/>
  <c r="F16" i="83"/>
  <c r="E16" i="83"/>
  <c r="E15" i="83"/>
  <c r="C15" i="83"/>
  <c r="H12" i="83"/>
  <c r="C12" i="83"/>
  <c r="I11" i="83"/>
  <c r="C11" i="83"/>
  <c r="O10" i="83"/>
  <c r="M10" i="83"/>
  <c r="C10" i="83"/>
  <c r="P9" i="83"/>
  <c r="H9" i="83"/>
  <c r="C9" i="83"/>
  <c r="C8" i="83"/>
  <c r="M4" i="8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D111" i="82"/>
  <c r="E111" i="82" s="1"/>
  <c r="F111" i="82" s="1"/>
  <c r="G111" i="82" s="1"/>
  <c r="G109" i="82"/>
  <c r="F109" i="82"/>
  <c r="E109" i="82"/>
  <c r="D109" i="82"/>
  <c r="C109" i="82"/>
  <c r="E108" i="82"/>
  <c r="F108" i="82" s="1"/>
  <c r="G108" i="82" s="1"/>
  <c r="H108" i="82" s="1"/>
  <c r="I108" i="82" s="1"/>
  <c r="J108" i="82" s="1"/>
  <c r="K108" i="82" s="1"/>
  <c r="L108" i="82" s="1"/>
  <c r="M108" i="82" s="1"/>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F31" i="82" s="1"/>
  <c r="B96" i="82"/>
  <c r="B94" i="82"/>
  <c r="B92" i="82"/>
  <c r="F28" i="82" s="1"/>
  <c r="D91" i="82"/>
  <c r="E91" i="82" s="1"/>
  <c r="F91" i="82" s="1"/>
  <c r="G91" i="82" s="1"/>
  <c r="H91" i="82" s="1"/>
  <c r="I91" i="82" s="1"/>
  <c r="J91" i="82" s="1"/>
  <c r="K91" i="82" s="1"/>
  <c r="L91" i="82" s="1"/>
  <c r="M91" i="82" s="1"/>
  <c r="B90" i="82"/>
  <c r="B88" i="82"/>
  <c r="J26" i="82" s="1"/>
  <c r="D87" i="82"/>
  <c r="E87" i="82" s="1"/>
  <c r="D85" i="82"/>
  <c r="E85" i="82" s="1"/>
  <c r="F85" i="82" s="1"/>
  <c r="G85" i="82" s="1"/>
  <c r="D83" i="82"/>
  <c r="E83" i="82" s="1"/>
  <c r="F83" i="82" s="1"/>
  <c r="G83" i="82" s="1"/>
  <c r="E81" i="82"/>
  <c r="F81" i="82" s="1"/>
  <c r="G81" i="82" s="1"/>
  <c r="D81" i="82"/>
  <c r="D79" i="82"/>
  <c r="E79" i="82" s="1"/>
  <c r="F79" i="82" s="1"/>
  <c r="G79" i="82" s="1"/>
  <c r="D77" i="82"/>
  <c r="E77" i="82" s="1"/>
  <c r="F77" i="82" s="1"/>
  <c r="G77" i="82" s="1"/>
  <c r="B74" i="82"/>
  <c r="B72" i="82"/>
  <c r="J13" i="82" s="1"/>
  <c r="B70" i="82"/>
  <c r="F12" i="82" s="1"/>
  <c r="AA12" i="82" s="1"/>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U46" i="82" s="1"/>
  <c r="F46" i="82"/>
  <c r="AA46" i="82" s="1"/>
  <c r="Q45" i="82"/>
  <c r="Z45" i="82" s="1"/>
  <c r="J45" i="82"/>
  <c r="AC45" i="82" s="1"/>
  <c r="H45" i="82"/>
  <c r="AB45" i="82" s="1"/>
  <c r="F45" i="82"/>
  <c r="AA45" i="82" s="1"/>
  <c r="Q44" i="82"/>
  <c r="Z44" i="82" s="1"/>
  <c r="Q43" i="82"/>
  <c r="Z43" i="82" s="1"/>
  <c r="J43" i="82"/>
  <c r="AC43" i="82" s="1"/>
  <c r="H43" i="82"/>
  <c r="AB43" i="82" s="1"/>
  <c r="F43" i="82"/>
  <c r="AA43" i="82" s="1"/>
  <c r="Q42" i="82"/>
  <c r="Z42" i="82" s="1"/>
  <c r="J42" i="82"/>
  <c r="AC42" i="82" s="1"/>
  <c r="H42" i="82"/>
  <c r="U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H37" i="82"/>
  <c r="AB37" i="82" s="1"/>
  <c r="F37" i="82"/>
  <c r="S37" i="82" s="1"/>
  <c r="Q36" i="82"/>
  <c r="Z36" i="82" s="1"/>
  <c r="Q35" i="82"/>
  <c r="Z35" i="82" s="1"/>
  <c r="J35" i="82"/>
  <c r="AC35" i="82" s="1"/>
  <c r="H35" i="82"/>
  <c r="AB35" i="82" s="1"/>
  <c r="F35" i="82"/>
  <c r="AA35" i="82" s="1"/>
  <c r="Q34" i="82"/>
  <c r="Z34" i="82" s="1"/>
  <c r="J34" i="82"/>
  <c r="AC34" i="82" s="1"/>
  <c r="H34" i="82"/>
  <c r="AB34" i="82" s="1"/>
  <c r="F34" i="82"/>
  <c r="AA34" i="82" s="1"/>
  <c r="Z33" i="82"/>
  <c r="Q33" i="82"/>
  <c r="J33" i="82"/>
  <c r="AC33" i="82" s="1"/>
  <c r="H33" i="82"/>
  <c r="AB33" i="82" s="1"/>
  <c r="F33" i="82"/>
  <c r="S33" i="82" s="1"/>
  <c r="Z32" i="82"/>
  <c r="Q32" i="82"/>
  <c r="F32" i="82"/>
  <c r="AA32" i="82" s="1"/>
  <c r="Q31" i="82"/>
  <c r="Z31" i="82" s="1"/>
  <c r="H31" i="82"/>
  <c r="U31" i="82" s="1"/>
  <c r="Q30" i="82"/>
  <c r="Z30" i="82" s="1"/>
  <c r="J30" i="82"/>
  <c r="AC30" i="82" s="1"/>
  <c r="H30" i="82"/>
  <c r="U30" i="82" s="1"/>
  <c r="F30" i="82"/>
  <c r="AA30" i="82" s="1"/>
  <c r="Z29" i="82"/>
  <c r="W29" i="82"/>
  <c r="Q29" i="82"/>
  <c r="J29" i="82"/>
  <c r="AC29" i="82" s="1"/>
  <c r="H29" i="82"/>
  <c r="AB29" i="82" s="1"/>
  <c r="F29" i="82"/>
  <c r="S29" i="82" s="1"/>
  <c r="Z28" i="82"/>
  <c r="Q28" i="82"/>
  <c r="J28" i="82"/>
  <c r="W28" i="82" s="1"/>
  <c r="H28" i="82"/>
  <c r="U28" i="82" s="1"/>
  <c r="Q27" i="82"/>
  <c r="Z27" i="82" s="1"/>
  <c r="J27" i="82"/>
  <c r="W27" i="82" s="1"/>
  <c r="H27" i="82"/>
  <c r="U27" i="82" s="1"/>
  <c r="F27" i="82"/>
  <c r="S27" i="82" s="1"/>
  <c r="U26" i="82"/>
  <c r="Q26" i="82"/>
  <c r="Z26" i="82" s="1"/>
  <c r="H26" i="82"/>
  <c r="AB26" i="82" s="1"/>
  <c r="F26" i="82"/>
  <c r="AA26" i="82" s="1"/>
  <c r="Q25" i="82"/>
  <c r="Z25" i="82" s="1"/>
  <c r="Q23" i="82"/>
  <c r="Z23" i="82" s="1"/>
  <c r="J23" i="82"/>
  <c r="AC23" i="82" s="1"/>
  <c r="H23" i="82"/>
  <c r="U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H13" i="82"/>
  <c r="AB13" i="82" s="1"/>
  <c r="F13" i="82"/>
  <c r="AA13" i="82" s="1"/>
  <c r="Q12" i="82"/>
  <c r="Z12" i="82" s="1"/>
  <c r="H12" i="82"/>
  <c r="AB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U8" i="82" s="1"/>
  <c r="F8" i="82"/>
  <c r="S8" i="82" s="1"/>
  <c r="C7" i="82"/>
  <c r="C58" i="82" s="1"/>
  <c r="B2" i="82"/>
  <c r="D2" i="82"/>
  <c r="H32" i="82" l="1"/>
  <c r="AB32" i="82" s="1"/>
  <c r="J32" i="82"/>
  <c r="W32" i="82" s="1"/>
  <c r="U38" i="82"/>
  <c r="J37" i="82"/>
  <c r="AC37" i="82" s="1"/>
  <c r="H111" i="82"/>
  <c r="I111" i="82" s="1"/>
  <c r="J111" i="82" s="1"/>
  <c r="K111" i="82" s="1"/>
  <c r="L111" i="82" s="1"/>
  <c r="M111" i="82" s="1"/>
  <c r="H36" i="82"/>
  <c r="AB36" i="82" s="1"/>
  <c r="F36" i="82"/>
  <c r="AA36" i="82" s="1"/>
  <c r="J36" i="82"/>
  <c r="AC36" i="82" s="1"/>
  <c r="F25" i="82"/>
  <c r="AA25" i="82" s="1"/>
  <c r="F87" i="82"/>
  <c r="G87" i="82" s="1"/>
  <c r="H87" i="82" s="1"/>
  <c r="I87" i="82" s="1"/>
  <c r="J87" i="82" s="1"/>
  <c r="K87" i="82" s="1"/>
  <c r="L87" i="82" s="1"/>
  <c r="M87" i="82" s="1"/>
  <c r="J25" i="82"/>
  <c r="AC25" i="82" s="1"/>
  <c r="H25" i="82"/>
  <c r="AB25" i="82" s="1"/>
  <c r="AA37" i="82"/>
  <c r="W35" i="82"/>
  <c r="U34" i="82"/>
  <c r="AB28" i="82"/>
  <c r="AA27" i="82"/>
  <c r="S26" i="82"/>
  <c r="AB27" i="82"/>
  <c r="S31" i="82"/>
  <c r="AA31" i="82"/>
  <c r="AB30" i="82"/>
  <c r="AB31" i="82"/>
  <c r="J31" i="82"/>
  <c r="W31" i="82" s="1"/>
  <c r="J12" i="82"/>
  <c r="AC12" i="82" s="1"/>
  <c r="AA33" i="82"/>
  <c r="C24" i="89"/>
  <c r="C50" i="87"/>
  <c r="B3" i="87" s="1"/>
  <c r="C49" i="87"/>
  <c r="C3" i="89" s="1"/>
  <c r="C4" i="89" s="1"/>
  <c r="E54" i="87"/>
  <c r="F54" i="87" s="1"/>
  <c r="E53" i="87"/>
  <c r="F53" i="87" s="1"/>
  <c r="I54" i="87"/>
  <c r="J54" i="87" s="1"/>
  <c r="C13" i="83"/>
  <c r="C17" i="83" s="1"/>
  <c r="C16" i="83" s="1"/>
  <c r="AA8" i="82"/>
  <c r="C14" i="83"/>
  <c r="C20" i="83" s="1"/>
  <c r="C19" i="83" s="1"/>
  <c r="D58" i="82"/>
  <c r="E58" i="82" s="1"/>
  <c r="F58" i="82" s="1"/>
  <c r="G58" i="82" s="1"/>
  <c r="H58" i="82" s="1"/>
  <c r="I58" i="82" s="1"/>
  <c r="J58" i="82" s="1"/>
  <c r="K58" i="82" s="1"/>
  <c r="L58" i="82" s="1"/>
  <c r="M58" i="82" s="1"/>
  <c r="N58" i="82" s="1"/>
  <c r="O58" i="82" s="1"/>
  <c r="J7" i="82"/>
  <c r="H7" i="82"/>
  <c r="F7" i="82"/>
  <c r="AC13" i="82"/>
  <c r="W13" i="82"/>
  <c r="W10" i="82"/>
  <c r="U13" i="82"/>
  <c r="W14" i="82"/>
  <c r="W17" i="82"/>
  <c r="W19" i="82"/>
  <c r="W21" i="82"/>
  <c r="W23" i="82"/>
  <c r="S30" i="82"/>
  <c r="AB42" i="82"/>
  <c r="AB46" i="82"/>
  <c r="AB8" i="82"/>
  <c r="W9" i="82"/>
  <c r="S11" i="82"/>
  <c r="U12" i="82"/>
  <c r="S41" i="82"/>
  <c r="W43" i="82"/>
  <c r="S45" i="82"/>
  <c r="AC26" i="82"/>
  <c r="W26" i="82"/>
  <c r="H44" i="82"/>
  <c r="F44" i="82"/>
  <c r="J44" i="82"/>
  <c r="W15" i="82"/>
  <c r="AC8" i="82"/>
  <c r="S10" i="82"/>
  <c r="U11" i="82"/>
  <c r="W12" i="82"/>
  <c r="S14" i="82"/>
  <c r="S15" i="82"/>
  <c r="S17" i="82"/>
  <c r="S19" i="82"/>
  <c r="S21" i="82"/>
  <c r="S23" i="82"/>
  <c r="AB23" i="82"/>
  <c r="AC27" i="82"/>
  <c r="AC28" i="82"/>
  <c r="AA29" i="82"/>
  <c r="AC31" i="82"/>
  <c r="W39" i="82"/>
  <c r="U9" i="82"/>
  <c r="S12" i="82"/>
  <c r="S9" i="82"/>
  <c r="U10" i="82"/>
  <c r="W11" i="82"/>
  <c r="S13" i="82"/>
  <c r="U14" i="82"/>
  <c r="U15" i="82"/>
  <c r="U17" i="82"/>
  <c r="U19" i="82"/>
  <c r="U21" i="82"/>
  <c r="AA28" i="82"/>
  <c r="S28" i="82"/>
  <c r="S34" i="82"/>
  <c r="U35" i="82"/>
  <c r="S38" i="82"/>
  <c r="U39" i="82"/>
  <c r="W40" i="82"/>
  <c r="S42" i="82"/>
  <c r="U43" i="82"/>
  <c r="S46" i="82"/>
  <c r="U29" i="82"/>
  <c r="W30" i="82"/>
  <c r="S32" i="82"/>
  <c r="U33" i="82"/>
  <c r="W34" i="82"/>
  <c r="U37" i="82"/>
  <c r="W38" i="82"/>
  <c r="S40" i="82"/>
  <c r="U41" i="82"/>
  <c r="W42" i="82"/>
  <c r="U45" i="82"/>
  <c r="W46" i="82"/>
  <c r="U32" i="82"/>
  <c r="W33" i="82"/>
  <c r="S35" i="82"/>
  <c r="S39" i="82"/>
  <c r="U40" i="82"/>
  <c r="W41" i="82"/>
  <c r="S43" i="82"/>
  <c r="W45" i="82"/>
  <c r="AC32" i="82" l="1"/>
  <c r="W37" i="82"/>
  <c r="U36" i="82"/>
  <c r="S36" i="82"/>
  <c r="W36" i="82"/>
  <c r="W25" i="82"/>
  <c r="U25" i="82"/>
  <c r="S25" i="82"/>
  <c r="C30" i="89"/>
  <c r="C31" i="89" s="1"/>
  <c r="J35" i="89" s="1"/>
  <c r="C23" i="83"/>
  <c r="AC44" i="82"/>
  <c r="W44" i="82"/>
  <c r="AB7" i="82"/>
  <c r="U7" i="82"/>
  <c r="AA44" i="82"/>
  <c r="S44" i="82"/>
  <c r="W7" i="82"/>
  <c r="AC7" i="82"/>
  <c r="V48" i="82" s="1"/>
  <c r="I48" i="82" s="1"/>
  <c r="AA7" i="82"/>
  <c r="R48" i="82" s="1"/>
  <c r="S7" i="82"/>
  <c r="AB44" i="82"/>
  <c r="U44" i="82"/>
  <c r="T48" i="82" l="1"/>
  <c r="G48" i="82" s="1"/>
  <c r="G53" i="82" s="1"/>
  <c r="H53" i="82" s="1"/>
  <c r="D37" i="89"/>
  <c r="G36" i="89" s="1"/>
  <c r="J34" i="89"/>
  <c r="J9" i="89"/>
  <c r="C27" i="83"/>
  <c r="C7" i="83"/>
  <c r="C28" i="83" s="1"/>
  <c r="I52" i="82"/>
  <c r="J52" i="82" s="1"/>
  <c r="E48" i="82"/>
  <c r="D38" i="89" l="1"/>
  <c r="D3" i="90" s="1"/>
  <c r="R49" i="82"/>
  <c r="C48" i="82" s="1"/>
  <c r="C3" i="83" s="1"/>
  <c r="C4" i="83" s="1"/>
  <c r="G52" i="82"/>
  <c r="H52" i="82" s="1"/>
  <c r="C39" i="89"/>
  <c r="C40" i="89" s="1"/>
  <c r="J10" i="89"/>
  <c r="E39" i="89"/>
  <c r="E40" i="89" s="1"/>
  <c r="C24" i="83"/>
  <c r="E52" i="82"/>
  <c r="F52" i="82" s="1"/>
  <c r="E53" i="82"/>
  <c r="F53" i="82" s="1"/>
  <c r="I53" i="82"/>
  <c r="J53" i="82" s="1"/>
  <c r="C30" i="83" l="1"/>
  <c r="C31" i="83" s="1"/>
  <c r="J34" i="83" s="1"/>
  <c r="C49" i="82"/>
  <c r="J35" i="83"/>
  <c r="D37" i="83" l="1"/>
  <c r="J9" i="83"/>
  <c r="E24" i="80" l="1"/>
  <c r="E10" i="80"/>
  <c r="E5" i="80"/>
  <c r="E4" i="80"/>
  <c r="I13" i="3" s="1"/>
  <c r="F19" i="6" s="1"/>
  <c r="AH6" i="1" s="1"/>
  <c r="E3" i="80"/>
  <c r="B30" i="80"/>
  <c r="D3" i="4"/>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S30" i="79" s="1"/>
  <c r="I35" i="79"/>
  <c r="AB29" i="79"/>
  <c r="AA29" i="79"/>
  <c r="AA26" i="79" s="1"/>
  <c r="AD26" i="79" s="1"/>
  <c r="Z29" i="79"/>
  <c r="N29" i="79"/>
  <c r="M29" i="79"/>
  <c r="L29" i="79"/>
  <c r="I29" i="79"/>
  <c r="AD29"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S16" i="79" s="1"/>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V3" i="79"/>
  <c r="S13" i="79"/>
  <c r="U15" i="79"/>
  <c r="U16" i="79"/>
  <c r="S28" i="79"/>
  <c r="AB3" i="79"/>
  <c r="T26" i="79"/>
  <c r="W26" i="79" s="1"/>
  <c r="T29" i="79"/>
  <c r="T28" i="79"/>
  <c r="W28" i="79" s="1"/>
  <c r="U30" i="79"/>
  <c r="AD36" i="79"/>
  <c r="S37" i="79"/>
  <c r="U39" i="79"/>
  <c r="AD40" i="79"/>
  <c r="Y3" i="79"/>
  <c r="AC3" i="79"/>
  <c r="L26" i="79"/>
  <c r="U26" i="79"/>
  <c r="U28" i="79"/>
  <c r="U38" i="79"/>
  <c r="AD39" i="79"/>
  <c r="T36" i="79"/>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5" i="71" s="1"/>
  <c r="Z25" i="71" s="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E88" i="71"/>
  <c r="E87" i="71" s="1"/>
  <c r="E86" i="71" s="1"/>
  <c r="C88" i="7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C72" i="71"/>
  <c r="T72" i="71" s="1"/>
  <c r="B72" i="71"/>
  <c r="Q71" i="71"/>
  <c r="P71" i="71"/>
  <c r="O71" i="71"/>
  <c r="N71" i="71"/>
  <c r="F71" i="71"/>
  <c r="F70" i="71" s="1"/>
  <c r="Q70" i="71"/>
  <c r="P70" i="71"/>
  <c r="O70" i="71"/>
  <c r="N70" i="71"/>
  <c r="Q69" i="71"/>
  <c r="P69" i="71"/>
  <c r="O69" i="71"/>
  <c r="N69" i="71"/>
  <c r="D69" i="71"/>
  <c r="F68" i="71"/>
  <c r="V68" i="71"/>
  <c r="E68" i="71"/>
  <c r="P68" i="71" s="1"/>
  <c r="C68" i="71"/>
  <c r="B68" i="71"/>
  <c r="F67" i="71"/>
  <c r="F66" i="71" s="1"/>
  <c r="Q65" i="71" s="1"/>
  <c r="Q66" i="71"/>
  <c r="D65" i="71"/>
  <c r="Q64" i="71"/>
  <c r="P64" i="71"/>
  <c r="O64" i="71"/>
  <c r="N64" i="71"/>
  <c r="Q63" i="71"/>
  <c r="P63" i="71"/>
  <c r="O63" i="71"/>
  <c r="N63" i="71"/>
  <c r="Q62" i="71"/>
  <c r="P62" i="71"/>
  <c r="O62" i="71"/>
  <c r="N62" i="71"/>
  <c r="Q61" i="71"/>
  <c r="F62" i="71"/>
  <c r="F63" i="71" s="1"/>
  <c r="F64" i="71" s="1"/>
  <c r="V64" i="71" s="1"/>
  <c r="P61" i="71"/>
  <c r="E62" i="71" s="1"/>
  <c r="O61" i="71"/>
  <c r="C62" i="71"/>
  <c r="N61" i="71"/>
  <c r="B62" i="71" s="1"/>
  <c r="B63" i="71" s="1"/>
  <c r="B64" i="71" s="1"/>
  <c r="S64" i="71"/>
  <c r="D61" i="71"/>
  <c r="Q60" i="71"/>
  <c r="P60" i="71"/>
  <c r="O60" i="71"/>
  <c r="N60" i="71"/>
  <c r="Q59" i="71"/>
  <c r="P59" i="71"/>
  <c r="O59" i="71"/>
  <c r="N59" i="71"/>
  <c r="Q58" i="71"/>
  <c r="P58" i="71"/>
  <c r="O58" i="71"/>
  <c r="C59" i="71" s="1"/>
  <c r="D59" i="71" s="1"/>
  <c r="N58" i="71"/>
  <c r="Q57" i="71"/>
  <c r="F58" i="71"/>
  <c r="F59" i="71"/>
  <c r="F60" i="71" s="1"/>
  <c r="V60" i="71" s="1"/>
  <c r="P57" i="71"/>
  <c r="E58" i="7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B55" i="71" s="1"/>
  <c r="B56" i="71" s="1"/>
  <c r="S56" i="71" s="1"/>
  <c r="Q53" i="71"/>
  <c r="F54" i="71"/>
  <c r="F55" i="71"/>
  <c r="F56" i="71" s="1"/>
  <c r="V56" i="71" s="1"/>
  <c r="P53" i="71"/>
  <c r="E54" i="71"/>
  <c r="E55" i="71" s="1"/>
  <c r="E56" i="71" s="1"/>
  <c r="O53" i="71"/>
  <c r="C54" i="71" s="1"/>
  <c r="C55" i="71" s="1"/>
  <c r="N53" i="71"/>
  <c r="B54" i="7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N45" i="71"/>
  <c r="B46" i="71" s="1"/>
  <c r="B47" i="71" s="1"/>
  <c r="B48" i="71"/>
  <c r="S48" i="71" s="1"/>
  <c r="D45" i="71"/>
  <c r="Q44" i="71"/>
  <c r="P44" i="71"/>
  <c r="O44" i="71"/>
  <c r="N44" i="71"/>
  <c r="Q43" i="71"/>
  <c r="P43" i="71"/>
  <c r="O43" i="71"/>
  <c r="N43" i="71"/>
  <c r="Q42" i="71"/>
  <c r="P42" i="71"/>
  <c r="O42" i="71"/>
  <c r="N42" i="71"/>
  <c r="F43" i="71"/>
  <c r="F44" i="71" s="1"/>
  <c r="V44" i="71" s="1"/>
  <c r="Q41" i="71"/>
  <c r="F42" i="71" s="1"/>
  <c r="P41" i="71"/>
  <c r="E42" i="71" s="1"/>
  <c r="E43" i="71" s="1"/>
  <c r="E44" i="71" s="1"/>
  <c r="U44" i="71"/>
  <c r="O41" i="71"/>
  <c r="C42" i="71" s="1"/>
  <c r="N41" i="71"/>
  <c r="B42" i="71"/>
  <c r="B43" i="71" s="1"/>
  <c r="B44" i="71" s="1"/>
  <c r="S44" i="71" s="1"/>
  <c r="D41" i="71"/>
  <c r="Q40" i="71"/>
  <c r="P40" i="71"/>
  <c r="O40" i="71"/>
  <c r="N40" i="71"/>
  <c r="AB39" i="71"/>
  <c r="Q39" i="71"/>
  <c r="P39" i="71"/>
  <c r="AA39" i="71"/>
  <c r="O39" i="71"/>
  <c r="Y39" i="71" s="1"/>
  <c r="Z39" i="71" s="1"/>
  <c r="N39" i="71"/>
  <c r="Q38" i="71"/>
  <c r="AB38" i="71"/>
  <c r="P38" i="71"/>
  <c r="O38" i="71"/>
  <c r="Y38" i="71" s="1"/>
  <c r="Z38" i="71" s="1"/>
  <c r="N38" i="71"/>
  <c r="Q37" i="71"/>
  <c r="F38" i="71" s="1"/>
  <c r="F39" i="71" s="1"/>
  <c r="F40" i="71" s="1"/>
  <c r="V40" i="71" s="1"/>
  <c r="P37" i="71"/>
  <c r="O37" i="71"/>
  <c r="N37" i="71"/>
  <c r="D37" i="71"/>
  <c r="Q36" i="71"/>
  <c r="P36" i="71"/>
  <c r="O36" i="71"/>
  <c r="Y36" i="71" s="1"/>
  <c r="Z36" i="71" s="1"/>
  <c r="N36" i="71"/>
  <c r="X28" i="71" s="1"/>
  <c r="Q35" i="71"/>
  <c r="AB35" i="71" s="1"/>
  <c r="P35" i="71"/>
  <c r="O35" i="71"/>
  <c r="Y35" i="71" s="1"/>
  <c r="Z35" i="71" s="1"/>
  <c r="N35" i="71"/>
  <c r="Q34" i="71"/>
  <c r="AB34" i="71" s="1"/>
  <c r="P34" i="71"/>
  <c r="O34" i="71"/>
  <c r="Y34" i="71"/>
  <c r="Z34" i="71" s="1"/>
  <c r="N34" i="71"/>
  <c r="Q33" i="71"/>
  <c r="F34" i="71" s="1"/>
  <c r="F35" i="71" s="1"/>
  <c r="F36" i="71" s="1"/>
  <c r="V36" i="71" s="1"/>
  <c r="P33" i="71"/>
  <c r="O33" i="71"/>
  <c r="N33" i="71"/>
  <c r="D33" i="71"/>
  <c r="Q32" i="71"/>
  <c r="P32" i="71"/>
  <c r="O32" i="71"/>
  <c r="Y32" i="71"/>
  <c r="Z32" i="71"/>
  <c r="N32" i="71"/>
  <c r="Q31" i="71"/>
  <c r="P31" i="71"/>
  <c r="O31" i="71"/>
  <c r="N31" i="71"/>
  <c r="Q30" i="71"/>
  <c r="P30" i="71"/>
  <c r="O30" i="71"/>
  <c r="N30" i="71"/>
  <c r="F30" i="71"/>
  <c r="F31" i="71" s="1"/>
  <c r="F32" i="71" s="1"/>
  <c r="V32" i="71" s="1"/>
  <c r="Q29" i="71"/>
  <c r="P29" i="71"/>
  <c r="O29" i="71"/>
  <c r="N29" i="71"/>
  <c r="D29" i="71"/>
  <c r="O28" i="71"/>
  <c r="N28" i="71"/>
  <c r="B30" i="71"/>
  <c r="E30" i="71"/>
  <c r="E31" i="71" s="1"/>
  <c r="E32" i="71" s="1"/>
  <c r="U32" i="71" s="1"/>
  <c r="B34" i="71"/>
  <c r="B35" i="71"/>
  <c r="B36" i="71"/>
  <c r="S36" i="71"/>
  <c r="E38" i="71"/>
  <c r="C30" i="71"/>
  <c r="Y29" i="71"/>
  <c r="Z29" i="71" s="1"/>
  <c r="AA32" i="71"/>
  <c r="C34" i="71"/>
  <c r="AB33" i="71"/>
  <c r="C38" i="71"/>
  <c r="Y37" i="71"/>
  <c r="Z37" i="71" s="1"/>
  <c r="X38" i="71"/>
  <c r="C28" i="71"/>
  <c r="T28" i="71" s="1"/>
  <c r="Y26" i="71"/>
  <c r="Z26" i="71" s="1"/>
  <c r="B28" i="71"/>
  <c r="B27" i="71"/>
  <c r="B26" i="71"/>
  <c r="D30" i="71"/>
  <c r="C39" i="71"/>
  <c r="C40" i="71" s="1"/>
  <c r="D38" i="71"/>
  <c r="P28" i="71"/>
  <c r="U56" i="71"/>
  <c r="E63" i="71"/>
  <c r="E64" i="71"/>
  <c r="U64" i="71" s="1"/>
  <c r="U68" i="71"/>
  <c r="E67" i="71"/>
  <c r="E66" i="71" s="1"/>
  <c r="P66" i="71" s="1"/>
  <c r="Q28" i="71"/>
  <c r="D54" i="71"/>
  <c r="C63" i="71"/>
  <c r="D62" i="71"/>
  <c r="Q67" i="71"/>
  <c r="T68" i="71"/>
  <c r="O68" i="71"/>
  <c r="D68" i="71"/>
  <c r="C67" i="71"/>
  <c r="Q68" i="71"/>
  <c r="C71" i="71"/>
  <c r="D71" i="71" s="1"/>
  <c r="D72" i="71"/>
  <c r="C75" i="71"/>
  <c r="E75" i="71"/>
  <c r="E74" i="71"/>
  <c r="D76" i="71"/>
  <c r="E79" i="71"/>
  <c r="E78" i="71"/>
  <c r="D80" i="71"/>
  <c r="S28" i="71"/>
  <c r="F28" i="71"/>
  <c r="E28" i="71"/>
  <c r="C66" i="71"/>
  <c r="O67" i="71"/>
  <c r="D67" i="71"/>
  <c r="C64" i="71"/>
  <c r="D63" i="71"/>
  <c r="D75" i="71"/>
  <c r="C74" i="71"/>
  <c r="D74" i="71"/>
  <c r="C60" i="71"/>
  <c r="C56" i="71"/>
  <c r="D55" i="71"/>
  <c r="P67" i="71"/>
  <c r="D39" i="71"/>
  <c r="P65" i="71"/>
  <c r="O66" i="71"/>
  <c r="D66" i="71"/>
  <c r="O65" i="71"/>
  <c r="T56" i="71"/>
  <c r="D56" i="71"/>
  <c r="T64" i="71"/>
  <c r="D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AA18" i="36" s="1"/>
  <c r="C18" i="36"/>
  <c r="Z18" i="35"/>
  <c r="Q18" i="35"/>
  <c r="D68" i="35"/>
  <c r="E68" i="35"/>
  <c r="F18" i="35"/>
  <c r="C18" i="35"/>
  <c r="Q21" i="37"/>
  <c r="Z21" i="37" s="1"/>
  <c r="D77" i="37"/>
  <c r="E77" i="37" s="1"/>
  <c r="F77" i="37" s="1"/>
  <c r="G77" i="37" s="1"/>
  <c r="C21" i="37"/>
  <c r="Z21" i="34"/>
  <c r="Q21" i="34"/>
  <c r="D84" i="34"/>
  <c r="E84" i="34"/>
  <c r="F21" i="34"/>
  <c r="C21" i="34"/>
  <c r="Q21" i="33"/>
  <c r="Z21" i="33" s="1"/>
  <c r="D83" i="33"/>
  <c r="E83" i="33" s="1"/>
  <c r="F83" i="33" s="1"/>
  <c r="G83" i="33" s="1"/>
  <c r="C21" i="33"/>
  <c r="C21" i="21"/>
  <c r="Q21" i="21"/>
  <c r="Z21" i="21" s="1"/>
  <c r="H19" i="21"/>
  <c r="D83" i="21"/>
  <c r="E83" i="21" s="1"/>
  <c r="F21" i="21"/>
  <c r="AA21" i="21" s="1"/>
  <c r="D81" i="21"/>
  <c r="G20" i="20"/>
  <c r="C22" i="20"/>
  <c r="B100" i="43" s="1"/>
  <c r="B77" i="43"/>
  <c r="B57" i="43"/>
  <c r="B68" i="43"/>
  <c r="C29" i="39"/>
  <c r="S25" i="40"/>
  <c r="S18" i="36"/>
  <c r="F94" i="40"/>
  <c r="G94" i="40" s="1"/>
  <c r="H25" i="40"/>
  <c r="AB25" i="40" s="1"/>
  <c r="J25" i="40"/>
  <c r="H29" i="39"/>
  <c r="AB29" i="39" s="1"/>
  <c r="J29" i="39"/>
  <c r="AC29" i="39" s="1"/>
  <c r="J18" i="36"/>
  <c r="AC18" i="36" s="1"/>
  <c r="F68" i="35"/>
  <c r="G68" i="35" s="1"/>
  <c r="H18" i="35"/>
  <c r="AB18" i="35" s="1"/>
  <c r="J18" i="35"/>
  <c r="W18" i="35" s="1"/>
  <c r="H21" i="37"/>
  <c r="F21" i="37"/>
  <c r="AA21" i="37" s="1"/>
  <c r="F84" i="34"/>
  <c r="G84" i="34" s="1"/>
  <c r="H21" i="34"/>
  <c r="AB21" i="34" s="1"/>
  <c r="H21" i="33"/>
  <c r="U21" i="33" s="1"/>
  <c r="F21" i="33"/>
  <c r="S21" i="33" s="1"/>
  <c r="H1" i="69"/>
  <c r="AC25" i="40"/>
  <c r="W25" i="40"/>
  <c r="U25" i="40"/>
  <c r="U29" i="39"/>
  <c r="W29" i="39"/>
  <c r="W18" i="36"/>
  <c r="AB21" i="37"/>
  <c r="U21" i="37"/>
  <c r="S21" i="37"/>
  <c r="AB21" i="33"/>
  <c r="AA21" i="33"/>
  <c r="U18" i="35"/>
  <c r="J21" i="37"/>
  <c r="J21" i="34"/>
  <c r="W21" i="34" s="1"/>
  <c r="J21" i="33"/>
  <c r="AC21" i="33" s="1"/>
  <c r="F83" i="21"/>
  <c r="G83" i="21" s="1"/>
  <c r="H21" i="21"/>
  <c r="U21" i="21" s="1"/>
  <c r="F38" i="69"/>
  <c r="E37" i="69"/>
  <c r="F36" i="69"/>
  <c r="F35" i="69"/>
  <c r="F21" i="69"/>
  <c r="F40" i="69" s="1"/>
  <c r="F20" i="69"/>
  <c r="F39" i="69" s="1"/>
  <c r="E10" i="69"/>
  <c r="E9" i="69"/>
  <c r="C7" i="69"/>
  <c r="AC21" i="37"/>
  <c r="W21" i="37"/>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A78" i="3" s="1"/>
  <c r="AZ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AZ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AZ49" i="3" s="1"/>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BC22" i="3"/>
  <c r="BB22" i="3"/>
  <c r="AZ22" i="3"/>
  <c r="AX22" i="3"/>
  <c r="AW22" i="3"/>
  <c r="AV22" i="3"/>
  <c r="AC22" i="3"/>
  <c r="G22" i="3" s="1"/>
  <c r="H22" i="3"/>
  <c r="BT21" i="3"/>
  <c r="BS21" i="3"/>
  <c r="BR21" i="3"/>
  <c r="BQ21" i="3"/>
  <c r="BP21" i="3"/>
  <c r="BO21" i="3"/>
  <c r="BL21" i="3" s="1"/>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L19" i="3" s="1"/>
  <c r="BN19" i="3"/>
  <c r="BM19" i="3"/>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L190" i="3" s="1"/>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L178" i="3" s="1"/>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BC169" i="3"/>
  <c r="BB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L146" i="3" s="1"/>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L141" i="3" s="1"/>
  <c r="AZ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L113" i="3" s="1"/>
  <c r="AZ113" i="3" s="1"/>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L295" i="3" s="1"/>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A292" i="3" s="1"/>
  <c r="AZ292" i="3" s="1"/>
  <c r="BB292" i="3"/>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L550" i="3" s="1"/>
  <c r="BO550" i="3"/>
  <c r="BP550" i="3"/>
  <c r="BQ550" i="3"/>
  <c r="BR550" i="3"/>
  <c r="BS550" i="3"/>
  <c r="BT550" i="3"/>
  <c r="H551" i="3"/>
  <c r="G551" i="3" s="1"/>
  <c r="AC551" i="3"/>
  <c r="BB551" i="3"/>
  <c r="BC551" i="3"/>
  <c r="BA551" i="3" s="1"/>
  <c r="AZ551" i="3" s="1"/>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Q5" i="3" s="1"/>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A562" i="3" s="1"/>
  <c r="BF562" i="3"/>
  <c r="BG562" i="3"/>
  <c r="BH562" i="3"/>
  <c r="BI562" i="3"/>
  <c r="BJ562" i="3"/>
  <c r="BK562" i="3"/>
  <c r="BM562" i="3"/>
  <c r="BN562" i="3"/>
  <c r="BO562" i="3"/>
  <c r="BP562" i="3"/>
  <c r="BQ562" i="3"/>
  <c r="BR562" i="3"/>
  <c r="BS562" i="3"/>
  <c r="BT562" i="3"/>
  <c r="H563" i="3"/>
  <c r="AC563" i="3"/>
  <c r="G563" i="3" s="1"/>
  <c r="BB563" i="3"/>
  <c r="BC563" i="3"/>
  <c r="BD563" i="3"/>
  <c r="BE563" i="3"/>
  <c r="BA563" i="3" s="1"/>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T5" i="3" s="1"/>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H5" i="3" s="1"/>
  <c r="BI568" i="3"/>
  <c r="BJ568" i="3"/>
  <c r="BK568" i="3"/>
  <c r="BM568" i="3"/>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s="1"/>
  <c r="F114" i="34" s="1"/>
  <c r="G114" i="34" s="1"/>
  <c r="F38" i="34"/>
  <c r="S38" i="34" s="1"/>
  <c r="D112" i="34"/>
  <c r="E112" i="34"/>
  <c r="F112" i="34" s="1"/>
  <c r="G112" i="34" s="1"/>
  <c r="H112" i="34" s="1"/>
  <c r="I112" i="34"/>
  <c r="J112" i="34" s="1"/>
  <c r="K112" i="34" s="1"/>
  <c r="L112" i="34" s="1"/>
  <c r="M112" i="34" s="1"/>
  <c r="F40" i="33"/>
  <c r="AA40" i="33" s="1"/>
  <c r="J41" i="33"/>
  <c r="W41" i="33" s="1"/>
  <c r="D113" i="33"/>
  <c r="D111" i="33"/>
  <c r="E111" i="33" s="1"/>
  <c r="F111" i="33" s="1"/>
  <c r="G111" i="33" s="1"/>
  <c r="H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D115" i="40"/>
  <c r="E115" i="40"/>
  <c r="F115" i="40" s="1"/>
  <c r="G115" i="40" s="1"/>
  <c r="H115" i="40" s="1"/>
  <c r="I115" i="40" s="1"/>
  <c r="J115" i="40" s="1"/>
  <c r="K115" i="40" s="1"/>
  <c r="L115" i="40" s="1"/>
  <c r="M115" i="40" s="1"/>
  <c r="D113" i="40"/>
  <c r="E113" i="40" s="1"/>
  <c r="F113" i="40"/>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Q39" i="40"/>
  <c r="Z39" i="40"/>
  <c r="H39" i="40"/>
  <c r="U39" i="40" s="1"/>
  <c r="Q38" i="40"/>
  <c r="Z38" i="40"/>
  <c r="J38" i="40"/>
  <c r="AC38" i="40" s="1"/>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J25" i="37" s="1"/>
  <c r="H25" i="37"/>
  <c r="U25" i="37" s="1"/>
  <c r="B110" i="37"/>
  <c r="J39" i="37"/>
  <c r="AC39" i="37" s="1"/>
  <c r="B108" i="37"/>
  <c r="C23" i="37"/>
  <c r="C19" i="37"/>
  <c r="C17" i="37"/>
  <c r="C15" i="37"/>
  <c r="B112" i="37"/>
  <c r="D107" i="37"/>
  <c r="E107" i="37" s="1"/>
  <c r="F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s="1"/>
  <c r="D73" i="37"/>
  <c r="E73" i="37"/>
  <c r="F73" i="37"/>
  <c r="D71" i="37"/>
  <c r="H15" i="37"/>
  <c r="AB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s="1"/>
  <c r="H29" i="37"/>
  <c r="AB29" i="37"/>
  <c r="Q28" i="37"/>
  <c r="Z28" i="37" s="1"/>
  <c r="Q27" i="37"/>
  <c r="Z27" i="37"/>
  <c r="Q26" i="37"/>
  <c r="Z26" i="37" s="1"/>
  <c r="H26" i="37"/>
  <c r="AB26" i="37" s="1"/>
  <c r="Q25" i="37"/>
  <c r="Z25" i="37" s="1"/>
  <c r="AC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c r="H78" i="36" s="1"/>
  <c r="I78" i="36" s="1"/>
  <c r="J78" i="36" s="1"/>
  <c r="K78" i="36" s="1"/>
  <c r="L78" i="36" s="1"/>
  <c r="M78" i="36" s="1"/>
  <c r="B75" i="36"/>
  <c r="B73" i="36"/>
  <c r="H24" i="36" s="1"/>
  <c r="AB24" i="36" s="1"/>
  <c r="J24" i="36"/>
  <c r="AC24" i="36" s="1"/>
  <c r="B71" i="36"/>
  <c r="D70" i="36"/>
  <c r="H22" i="36"/>
  <c r="AB22" i="36" s="1"/>
  <c r="D68" i="36"/>
  <c r="E68" i="36"/>
  <c r="F68" i="36"/>
  <c r="G68" i="36" s="1"/>
  <c r="D64" i="36"/>
  <c r="E64" i="36"/>
  <c r="F64" i="36" s="1"/>
  <c r="G64" i="36" s="1"/>
  <c r="J16" i="36"/>
  <c r="W16" i="36"/>
  <c r="D62" i="36"/>
  <c r="E62" i="36" s="1"/>
  <c r="F62" i="36" s="1"/>
  <c r="G62" i="36" s="1"/>
  <c r="B59" i="36"/>
  <c r="B57" i="36"/>
  <c r="J12" i="36" s="1"/>
  <c r="B55" i="36"/>
  <c r="C51" i="36"/>
  <c r="J9" i="36" s="1"/>
  <c r="AC9" i="36" s="1"/>
  <c r="P37" i="36"/>
  <c r="P36" i="36"/>
  <c r="V35" i="36"/>
  <c r="T35" i="36"/>
  <c r="R35" i="36"/>
  <c r="P35" i="36"/>
  <c r="Q34" i="36"/>
  <c r="Z34" i="36" s="1"/>
  <c r="Q33" i="36"/>
  <c r="Z33" i="36" s="1"/>
  <c r="Q32" i="36"/>
  <c r="Z32" i="36"/>
  <c r="Q31" i="36"/>
  <c r="Z31" i="36" s="1"/>
  <c r="Q30" i="36"/>
  <c r="Z30" i="36" s="1"/>
  <c r="AC30" i="36"/>
  <c r="Q29" i="36"/>
  <c r="Z29" i="36"/>
  <c r="Q28" i="36"/>
  <c r="Z28" i="36" s="1"/>
  <c r="J28" i="36"/>
  <c r="AC28" i="36" s="1"/>
  <c r="Q27" i="36"/>
  <c r="Z27" i="36"/>
  <c r="Q26" i="36"/>
  <c r="Z26" i="36" s="1"/>
  <c r="H26" i="36"/>
  <c r="Q25" i="36"/>
  <c r="Z25" i="36" s="1"/>
  <c r="Q24" i="36"/>
  <c r="Z24" i="36"/>
  <c r="Q23" i="36"/>
  <c r="Z23" i="36"/>
  <c r="J23" i="36"/>
  <c r="AC23" i="36" s="1"/>
  <c r="H23" i="36"/>
  <c r="AB23" i="36" s="1"/>
  <c r="F23" i="36"/>
  <c r="AA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J22" i="35"/>
  <c r="AC22" i="35"/>
  <c r="B101" i="35"/>
  <c r="B99" i="35"/>
  <c r="H35" i="35" s="1"/>
  <c r="B97" i="35"/>
  <c r="H34" i="35" s="1"/>
  <c r="AB34" i="35" s="1"/>
  <c r="B77" i="35"/>
  <c r="B75" i="35"/>
  <c r="J24" i="35"/>
  <c r="AC24" i="35" s="1"/>
  <c r="B73" i="35"/>
  <c r="H23" i="35" s="1"/>
  <c r="U23" i="35" s="1"/>
  <c r="B57" i="35"/>
  <c r="B61" i="35"/>
  <c r="B59" i="35"/>
  <c r="B131" i="34"/>
  <c r="B129" i="34"/>
  <c r="J46" i="34" s="1"/>
  <c r="AC46" i="34" s="1"/>
  <c r="B127" i="34"/>
  <c r="B99" i="34"/>
  <c r="B97" i="34"/>
  <c r="H31" i="34" s="1"/>
  <c r="B95" i="34"/>
  <c r="H30" i="34" s="1"/>
  <c r="B93" i="34"/>
  <c r="B75" i="34"/>
  <c r="B73" i="34"/>
  <c r="B71" i="34"/>
  <c r="B130" i="33"/>
  <c r="B128" i="33"/>
  <c r="B126" i="33"/>
  <c r="B98" i="33"/>
  <c r="F31" i="33" s="1"/>
  <c r="B96" i="33"/>
  <c r="B94" i="33"/>
  <c r="H29" i="33" s="1"/>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c r="D72" i="35"/>
  <c r="E72" i="35" s="1"/>
  <c r="F72" i="35"/>
  <c r="G72" i="35" s="1"/>
  <c r="D70" i="35"/>
  <c r="E70" i="35" s="1"/>
  <c r="F70" i="35" s="1"/>
  <c r="G70" i="35" s="1"/>
  <c r="D66" i="35"/>
  <c r="E66" i="35" s="1"/>
  <c r="F66" i="35"/>
  <c r="G66" i="35" s="1"/>
  <c r="D64" i="35"/>
  <c r="E64" i="35" s="1"/>
  <c r="F64" i="35" s="1"/>
  <c r="G64" i="35" s="1"/>
  <c r="J14" i="35"/>
  <c r="W14" i="35" s="1"/>
  <c r="C53" i="35"/>
  <c r="J9" i="35" s="1"/>
  <c r="AC9" i="35" s="1"/>
  <c r="P39" i="35"/>
  <c r="P38" i="35"/>
  <c r="V37" i="35"/>
  <c r="T37" i="35"/>
  <c r="R37" i="35"/>
  <c r="P37" i="35"/>
  <c r="Q36" i="35"/>
  <c r="Z36" i="35" s="1"/>
  <c r="Q35" i="35"/>
  <c r="Z35" i="35" s="1"/>
  <c r="Q34" i="35"/>
  <c r="Z34" i="35" s="1"/>
  <c r="J34" i="35"/>
  <c r="AC34" i="35"/>
  <c r="F34" i="35"/>
  <c r="AA34" i="35"/>
  <c r="Q33" i="35"/>
  <c r="Z33" i="35" s="1"/>
  <c r="Q32" i="35"/>
  <c r="Z32" i="35" s="1"/>
  <c r="H32" i="35"/>
  <c r="AB32" i="35" s="1"/>
  <c r="F32" i="35"/>
  <c r="AA32" i="35" s="1"/>
  <c r="Q31" i="35"/>
  <c r="Z31" i="35" s="1"/>
  <c r="AC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H12" i="35"/>
  <c r="U12" i="35" s="1"/>
  <c r="F12" i="35"/>
  <c r="S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c r="D124" i="34"/>
  <c r="E124" i="34" s="1"/>
  <c r="F124" i="34"/>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c r="G86" i="34" s="1"/>
  <c r="D82" i="34"/>
  <c r="E82" i="34" s="1"/>
  <c r="F82" i="34" s="1"/>
  <c r="G82" i="34" s="1"/>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J12" i="34"/>
  <c r="W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S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C21" i="20"/>
  <c r="B99" i="43" s="1"/>
  <c r="B76" i="43"/>
  <c r="C20" i="20"/>
  <c r="C18" i="20"/>
  <c r="B94" i="43" s="1"/>
  <c r="B73" i="43"/>
  <c r="C17" i="20"/>
  <c r="B61" i="43" s="1"/>
  <c r="C16" i="20"/>
  <c r="C17" i="39"/>
  <c r="C15" i="20"/>
  <c r="B72" i="43" s="1"/>
  <c r="E54" i="21"/>
  <c r="F54" i="21" s="1"/>
  <c r="I54" i="21"/>
  <c r="J54" i="21" s="1"/>
  <c r="G54" i="21"/>
  <c r="H54" i="21" s="1"/>
  <c r="D125" i="21"/>
  <c r="E125" i="21" s="1"/>
  <c r="F125" i="21" s="1"/>
  <c r="G125" i="21"/>
  <c r="D123" i="21"/>
  <c r="E123" i="21" s="1"/>
  <c r="F123" i="21"/>
  <c r="F42" i="21"/>
  <c r="AA42" i="21" s="1"/>
  <c r="D119" i="21"/>
  <c r="F40" i="21"/>
  <c r="AA40" i="21"/>
  <c r="D117" i="21"/>
  <c r="E117" i="21" s="1"/>
  <c r="F117" i="2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c r="D85" i="21"/>
  <c r="F19" i="21"/>
  <c r="AA19" i="21" s="1"/>
  <c r="E81" i="21"/>
  <c r="F81" i="21"/>
  <c r="G81" i="21" s="1"/>
  <c r="D77" i="21"/>
  <c r="E77" i="21"/>
  <c r="B130" i="21"/>
  <c r="B128" i="21"/>
  <c r="J45" i="21" s="1"/>
  <c r="W45" i="21"/>
  <c r="B126" i="21"/>
  <c r="B98" i="21"/>
  <c r="H31" i="21" s="1"/>
  <c r="B96" i="21"/>
  <c r="B94" i="21"/>
  <c r="J29" i="21" s="1"/>
  <c r="AC29" i="21" s="1"/>
  <c r="B92" i="21"/>
  <c r="B90" i="21"/>
  <c r="J27" i="21"/>
  <c r="B74" i="21"/>
  <c r="B72" i="21"/>
  <c r="H13" i="21" s="1"/>
  <c r="B70" i="21"/>
  <c r="F12" i="21"/>
  <c r="S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F36" i="39"/>
  <c r="S36" i="39" s="1"/>
  <c r="H36" i="39"/>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S34" i="35"/>
  <c r="W34" i="35"/>
  <c r="W22" i="35"/>
  <c r="S31" i="35"/>
  <c r="U34" i="35"/>
  <c r="F36" i="34"/>
  <c r="AA36" i="34" s="1"/>
  <c r="J35" i="34"/>
  <c r="AC35" i="34" s="1"/>
  <c r="W9" i="34"/>
  <c r="H39" i="33"/>
  <c r="U39" i="33" s="1"/>
  <c r="F26" i="33"/>
  <c r="S26" i="33" s="1"/>
  <c r="S40" i="33"/>
  <c r="H39" i="37"/>
  <c r="AB39" i="37" s="1"/>
  <c r="F11" i="40"/>
  <c r="AA11" i="40"/>
  <c r="H11" i="40"/>
  <c r="AB11" i="40"/>
  <c r="W8" i="40"/>
  <c r="AB39"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S34" i="21"/>
  <c r="C27" i="39"/>
  <c r="C21" i="39"/>
  <c r="H11" i="39"/>
  <c r="C15" i="39"/>
  <c r="H11" i="21"/>
  <c r="U11" i="21" s="1"/>
  <c r="J11" i="21"/>
  <c r="W11" i="21" s="1"/>
  <c r="H37" i="40"/>
  <c r="U37" i="40" s="1"/>
  <c r="H36" i="40"/>
  <c r="AB36" i="40" s="1"/>
  <c r="F35" i="40"/>
  <c r="H23" i="40"/>
  <c r="AB23" i="40" s="1"/>
  <c r="H17" i="40"/>
  <c r="U17" i="40" s="1"/>
  <c r="J15" i="40"/>
  <c r="W15" i="40" s="1"/>
  <c r="J11" i="40"/>
  <c r="AB8" i="39"/>
  <c r="AB12" i="33"/>
  <c r="AC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F35" i="37"/>
  <c r="S35" i="37" s="1"/>
  <c r="E101" i="37"/>
  <c r="F101" i="37" s="1"/>
  <c r="G101" i="37" s="1"/>
  <c r="H101" i="37" s="1"/>
  <c r="I101" i="37"/>
  <c r="J101" i="37" s="1"/>
  <c r="K101" i="37" s="1"/>
  <c r="L101" i="37" s="1"/>
  <c r="M101" i="37"/>
  <c r="J34" i="37"/>
  <c r="W34" i="37"/>
  <c r="AA39" i="37"/>
  <c r="AB34" i="37"/>
  <c r="J33" i="37"/>
  <c r="AC33" i="37" s="1"/>
  <c r="U42" i="34"/>
  <c r="H40" i="34"/>
  <c r="U40" i="34" s="1"/>
  <c r="H36" i="34"/>
  <c r="U36" i="34" s="1"/>
  <c r="F37" i="34"/>
  <c r="AA37" i="34" s="1"/>
  <c r="F28" i="34"/>
  <c r="AA28" i="34" s="1"/>
  <c r="F27" i="34"/>
  <c r="AA27" i="34" s="1"/>
  <c r="F25" i="34"/>
  <c r="S25" i="34" s="1"/>
  <c r="H23" i="34"/>
  <c r="J23" i="34"/>
  <c r="W23" i="34" s="1"/>
  <c r="F19" i="34"/>
  <c r="S19" i="34" s="1"/>
  <c r="H17" i="34"/>
  <c r="U17" i="34" s="1"/>
  <c r="F15" i="34"/>
  <c r="AA15" i="34" s="1"/>
  <c r="J15" i="34"/>
  <c r="AC15" i="34" s="1"/>
  <c r="H15" i="34"/>
  <c r="AB15" i="34" s="1"/>
  <c r="J28" i="34"/>
  <c r="W28" i="34"/>
  <c r="F41" i="33"/>
  <c r="AA41" i="33" s="1"/>
  <c r="E113" i="33"/>
  <c r="F113" i="33" s="1"/>
  <c r="G113" i="33" s="1"/>
  <c r="H113" i="33" s="1"/>
  <c r="I113" i="33" s="1"/>
  <c r="J113" i="33" s="1"/>
  <c r="K113" i="33" s="1"/>
  <c r="J19" i="33"/>
  <c r="AC19" i="33" s="1"/>
  <c r="J15" i="33"/>
  <c r="W15" i="33" s="1"/>
  <c r="F11" i="33"/>
  <c r="AA11" i="33" s="1"/>
  <c r="U40" i="33"/>
  <c r="F37" i="40"/>
  <c r="AA37" i="40"/>
  <c r="F36" i="40"/>
  <c r="AA36" i="40"/>
  <c r="H28" i="40"/>
  <c r="U28" i="40"/>
  <c r="F23" i="40"/>
  <c r="AA23" i="40"/>
  <c r="F17" i="40"/>
  <c r="AA17" i="40"/>
  <c r="J17" i="40"/>
  <c r="W17" i="40"/>
  <c r="F15" i="40"/>
  <c r="S15" i="40"/>
  <c r="H15" i="40"/>
  <c r="AB15" i="40"/>
  <c r="S12" i="36"/>
  <c r="AA12" i="36"/>
  <c r="AB30" i="36"/>
  <c r="U33" i="35"/>
  <c r="F29" i="35"/>
  <c r="H29" i="35"/>
  <c r="AB29" i="35" s="1"/>
  <c r="H33" i="37"/>
  <c r="AB33" i="37" s="1"/>
  <c r="F33" i="37"/>
  <c r="AA33" i="37" s="1"/>
  <c r="U34" i="37"/>
  <c r="S34" i="37"/>
  <c r="AA34" i="37"/>
  <c r="J43" i="34"/>
  <c r="AB42" i="34"/>
  <c r="J40" i="34"/>
  <c r="AC40" i="34" s="1"/>
  <c r="H114" i="34"/>
  <c r="I114" i="34" s="1"/>
  <c r="J114" i="34" s="1"/>
  <c r="K114" i="34" s="1"/>
  <c r="L114" i="34" s="1"/>
  <c r="M114" i="34" s="1"/>
  <c r="H38" i="34"/>
  <c r="AB38" i="34" s="1"/>
  <c r="J36" i="34"/>
  <c r="W36" i="34" s="1"/>
  <c r="H37" i="34"/>
  <c r="U37" i="34" s="1"/>
  <c r="H25" i="34"/>
  <c r="AB25" i="34" s="1"/>
  <c r="J25" i="34"/>
  <c r="AC25" i="34" s="1"/>
  <c r="F23" i="34"/>
  <c r="AA23" i="34" s="1"/>
  <c r="J19" i="34"/>
  <c r="AC19" i="34" s="1"/>
  <c r="F17" i="34"/>
  <c r="J17" i="34"/>
  <c r="W17" i="34" s="1"/>
  <c r="L113" i="33"/>
  <c r="M113" i="33" s="1"/>
  <c r="H37" i="33"/>
  <c r="AB37" i="33" s="1"/>
  <c r="H15" i="33"/>
  <c r="AB15" i="33" s="1"/>
  <c r="H11" i="33"/>
  <c r="AB11" i="33" s="1"/>
  <c r="F28" i="40"/>
  <c r="AA28" i="40"/>
  <c r="AA42" i="34"/>
  <c r="S42" i="34"/>
  <c r="J37" i="34"/>
  <c r="AC37" i="34" s="1"/>
  <c r="J11" i="33"/>
  <c r="W11" i="33" s="1"/>
  <c r="S28" i="34"/>
  <c r="U23" i="40"/>
  <c r="G123" i="21"/>
  <c r="H123" i="21" s="1"/>
  <c r="I123" i="21"/>
  <c r="J123" i="21" s="1"/>
  <c r="K123" i="21"/>
  <c r="L123" i="21" s="1"/>
  <c r="M123" i="21" s="1"/>
  <c r="J42" i="21"/>
  <c r="AC42" i="21"/>
  <c r="H42" i="21"/>
  <c r="U42" i="21"/>
  <c r="J44" i="34"/>
  <c r="AC44" i="34" s="1"/>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H46" i="21"/>
  <c r="U46" i="21" s="1"/>
  <c r="J46" i="21"/>
  <c r="W46" i="21" s="1"/>
  <c r="F46" i="21"/>
  <c r="AA46" i="21" s="1"/>
  <c r="E119" i="21"/>
  <c r="F119" i="21" s="1"/>
  <c r="G119" i="21" s="1"/>
  <c r="H119" i="21" s="1"/>
  <c r="I119" i="21" s="1"/>
  <c r="J119" i="21" s="1"/>
  <c r="K119" i="21" s="1"/>
  <c r="L119" i="21" s="1"/>
  <c r="M119" i="21" s="1"/>
  <c r="H26" i="33"/>
  <c r="U26" i="33" s="1"/>
  <c r="H28" i="33"/>
  <c r="AB28" i="33" s="1"/>
  <c r="F28" i="33"/>
  <c r="AA28" i="33" s="1"/>
  <c r="J28" i="33"/>
  <c r="AC28" i="33" s="1"/>
  <c r="F33" i="35"/>
  <c r="S33" i="35"/>
  <c r="J33" i="35"/>
  <c r="AC33" i="35" s="1"/>
  <c r="F30" i="35"/>
  <c r="S30" i="35" s="1"/>
  <c r="E89" i="35"/>
  <c r="F89" i="35"/>
  <c r="G89" i="35" s="1"/>
  <c r="H89" i="35"/>
  <c r="I89" i="35" s="1"/>
  <c r="J89" i="35"/>
  <c r="K89" i="35" s="1"/>
  <c r="L89" i="35" s="1"/>
  <c r="M89" i="35" s="1"/>
  <c r="H10" i="36"/>
  <c r="AB10" i="36" s="1"/>
  <c r="J14" i="36"/>
  <c r="AC14" i="36"/>
  <c r="H14" i="36"/>
  <c r="U14" i="36"/>
  <c r="F28" i="36"/>
  <c r="AA28" i="36" s="1"/>
  <c r="J13" i="21"/>
  <c r="H27" i="21"/>
  <c r="AB27" i="21" s="1"/>
  <c r="F27" i="21"/>
  <c r="AA27" i="21" s="1"/>
  <c r="H29" i="21"/>
  <c r="U29" i="21" s="1"/>
  <c r="J31" i="21"/>
  <c r="F31" i="21"/>
  <c r="S31" i="21" s="1"/>
  <c r="F45" i="21"/>
  <c r="AA45" i="21" s="1"/>
  <c r="F27" i="33"/>
  <c r="AA27" i="33" s="1"/>
  <c r="J13" i="33"/>
  <c r="F13" i="33"/>
  <c r="S13" i="33" s="1"/>
  <c r="J29" i="33"/>
  <c r="H31" i="33"/>
  <c r="AB31" i="33" s="1"/>
  <c r="H45" i="33"/>
  <c r="U45" i="33" s="1"/>
  <c r="J45" i="33"/>
  <c r="F45" i="33"/>
  <c r="J14" i="34"/>
  <c r="W14" i="34" s="1"/>
  <c r="F14" i="34"/>
  <c r="S14" i="34" s="1"/>
  <c r="H14" i="34"/>
  <c r="F30" i="34"/>
  <c r="S30" i="34" s="1"/>
  <c r="J30" i="34"/>
  <c r="H32" i="34"/>
  <c r="U32" i="34" s="1"/>
  <c r="F32" i="34"/>
  <c r="J32" i="34"/>
  <c r="W32" i="34" s="1"/>
  <c r="H11" i="35"/>
  <c r="AB11" i="35" s="1"/>
  <c r="J26" i="36"/>
  <c r="W26" i="36" s="1"/>
  <c r="H28" i="36"/>
  <c r="U28" i="36" s="1"/>
  <c r="H32" i="36"/>
  <c r="AB32" i="36" s="1"/>
  <c r="J32" i="36"/>
  <c r="W32" i="36" s="1"/>
  <c r="H11" i="36"/>
  <c r="U11" i="36" s="1"/>
  <c r="H13" i="36"/>
  <c r="AB13" i="36" s="1"/>
  <c r="J13" i="36"/>
  <c r="F13" i="36"/>
  <c r="S13" i="36"/>
  <c r="E89" i="37"/>
  <c r="F89" i="37"/>
  <c r="G89" i="37" s="1"/>
  <c r="H89" i="37" s="1"/>
  <c r="I89" i="37" s="1"/>
  <c r="J89" i="37" s="1"/>
  <c r="K89" i="37" s="1"/>
  <c r="L89" i="37" s="1"/>
  <c r="M89" i="37" s="1"/>
  <c r="J29" i="37"/>
  <c r="F29" i="37"/>
  <c r="S29" i="37" s="1"/>
  <c r="F105" i="37"/>
  <c r="G105" i="37" s="1"/>
  <c r="H36" i="37"/>
  <c r="AB36" i="37"/>
  <c r="J37" i="37"/>
  <c r="AC37" i="37" s="1"/>
  <c r="H37" i="37"/>
  <c r="U37" i="37" s="1"/>
  <c r="H40" i="37"/>
  <c r="U40" i="37" s="1"/>
  <c r="J40" i="37"/>
  <c r="F40" i="37"/>
  <c r="AA40" i="37" s="1"/>
  <c r="AC12" i="40"/>
  <c r="W12" i="40"/>
  <c r="H14" i="33"/>
  <c r="F14" i="33"/>
  <c r="S14" i="33" s="1"/>
  <c r="J14" i="33"/>
  <c r="H30" i="33"/>
  <c r="AB30" i="33"/>
  <c r="F30" i="33"/>
  <c r="J30" i="33"/>
  <c r="W30" i="33" s="1"/>
  <c r="H44" i="33"/>
  <c r="J44" i="33"/>
  <c r="AC44" i="33" s="1"/>
  <c r="F44" i="33"/>
  <c r="S44" i="33" s="1"/>
  <c r="J46" i="33"/>
  <c r="AC46" i="33" s="1"/>
  <c r="F46" i="33"/>
  <c r="AA46" i="33" s="1"/>
  <c r="H46" i="33"/>
  <c r="H13" i="34"/>
  <c r="U13" i="34" s="1"/>
  <c r="J13" i="34"/>
  <c r="W13" i="34" s="1"/>
  <c r="F13" i="34"/>
  <c r="AA13" i="34" s="1"/>
  <c r="J29" i="34"/>
  <c r="W29" i="34" s="1"/>
  <c r="F29" i="34"/>
  <c r="S29" i="34" s="1"/>
  <c r="H29" i="34"/>
  <c r="AB29" i="34" s="1"/>
  <c r="J31" i="34"/>
  <c r="AC31" i="34" s="1"/>
  <c r="H45" i="34"/>
  <c r="U45" i="34" s="1"/>
  <c r="J45" i="34"/>
  <c r="W45" i="34" s="1"/>
  <c r="F45" i="34"/>
  <c r="H47" i="34"/>
  <c r="U47" i="34" s="1"/>
  <c r="F47" i="34"/>
  <c r="S47" i="34" s="1"/>
  <c r="J47" i="34"/>
  <c r="AC47" i="34" s="1"/>
  <c r="F13" i="35"/>
  <c r="J13" i="35"/>
  <c r="AC13" i="35" s="1"/>
  <c r="H13" i="35"/>
  <c r="U13" i="35" s="1"/>
  <c r="J25" i="35"/>
  <c r="W25" i="35" s="1"/>
  <c r="F25" i="35"/>
  <c r="H25" i="35"/>
  <c r="AB25" i="35" s="1"/>
  <c r="J25" i="36"/>
  <c r="W25" i="36" s="1"/>
  <c r="F25" i="36"/>
  <c r="S25" i="36" s="1"/>
  <c r="H25" i="36"/>
  <c r="AB25" i="36" s="1"/>
  <c r="H13" i="37"/>
  <c r="AB13" i="37" s="1"/>
  <c r="F13" i="37"/>
  <c r="S13" i="37"/>
  <c r="J13" i="37"/>
  <c r="W13" i="37" s="1"/>
  <c r="F28" i="37"/>
  <c r="J28" i="37"/>
  <c r="AC28" i="37" s="1"/>
  <c r="H28" i="37"/>
  <c r="U28" i="37" s="1"/>
  <c r="H38" i="37"/>
  <c r="AB38" i="37" s="1"/>
  <c r="J38" i="37"/>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F14" i="40"/>
  <c r="AA14" i="40" s="1"/>
  <c r="J14" i="37"/>
  <c r="AC14" i="37" s="1"/>
  <c r="J27" i="37"/>
  <c r="AC27" i="37" s="1"/>
  <c r="AA44" i="33"/>
  <c r="J36" i="37"/>
  <c r="AC36" i="37"/>
  <c r="J10" i="36"/>
  <c r="AC10" i="36" s="1"/>
  <c r="AB30" i="21"/>
  <c r="AA14" i="37"/>
  <c r="AA14" i="34"/>
  <c r="AC28" i="21"/>
  <c r="BA586" i="3"/>
  <c r="F17" i="21"/>
  <c r="AA17" i="21"/>
  <c r="H17" i="21"/>
  <c r="F15" i="21"/>
  <c r="S15" i="21"/>
  <c r="J41" i="39"/>
  <c r="W41" i="39" s="1"/>
  <c r="AC45" i="39"/>
  <c r="W36" i="39"/>
  <c r="W35" i="39"/>
  <c r="G544" i="3"/>
  <c r="G540" i="3"/>
  <c r="G536" i="3"/>
  <c r="G535" i="3"/>
  <c r="G532" i="3"/>
  <c r="G531" i="3"/>
  <c r="G528" i="3"/>
  <c r="G527" i="3"/>
  <c r="G523" i="3"/>
  <c r="G518" i="3"/>
  <c r="G514" i="3"/>
  <c r="G510" i="3"/>
  <c r="G508" i="3"/>
  <c r="G504" i="3"/>
  <c r="G500" i="3"/>
  <c r="G496" i="3"/>
  <c r="G584" i="3"/>
  <c r="G580" i="3"/>
  <c r="G576" i="3"/>
  <c r="G572" i="3"/>
  <c r="G564" i="3"/>
  <c r="G554" i="3"/>
  <c r="G550" i="3"/>
  <c r="BL584" i="3"/>
  <c r="AZ584" i="3" s="1"/>
  <c r="BL580" i="3"/>
  <c r="BL576" i="3"/>
  <c r="BL572" i="3"/>
  <c r="BL554" i="3"/>
  <c r="BL546" i="3"/>
  <c r="BL542" i="3"/>
  <c r="BL538" i="3"/>
  <c r="BL534" i="3"/>
  <c r="BL530" i="3"/>
  <c r="AZ530" i="3" s="1"/>
  <c r="BL526" i="3"/>
  <c r="BL522" i="3"/>
  <c r="BL516" i="3"/>
  <c r="BL512" i="3"/>
  <c r="AZ512" i="3" s="1"/>
  <c r="BL506" i="3"/>
  <c r="BL502" i="3"/>
  <c r="BL498" i="3"/>
  <c r="AZ498" i="3" s="1"/>
  <c r="BL494" i="3"/>
  <c r="AZ494" i="3" s="1"/>
  <c r="BL582" i="3"/>
  <c r="BL578" i="3"/>
  <c r="BL574" i="3"/>
  <c r="BL570" i="3"/>
  <c r="AZ570" i="3" s="1"/>
  <c r="BL556" i="3"/>
  <c r="BL552" i="3"/>
  <c r="BL544"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s="1"/>
  <c r="BA576" i="3"/>
  <c r="BA574" i="3"/>
  <c r="AZ574" i="3"/>
  <c r="BA572" i="3"/>
  <c r="BA570" i="3"/>
  <c r="BA568" i="3"/>
  <c r="BA556" i="3"/>
  <c r="AZ556" i="3" s="1"/>
  <c r="BA554" i="3"/>
  <c r="AZ554" i="3"/>
  <c r="BA552" i="3"/>
  <c r="AZ552" i="3" s="1"/>
  <c r="BA548" i="3"/>
  <c r="AZ548" i="3" s="1"/>
  <c r="BA546" i="3"/>
  <c r="BA544" i="3"/>
  <c r="AZ544" i="3" s="1"/>
  <c r="BA542" i="3"/>
  <c r="AZ542" i="3"/>
  <c r="BA540" i="3"/>
  <c r="AZ540" i="3" s="1"/>
  <c r="BA538" i="3"/>
  <c r="AZ538" i="3"/>
  <c r="BA536" i="3"/>
  <c r="AZ536" i="3" s="1"/>
  <c r="BA534" i="3"/>
  <c r="AZ534" i="3"/>
  <c r="BA532" i="3"/>
  <c r="AZ532" i="3" s="1"/>
  <c r="BA530" i="3"/>
  <c r="BA528" i="3"/>
  <c r="AZ528" i="3"/>
  <c r="BA526" i="3"/>
  <c r="AZ526" i="3" s="1"/>
  <c r="BA524" i="3"/>
  <c r="AZ524" i="3"/>
  <c r="BA522" i="3"/>
  <c r="AZ522" i="3" s="1"/>
  <c r="BA520" i="3"/>
  <c r="BA518" i="3"/>
  <c r="AZ518" i="3"/>
  <c r="BA516" i="3"/>
  <c r="AZ516" i="3" s="1"/>
  <c r="BA514" i="3"/>
  <c r="BA512" i="3"/>
  <c r="BA510" i="3"/>
  <c r="BA508" i="3"/>
  <c r="BA506" i="3"/>
  <c r="BA504" i="3"/>
  <c r="AZ504" i="3"/>
  <c r="BA502" i="3"/>
  <c r="BA500" i="3"/>
  <c r="BA498" i="3"/>
  <c r="BA496" i="3"/>
  <c r="BA494" i="3"/>
  <c r="BA583" i="3"/>
  <c r="BA581" i="3"/>
  <c r="BA579" i="3"/>
  <c r="BA577" i="3"/>
  <c r="AZ577" i="3" s="1"/>
  <c r="BA575" i="3"/>
  <c r="BA573" i="3"/>
  <c r="BA571" i="3"/>
  <c r="BA555" i="3"/>
  <c r="BA553" i="3"/>
  <c r="AZ553" i="3" s="1"/>
  <c r="BA549" i="3"/>
  <c r="BA547" i="3"/>
  <c r="AZ547" i="3" s="1"/>
  <c r="BA545" i="3"/>
  <c r="BA543" i="3"/>
  <c r="BA541" i="3"/>
  <c r="AZ541" i="3" s="1"/>
  <c r="BA539" i="3"/>
  <c r="BA537" i="3"/>
  <c r="BA535" i="3"/>
  <c r="BA533" i="3"/>
  <c r="BA531" i="3"/>
  <c r="AZ531" i="3" s="1"/>
  <c r="BA529" i="3"/>
  <c r="BA527" i="3"/>
  <c r="BA525" i="3"/>
  <c r="AZ525" i="3" s="1"/>
  <c r="BA523" i="3"/>
  <c r="BA519" i="3"/>
  <c r="BA517" i="3"/>
  <c r="BA515" i="3"/>
  <c r="AZ515" i="3" s="1"/>
  <c r="BA513" i="3"/>
  <c r="BA511" i="3"/>
  <c r="BA507" i="3"/>
  <c r="BA505" i="3"/>
  <c r="AZ505" i="3" s="1"/>
  <c r="BA503" i="3"/>
  <c r="BA501" i="3"/>
  <c r="BA499" i="3"/>
  <c r="BA497" i="3"/>
  <c r="BA495" i="3"/>
  <c r="AZ495" i="3" s="1"/>
  <c r="BA493" i="3"/>
  <c r="G583" i="3"/>
  <c r="G581" i="3"/>
  <c r="G579" i="3"/>
  <c r="G577" i="3"/>
  <c r="G575" i="3"/>
  <c r="G573" i="3"/>
  <c r="G571" i="3"/>
  <c r="G567" i="3"/>
  <c r="G565" i="3"/>
  <c r="BA557" i="3"/>
  <c r="AZ557" i="3" s="1"/>
  <c r="AC557" i="3"/>
  <c r="G557" i="3" s="1"/>
  <c r="BQ557" i="3"/>
  <c r="BL557" i="3" s="1"/>
  <c r="BQ583" i="3"/>
  <c r="BL583" i="3"/>
  <c r="AZ583" i="3" s="1"/>
  <c r="BQ581" i="3"/>
  <c r="BL581" i="3"/>
  <c r="BQ579" i="3"/>
  <c r="BL579" i="3" s="1"/>
  <c r="BQ577" i="3"/>
  <c r="BL577" i="3"/>
  <c r="BQ575" i="3"/>
  <c r="BL575" i="3"/>
  <c r="AZ575" i="3"/>
  <c r="BQ573" i="3"/>
  <c r="BL573" i="3" s="1"/>
  <c r="AZ573" i="3" s="1"/>
  <c r="BQ571" i="3"/>
  <c r="BL571" i="3"/>
  <c r="BQ569" i="3"/>
  <c r="BQ567" i="3"/>
  <c r="BL567" i="3"/>
  <c r="BQ565" i="3"/>
  <c r="BQ563" i="3"/>
  <c r="BQ561" i="3"/>
  <c r="BQ559" i="3"/>
  <c r="G555" i="3"/>
  <c r="G553" i="3"/>
  <c r="G549" i="3"/>
  <c r="G547" i="3"/>
  <c r="G545" i="3"/>
  <c r="G543" i="3"/>
  <c r="G541" i="3"/>
  <c r="G539" i="3"/>
  <c r="G537" i="3"/>
  <c r="BQ555" i="3"/>
  <c r="BL555" i="3"/>
  <c r="AZ555" i="3"/>
  <c r="BQ553" i="3"/>
  <c r="BL553" i="3" s="1"/>
  <c r="BQ551" i="3"/>
  <c r="BL551" i="3"/>
  <c r="BQ549" i="3"/>
  <c r="BQ547" i="3"/>
  <c r="BL547" i="3"/>
  <c r="BQ545" i="3"/>
  <c r="BL545" i="3"/>
  <c r="AZ545" i="3"/>
  <c r="BQ543" i="3"/>
  <c r="BL543" i="3" s="1"/>
  <c r="AZ543" i="3"/>
  <c r="BQ541" i="3"/>
  <c r="BL541" i="3"/>
  <c r="BQ539" i="3"/>
  <c r="BL539" i="3"/>
  <c r="BQ537" i="3"/>
  <c r="BL537" i="3"/>
  <c r="AZ537" i="3"/>
  <c r="BQ535" i="3"/>
  <c r="BL535" i="3" s="1"/>
  <c r="AZ535" i="3"/>
  <c r="BQ533" i="3"/>
  <c r="BL533" i="3"/>
  <c r="BQ531" i="3"/>
  <c r="BL531" i="3"/>
  <c r="BQ529" i="3"/>
  <c r="BL529" i="3"/>
  <c r="AZ529" i="3"/>
  <c r="BQ527" i="3"/>
  <c r="BL527" i="3" s="1"/>
  <c r="AZ527" i="3"/>
  <c r="BQ525" i="3"/>
  <c r="BL525" i="3"/>
  <c r="BQ523" i="3"/>
  <c r="BL523" i="3"/>
  <c r="BA521" i="3"/>
  <c r="AC521" i="3"/>
  <c r="BQ521" i="3"/>
  <c r="BL521" i="3"/>
  <c r="AZ521" i="3" s="1"/>
  <c r="BL520" i="3"/>
  <c r="AZ520" i="3" s="1"/>
  <c r="G519" i="3"/>
  <c r="G517" i="3"/>
  <c r="G515" i="3"/>
  <c r="G513" i="3"/>
  <c r="G511" i="3"/>
  <c r="BQ519" i="3"/>
  <c r="BL519" i="3"/>
  <c r="AZ519" i="3" s="1"/>
  <c r="BQ517" i="3"/>
  <c r="BL517" i="3"/>
  <c r="AZ517" i="3"/>
  <c r="BQ515" i="3"/>
  <c r="BL515" i="3" s="1"/>
  <c r="BQ513" i="3"/>
  <c r="BL513" i="3"/>
  <c r="BQ511" i="3"/>
  <c r="BL511" i="3"/>
  <c r="AZ511" i="3"/>
  <c r="BA509" i="3"/>
  <c r="AC509" i="3"/>
  <c r="BQ509" i="3"/>
  <c r="BL509" i="3"/>
  <c r="BL508" i="3"/>
  <c r="AZ508" i="3"/>
  <c r="G507" i="3"/>
  <c r="G505" i="3"/>
  <c r="G503" i="3"/>
  <c r="G501" i="3"/>
  <c r="G499" i="3"/>
  <c r="G497" i="3"/>
  <c r="G495" i="3"/>
  <c r="BQ507" i="3"/>
  <c r="BL507" i="3" s="1"/>
  <c r="AZ507" i="3" s="1"/>
  <c r="BQ505" i="3"/>
  <c r="BL505" i="3"/>
  <c r="BQ503" i="3"/>
  <c r="BL503" i="3" s="1"/>
  <c r="AZ503" i="3"/>
  <c r="BQ501" i="3"/>
  <c r="BL501" i="3" s="1"/>
  <c r="AZ501" i="3" s="1"/>
  <c r="BQ499" i="3"/>
  <c r="BL499" i="3"/>
  <c r="AZ499" i="3" s="1"/>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c r="E125" i="33"/>
  <c r="F125" i="33" s="1"/>
  <c r="G125" i="33" s="1"/>
  <c r="H43" i="33"/>
  <c r="AB43" i="33" s="1"/>
  <c r="H17" i="37"/>
  <c r="U17" i="37" s="1"/>
  <c r="AB27" i="37"/>
  <c r="AA36" i="39"/>
  <c r="F39" i="33"/>
  <c r="AA39" i="33" s="1"/>
  <c r="E123" i="33"/>
  <c r="F123" i="33" s="1"/>
  <c r="F42" i="33"/>
  <c r="AA42" i="33" s="1"/>
  <c r="H28" i="34"/>
  <c r="AB28" i="34" s="1"/>
  <c r="F14" i="36"/>
  <c r="AA14" i="36" s="1"/>
  <c r="F22" i="36"/>
  <c r="S22" i="36"/>
  <c r="F26" i="36"/>
  <c r="S26" i="36" s="1"/>
  <c r="H27" i="34"/>
  <c r="AB27" i="34" s="1"/>
  <c r="H35" i="34"/>
  <c r="U35" i="34" s="1"/>
  <c r="F41" i="34"/>
  <c r="S41" i="34" s="1"/>
  <c r="H41" i="34"/>
  <c r="U41" i="34" s="1"/>
  <c r="J41" i="34"/>
  <c r="AC41" i="34"/>
  <c r="F10" i="35"/>
  <c r="S10" i="35" s="1"/>
  <c r="F24" i="35"/>
  <c r="AA24" i="35"/>
  <c r="H24" i="35"/>
  <c r="AB24" i="35" s="1"/>
  <c r="H23" i="37"/>
  <c r="AB23" i="37"/>
  <c r="J32" i="37"/>
  <c r="AC32" i="37" s="1"/>
  <c r="F36" i="37"/>
  <c r="AA36" i="37"/>
  <c r="F37" i="37"/>
  <c r="F31" i="40"/>
  <c r="AA31" i="40"/>
  <c r="H31" i="40"/>
  <c r="U31" i="40" s="1"/>
  <c r="F32" i="40"/>
  <c r="S32" i="40"/>
  <c r="H32" i="40"/>
  <c r="J36" i="40"/>
  <c r="W36" i="40"/>
  <c r="AA41" i="34"/>
  <c r="H19" i="37"/>
  <c r="AB19" i="37" s="1"/>
  <c r="G123" i="33"/>
  <c r="H123" i="33" s="1"/>
  <c r="I123" i="33" s="1"/>
  <c r="J123" i="33" s="1"/>
  <c r="K123" i="33" s="1"/>
  <c r="L123" i="33" s="1"/>
  <c r="M123" i="33" s="1"/>
  <c r="H42" i="33"/>
  <c r="AB42" i="33"/>
  <c r="J43" i="33"/>
  <c r="W43" i="33" s="1"/>
  <c r="S28" i="31"/>
  <c r="S27" i="31"/>
  <c r="S26" i="31"/>
  <c r="U14" i="40"/>
  <c r="AA12" i="35"/>
  <c r="W14" i="37"/>
  <c r="AB28" i="37"/>
  <c r="U33" i="37"/>
  <c r="U39" i="37"/>
  <c r="W26" i="37"/>
  <c r="U26" i="37"/>
  <c r="AB13" i="34"/>
  <c r="AA13" i="33"/>
  <c r="W44" i="33"/>
  <c r="U11" i="33"/>
  <c r="U19" i="21"/>
  <c r="W44" i="21"/>
  <c r="U26" i="21"/>
  <c r="AC46" i="21"/>
  <c r="U12" i="21"/>
  <c r="AB38" i="21"/>
  <c r="F43" i="33"/>
  <c r="AA43" i="33" s="1"/>
  <c r="W15" i="34"/>
  <c r="W16" i="35"/>
  <c r="G107" i="37"/>
  <c r="H107" i="37"/>
  <c r="I107" i="37"/>
  <c r="J107" i="37" s="1"/>
  <c r="K107" i="37" s="1"/>
  <c r="L107" i="37" s="1"/>
  <c r="M107" i="37"/>
  <c r="H37" i="21"/>
  <c r="U37" i="21" s="1"/>
  <c r="S42" i="21"/>
  <c r="H19" i="34"/>
  <c r="AB19" i="34" s="1"/>
  <c r="F36" i="35"/>
  <c r="S36" i="35" s="1"/>
  <c r="J9" i="37"/>
  <c r="W9" i="37" s="1"/>
  <c r="H9" i="37"/>
  <c r="U9" i="37" s="1"/>
  <c r="F9" i="37"/>
  <c r="S9" i="37" s="1"/>
  <c r="F12" i="37"/>
  <c r="S12" i="37" s="1"/>
  <c r="E71" i="37"/>
  <c r="F71" i="37" s="1"/>
  <c r="G71" i="37" s="1"/>
  <c r="F15" i="37"/>
  <c r="AA15" i="37"/>
  <c r="E94" i="37"/>
  <c r="F31" i="37"/>
  <c r="S31" i="37" s="1"/>
  <c r="J42" i="39"/>
  <c r="AC42" i="39" s="1"/>
  <c r="H21" i="40"/>
  <c r="AB21" i="40" s="1"/>
  <c r="F94" i="37"/>
  <c r="G94" i="37" s="1"/>
  <c r="H94" i="37" s="1"/>
  <c r="I94" i="37" s="1"/>
  <c r="J94" i="37" s="1"/>
  <c r="K94" i="37" s="1"/>
  <c r="L94" i="37" s="1"/>
  <c r="M94" i="37" s="1"/>
  <c r="H31" i="37"/>
  <c r="U31" i="37" s="1"/>
  <c r="J15" i="37"/>
  <c r="AT6" i="3"/>
  <c r="AA25" i="21"/>
  <c r="H19" i="40"/>
  <c r="U19" i="40" s="1"/>
  <c r="F88" i="40"/>
  <c r="G88" i="40"/>
  <c r="F19" i="40"/>
  <c r="S19" i="40" s="1"/>
  <c r="S14" i="40"/>
  <c r="AC13" i="40"/>
  <c r="AB33" i="40"/>
  <c r="W23" i="39"/>
  <c r="AC43" i="39"/>
  <c r="W43" i="39"/>
  <c r="U45" i="39"/>
  <c r="AB45"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F11" i="39"/>
  <c r="AA11" i="39"/>
  <c r="S11" i="39"/>
  <c r="G4" i="4"/>
  <c r="I4" i="4"/>
  <c r="A2" i="9"/>
  <c r="F61" i="43"/>
  <c r="H64" i="43" s="1"/>
  <c r="AZ20" i="3"/>
  <c r="AZ24" i="3"/>
  <c r="AZ28" i="3"/>
  <c r="BL549" i="3"/>
  <c r="AZ502" i="3"/>
  <c r="AZ514" i="3"/>
  <c r="AZ546" i="3"/>
  <c r="G546" i="3"/>
  <c r="G524" i="3"/>
  <c r="G303" i="3"/>
  <c r="BL304" i="3"/>
  <c r="G305" i="3"/>
  <c r="BL306" i="3"/>
  <c r="BA308" i="3"/>
  <c r="AZ308" i="3"/>
  <c r="BA309" i="3"/>
  <c r="BL309" i="3"/>
  <c r="G310" i="3"/>
  <c r="BA311" i="3"/>
  <c r="G319" i="3"/>
  <c r="BL320" i="3"/>
  <c r="G321" i="3"/>
  <c r="BL322" i="3"/>
  <c r="AZ322" i="3" s="1"/>
  <c r="BA324" i="3"/>
  <c r="AZ324" i="3" s="1"/>
  <c r="BA325" i="3"/>
  <c r="BL325" i="3"/>
  <c r="G326" i="3"/>
  <c r="BA327" i="3"/>
  <c r="G335" i="3"/>
  <c r="BL336" i="3"/>
  <c r="G337" i="3"/>
  <c r="BL338" i="3"/>
  <c r="BA340" i="3"/>
  <c r="AZ340" i="3"/>
  <c r="BA341" i="3"/>
  <c r="BL341" i="3"/>
  <c r="BA343" i="3"/>
  <c r="BA345" i="3"/>
  <c r="BL355" i="3"/>
  <c r="G356" i="3"/>
  <c r="BL357" i="3"/>
  <c r="BA359" i="3"/>
  <c r="AZ359" i="3" s="1"/>
  <c r="BA360" i="3"/>
  <c r="BL360" i="3"/>
  <c r="G361" i="3"/>
  <c r="BA362" i="3"/>
  <c r="AZ362" i="3" s="1"/>
  <c r="G370" i="3"/>
  <c r="BL371" i="3"/>
  <c r="G372" i="3"/>
  <c r="BL373" i="3"/>
  <c r="BA375" i="3"/>
  <c r="AZ375" i="3"/>
  <c r="BA376" i="3"/>
  <c r="AZ376" i="3" s="1"/>
  <c r="BL376" i="3"/>
  <c r="G377" i="3"/>
  <c r="BA378" i="3"/>
  <c r="AZ378" i="3" s="1"/>
  <c r="BL378" i="3"/>
  <c r="G379" i="3"/>
  <c r="BA380" i="3"/>
  <c r="AZ380" i="3" s="1"/>
  <c r="G388" i="3"/>
  <c r="BL389" i="3"/>
  <c r="G390" i="3"/>
  <c r="BL391" i="3"/>
  <c r="BA393" i="3"/>
  <c r="AZ393" i="3" s="1"/>
  <c r="BA394" i="3"/>
  <c r="BL394" i="3"/>
  <c r="AZ394" i="3" s="1"/>
  <c r="G113" i="3"/>
  <c r="BA115" i="3"/>
  <c r="AZ115" i="3"/>
  <c r="BL116" i="3"/>
  <c r="G117" i="3"/>
  <c r="BA119" i="3"/>
  <c r="AZ119" i="3"/>
  <c r="BL120" i="3"/>
  <c r="G121" i="3"/>
  <c r="BA123" i="3"/>
  <c r="AZ123" i="3"/>
  <c r="BL124" i="3"/>
  <c r="AZ124" i="3" s="1"/>
  <c r="G125" i="3"/>
  <c r="BA127" i="3"/>
  <c r="AZ127" i="3" s="1"/>
  <c r="BL128" i="3"/>
  <c r="G129" i="3"/>
  <c r="BA131" i="3"/>
  <c r="AZ131" i="3" s="1"/>
  <c r="BL132" i="3"/>
  <c r="AZ132" i="3"/>
  <c r="G133" i="3"/>
  <c r="BA135" i="3"/>
  <c r="AZ135" i="3" s="1"/>
  <c r="BL136" i="3"/>
  <c r="AZ136" i="3" s="1"/>
  <c r="G137" i="3"/>
  <c r="BA139" i="3"/>
  <c r="AZ139" i="3" s="1"/>
  <c r="BL140" i="3"/>
  <c r="AZ140" i="3"/>
  <c r="G141" i="3"/>
  <c r="BA143" i="3"/>
  <c r="AZ143" i="3"/>
  <c r="BL144" i="3"/>
  <c r="G145" i="3"/>
  <c r="BA147" i="3"/>
  <c r="AZ147" i="3"/>
  <c r="BL148" i="3"/>
  <c r="AZ148" i="3" s="1"/>
  <c r="G149" i="3"/>
  <c r="BA151" i="3"/>
  <c r="AZ151" i="3"/>
  <c r="BL152" i="3"/>
  <c r="G153" i="3"/>
  <c r="BA155" i="3"/>
  <c r="AZ155" i="3"/>
  <c r="BL156" i="3"/>
  <c r="AZ156" i="3" s="1"/>
  <c r="G157" i="3"/>
  <c r="BA159" i="3"/>
  <c r="AZ159" i="3" s="1"/>
  <c r="BL160" i="3"/>
  <c r="G161" i="3"/>
  <c r="BA163" i="3"/>
  <c r="AZ163" i="3" s="1"/>
  <c r="BL164" i="3"/>
  <c r="AZ164" i="3"/>
  <c r="G165" i="3"/>
  <c r="BA167" i="3"/>
  <c r="AZ167" i="3" s="1"/>
  <c r="BL168" i="3"/>
  <c r="AZ168" i="3" s="1"/>
  <c r="G169" i="3"/>
  <c r="BA171" i="3"/>
  <c r="AZ171" i="3" s="1"/>
  <c r="BL172" i="3"/>
  <c r="AZ172" i="3"/>
  <c r="G173" i="3"/>
  <c r="BA175" i="3"/>
  <c r="AZ175" i="3"/>
  <c r="BL176" i="3"/>
  <c r="AZ176" i="3" s="1"/>
  <c r="G177" i="3"/>
  <c r="BA179" i="3"/>
  <c r="AZ179" i="3"/>
  <c r="BL180" i="3"/>
  <c r="AZ180" i="3" s="1"/>
  <c r="G181" i="3"/>
  <c r="BA183" i="3"/>
  <c r="AZ183" i="3"/>
  <c r="BL184" i="3"/>
  <c r="G185" i="3"/>
  <c r="BA187" i="3"/>
  <c r="AZ187" i="3"/>
  <c r="BL188" i="3"/>
  <c r="AZ188" i="3" s="1"/>
  <c r="G189" i="3"/>
  <c r="BA191" i="3"/>
  <c r="AZ191" i="3" s="1"/>
  <c r="BL192" i="3"/>
  <c r="G193" i="3"/>
  <c r="BA195" i="3"/>
  <c r="AZ195" i="3" s="1"/>
  <c r="BL196" i="3"/>
  <c r="AZ196" i="3"/>
  <c r="G197" i="3"/>
  <c r="BA199" i="3"/>
  <c r="AZ199" i="3" s="1"/>
  <c r="BL200" i="3"/>
  <c r="AZ200" i="3" s="1"/>
  <c r="G201" i="3"/>
  <c r="BA203" i="3"/>
  <c r="AZ203" i="3" s="1"/>
  <c r="BL204" i="3"/>
  <c r="AZ204" i="3"/>
  <c r="AZ39" i="3"/>
  <c r="AZ43" i="3"/>
  <c r="AZ51" i="3"/>
  <c r="AZ55" i="3"/>
  <c r="AZ63" i="3"/>
  <c r="AZ152" i="3"/>
  <c r="AZ160" i="3"/>
  <c r="AZ184" i="3"/>
  <c r="AZ192" i="3"/>
  <c r="AZ97" i="3"/>
  <c r="AZ105" i="3"/>
  <c r="AZ109" i="3"/>
  <c r="AZ120" i="3"/>
  <c r="G534" i="3"/>
  <c r="G530" i="3"/>
  <c r="G522" i="3"/>
  <c r="G516" i="3"/>
  <c r="G512" i="3"/>
  <c r="G506" i="3"/>
  <c r="G498" i="3"/>
  <c r="G494" i="3"/>
  <c r="G16" i="3"/>
  <c r="G15" i="3"/>
  <c r="BA304" i="3"/>
  <c r="AZ304" i="3" s="1"/>
  <c r="BA305" i="3"/>
  <c r="AZ305" i="3"/>
  <c r="BL305" i="3"/>
  <c r="G306" i="3"/>
  <c r="G309" i="3"/>
  <c r="BL310" i="3"/>
  <c r="BA312" i="3"/>
  <c r="AZ312" i="3" s="1"/>
  <c r="BA313" i="3"/>
  <c r="AZ313" i="3" s="1"/>
  <c r="BL313" i="3"/>
  <c r="G314" i="3"/>
  <c r="G317" i="3"/>
  <c r="BL318" i="3"/>
  <c r="AZ318" i="3" s="1"/>
  <c r="BA320" i="3"/>
  <c r="AZ320" i="3" s="1"/>
  <c r="BA321" i="3"/>
  <c r="AZ321" i="3"/>
  <c r="BL321" i="3"/>
  <c r="G322" i="3"/>
  <c r="G325" i="3"/>
  <c r="BL326" i="3"/>
  <c r="BA328" i="3"/>
  <c r="AZ328" i="3" s="1"/>
  <c r="BA329" i="3"/>
  <c r="BL329" i="3"/>
  <c r="G330" i="3"/>
  <c r="G333" i="3"/>
  <c r="BL334" i="3"/>
  <c r="AZ334" i="3" s="1"/>
  <c r="BA336" i="3"/>
  <c r="BA337" i="3"/>
  <c r="AZ337" i="3"/>
  <c r="BL337" i="3"/>
  <c r="G338" i="3"/>
  <c r="G341" i="3"/>
  <c r="BA342" i="3"/>
  <c r="AZ342" i="3" s="1"/>
  <c r="BL342" i="3"/>
  <c r="BA344" i="3"/>
  <c r="BL344" i="3"/>
  <c r="BA346" i="3"/>
  <c r="AZ346" i="3"/>
  <c r="BA347" i="3"/>
  <c r="AZ347" i="3" s="1"/>
  <c r="BL347" i="3"/>
  <c r="G350" i="3"/>
  <c r="BA351" i="3"/>
  <c r="AZ351" i="3" s="1"/>
  <c r="BL351" i="3"/>
  <c r="G352" i="3"/>
  <c r="G354" i="3"/>
  <c r="BA355" i="3"/>
  <c r="AZ355" i="3" s="1"/>
  <c r="BA356" i="3"/>
  <c r="BL356" i="3"/>
  <c r="AZ356" i="3" s="1"/>
  <c r="G357" i="3"/>
  <c r="G360" i="3"/>
  <c r="BL361" i="3"/>
  <c r="BA363" i="3"/>
  <c r="AZ363" i="3" s="1"/>
  <c r="BA364" i="3"/>
  <c r="BL364" i="3"/>
  <c r="AZ364" i="3" s="1"/>
  <c r="G365" i="3"/>
  <c r="G368" i="3"/>
  <c r="BL369" i="3"/>
  <c r="BA371" i="3"/>
  <c r="AZ371" i="3"/>
  <c r="BA372" i="3"/>
  <c r="AZ372" i="3" s="1"/>
  <c r="BL372" i="3"/>
  <c r="G373" i="3"/>
  <c r="G376" i="3"/>
  <c r="BL377" i="3"/>
  <c r="BL379" i="3"/>
  <c r="BA381" i="3"/>
  <c r="AZ381" i="3" s="1"/>
  <c r="BA382" i="3"/>
  <c r="BL382" i="3"/>
  <c r="G383" i="3"/>
  <c r="G386" i="3"/>
  <c r="BL387" i="3"/>
  <c r="BA389" i="3"/>
  <c r="AZ389" i="3"/>
  <c r="BA390" i="3"/>
  <c r="BL390" i="3"/>
  <c r="G391" i="3"/>
  <c r="G394" i="3"/>
  <c r="AZ146" i="3"/>
  <c r="AZ154" i="3"/>
  <c r="AZ158" i="3"/>
  <c r="AZ162" i="3"/>
  <c r="AZ166" i="3"/>
  <c r="AZ170" i="3"/>
  <c r="AZ174" i="3"/>
  <c r="AZ178" i="3"/>
  <c r="AZ182" i="3"/>
  <c r="AZ186" i="3"/>
  <c r="AZ190" i="3"/>
  <c r="AZ194" i="3"/>
  <c r="AZ198" i="3"/>
  <c r="AZ202" i="3"/>
  <c r="AZ206" i="3"/>
  <c r="AZ500" i="3"/>
  <c r="BA16" i="3"/>
  <c r="AZ16" i="3" s="1"/>
  <c r="BL303" i="3"/>
  <c r="G304" i="3"/>
  <c r="BA306" i="3"/>
  <c r="AZ306" i="3" s="1"/>
  <c r="BL307" i="3"/>
  <c r="AZ307" i="3"/>
  <c r="G308" i="3"/>
  <c r="BA310" i="3"/>
  <c r="BL311" i="3"/>
  <c r="AZ311" i="3"/>
  <c r="G312" i="3"/>
  <c r="BA314" i="3"/>
  <c r="AZ314" i="3"/>
  <c r="BL315" i="3"/>
  <c r="AZ315" i="3" s="1"/>
  <c r="G316" i="3"/>
  <c r="BA318" i="3"/>
  <c r="BL319" i="3"/>
  <c r="G320" i="3"/>
  <c r="BA322" i="3"/>
  <c r="BL323" i="3"/>
  <c r="AZ323" i="3" s="1"/>
  <c r="G324" i="3"/>
  <c r="BA326" i="3"/>
  <c r="BL327" i="3"/>
  <c r="AZ327" i="3"/>
  <c r="G328" i="3"/>
  <c r="BA330" i="3"/>
  <c r="AZ330" i="3" s="1"/>
  <c r="BL331" i="3"/>
  <c r="AZ331" i="3"/>
  <c r="G332" i="3"/>
  <c r="BA334" i="3"/>
  <c r="BL335" i="3"/>
  <c r="AZ335" i="3" s="1"/>
  <c r="G336" i="3"/>
  <c r="BA338" i="3"/>
  <c r="AZ338" i="3"/>
  <c r="BL339" i="3"/>
  <c r="AZ339" i="3" s="1"/>
  <c r="G340" i="3"/>
  <c r="BL343" i="3"/>
  <c r="G344" i="3"/>
  <c r="G348" i="3"/>
  <c r="G355" i="3"/>
  <c r="AZ218" i="3"/>
  <c r="AZ222" i="3"/>
  <c r="AZ303" i="3"/>
  <c r="AZ319" i="3"/>
  <c r="G342" i="3"/>
  <c r="BL345" i="3"/>
  <c r="AZ345" i="3"/>
  <c r="G346" i="3"/>
  <c r="AZ348" i="3"/>
  <c r="BL349" i="3"/>
  <c r="AZ349" i="3"/>
  <c r="BL352" i="3"/>
  <c r="AZ352" i="3" s="1"/>
  <c r="G353" i="3"/>
  <c r="BA357" i="3"/>
  <c r="AZ357" i="3"/>
  <c r="BL358" i="3"/>
  <c r="AZ358" i="3" s="1"/>
  <c r="G359" i="3"/>
  <c r="BA361" i="3"/>
  <c r="AZ361" i="3" s="1"/>
  <c r="BL362" i="3"/>
  <c r="G363" i="3"/>
  <c r="BA365" i="3"/>
  <c r="AZ365" i="3" s="1"/>
  <c r="BL366" i="3"/>
  <c r="AZ366" i="3"/>
  <c r="G367" i="3"/>
  <c r="BA369" i="3"/>
  <c r="AZ369" i="3" s="1"/>
  <c r="BL370" i="3"/>
  <c r="G371" i="3"/>
  <c r="BA373" i="3"/>
  <c r="AZ373" i="3" s="1"/>
  <c r="BL374" i="3"/>
  <c r="AZ374" i="3"/>
  <c r="G375" i="3"/>
  <c r="BA377" i="3"/>
  <c r="AZ377" i="3"/>
  <c r="AZ229" i="3"/>
  <c r="AZ233" i="3"/>
  <c r="AZ237" i="3"/>
  <c r="AZ241" i="3"/>
  <c r="AZ249" i="3"/>
  <c r="AZ253" i="3"/>
  <c r="AZ257" i="3"/>
  <c r="AZ261" i="3"/>
  <c r="AZ273" i="3"/>
  <c r="AZ370" i="3"/>
  <c r="BA379" i="3"/>
  <c r="AZ379" i="3" s="1"/>
  <c r="BL380" i="3"/>
  <c r="G381" i="3"/>
  <c r="BA383" i="3"/>
  <c r="AZ383" i="3" s="1"/>
  <c r="BL384" i="3"/>
  <c r="G385" i="3"/>
  <c r="BA387" i="3"/>
  <c r="AZ387" i="3" s="1"/>
  <c r="BL388" i="3"/>
  <c r="AZ388" i="3" s="1"/>
  <c r="G389" i="3"/>
  <c r="BA391" i="3"/>
  <c r="BL392" i="3"/>
  <c r="AZ392" i="3" s="1"/>
  <c r="G393" i="3"/>
  <c r="AZ263" i="3"/>
  <c r="AZ279" i="3"/>
  <c r="AZ287" i="3"/>
  <c r="AZ291" i="3"/>
  <c r="AZ295" i="3"/>
  <c r="AZ309" i="3"/>
  <c r="AZ317" i="3"/>
  <c r="AZ333" i="3"/>
  <c r="AZ341" i="3"/>
  <c r="AZ549" i="3"/>
  <c r="AZ506" i="3"/>
  <c r="AZ496" i="3"/>
  <c r="G548" i="3"/>
  <c r="G538" i="3"/>
  <c r="G520" i="3"/>
  <c r="G502" i="3"/>
  <c r="AZ343" i="3"/>
  <c r="G17" i="3"/>
  <c r="BA17" i="3"/>
  <c r="AZ350" i="3"/>
  <c r="AZ360" i="3"/>
  <c r="AZ368" i="3"/>
  <c r="BA15" i="3"/>
  <c r="AZ15" i="3"/>
  <c r="AZ509" i="3"/>
  <c r="G509" i="3"/>
  <c r="BL493" i="3"/>
  <c r="AZ493" i="3" s="1"/>
  <c r="AZ491" i="3"/>
  <c r="AZ390" i="3"/>
  <c r="AZ382" i="3"/>
  <c r="U36" i="40"/>
  <c r="F83" i="43"/>
  <c r="H85" i="43" s="1"/>
  <c r="F50" i="43"/>
  <c r="H54" i="43" s="1"/>
  <c r="F72" i="43"/>
  <c r="H75" i="43" s="1"/>
  <c r="U17" i="39"/>
  <c r="S14" i="35"/>
  <c r="U43" i="21"/>
  <c r="AC35" i="21"/>
  <c r="G8" i="1"/>
  <c r="G10" i="1"/>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J20" i="36"/>
  <c r="W20" i="36"/>
  <c r="W24" i="36"/>
  <c r="J27" i="36"/>
  <c r="W27" i="36" s="1"/>
  <c r="AB25" i="37"/>
  <c r="AC33" i="40"/>
  <c r="F111" i="40"/>
  <c r="G111" i="40" s="1"/>
  <c r="H111" i="40" s="1"/>
  <c r="I111" i="40" s="1"/>
  <c r="J111" i="40" s="1"/>
  <c r="K111" i="40" s="1"/>
  <c r="L111" i="40" s="1"/>
  <c r="M111" i="40" s="1"/>
  <c r="H35" i="40"/>
  <c r="AC29" i="35"/>
  <c r="W29" i="35"/>
  <c r="H35" i="37"/>
  <c r="AC14" i="35"/>
  <c r="H20" i="35"/>
  <c r="U20" i="35"/>
  <c r="F20" i="35"/>
  <c r="AA20" i="35" s="1"/>
  <c r="AB23" i="35"/>
  <c r="AB29" i="36"/>
  <c r="U29" i="36"/>
  <c r="H32" i="37"/>
  <c r="AB32" i="37"/>
  <c r="F96" i="37"/>
  <c r="G96" i="37" s="1"/>
  <c r="H96" i="37" s="1"/>
  <c r="I96" i="37" s="1"/>
  <c r="H27" i="40"/>
  <c r="U27" i="40" s="1"/>
  <c r="J27" i="40"/>
  <c r="W27" i="40" s="1"/>
  <c r="AC27" i="40"/>
  <c r="F27" i="40"/>
  <c r="S27" i="40" s="1"/>
  <c r="J30" i="40"/>
  <c r="AC30" i="40"/>
  <c r="F30" i="40"/>
  <c r="AA30" i="40" s="1"/>
  <c r="AC21" i="40"/>
  <c r="S31" i="39"/>
  <c r="S11" i="40"/>
  <c r="E98" i="40"/>
  <c r="F98" i="40"/>
  <c r="G98" i="40"/>
  <c r="H98" i="40" s="1"/>
  <c r="I98" i="40" s="1"/>
  <c r="J98" i="40" s="1"/>
  <c r="K98" i="40" s="1"/>
  <c r="L98" i="40" s="1"/>
  <c r="M98" i="40" s="1"/>
  <c r="F10" i="33"/>
  <c r="S10" i="33" s="1"/>
  <c r="F34" i="33"/>
  <c r="H34" i="33"/>
  <c r="U34" i="33" s="1"/>
  <c r="F35" i="33"/>
  <c r="F39" i="34"/>
  <c r="AA39" i="34" s="1"/>
  <c r="J39" i="34"/>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43" i="3"/>
  <c r="AZ251" i="3"/>
  <c r="AZ256" i="3"/>
  <c r="AZ268" i="3"/>
  <c r="AZ271" i="3"/>
  <c r="AZ280" i="3"/>
  <c r="AZ117" i="3"/>
  <c r="AZ133" i="3"/>
  <c r="AZ21" i="3"/>
  <c r="AZ29" i="3"/>
  <c r="AZ31" i="3"/>
  <c r="AZ33" i="3"/>
  <c r="AZ42" i="3"/>
  <c r="AZ45" i="3"/>
  <c r="AZ50" i="3"/>
  <c r="AZ53" i="3"/>
  <c r="AZ94" i="3"/>
  <c r="AZ102" i="3"/>
  <c r="AZ110" i="3"/>
  <c r="F23" i="39"/>
  <c r="AA23" i="39" s="1"/>
  <c r="H27" i="36"/>
  <c r="U27" i="36" s="1"/>
  <c r="F27" i="36"/>
  <c r="AA27" i="36" s="1"/>
  <c r="H33" i="34"/>
  <c r="U33" i="34" s="1"/>
  <c r="F32" i="37"/>
  <c r="AA32" i="37"/>
  <c r="J96" i="37"/>
  <c r="K96" i="37" s="1"/>
  <c r="L96" i="37" s="1"/>
  <c r="M96" i="37" s="1"/>
  <c r="F20" i="36"/>
  <c r="AA20" i="36" s="1"/>
  <c r="J33" i="34"/>
  <c r="AC33" i="34"/>
  <c r="H23" i="39"/>
  <c r="U23" i="39" s="1"/>
  <c r="D48" i="9"/>
  <c r="M52" i="9" s="1"/>
  <c r="K9" i="1"/>
  <c r="M9" i="1" s="1"/>
  <c r="D93" i="9"/>
  <c r="K6" i="1"/>
  <c r="AP6" i="1" s="1"/>
  <c r="W27" i="34"/>
  <c r="AC27" i="34"/>
  <c r="AB34" i="36"/>
  <c r="U34" i="36"/>
  <c r="AB33" i="36"/>
  <c r="U33" i="36"/>
  <c r="AC39" i="40"/>
  <c r="W39" i="40"/>
  <c r="AZ401" i="3"/>
  <c r="AZ412" i="3"/>
  <c r="AZ417" i="3"/>
  <c r="AZ428" i="3"/>
  <c r="AZ433" i="3"/>
  <c r="AZ465" i="3"/>
  <c r="W12" i="33"/>
  <c r="AC12" i="33"/>
  <c r="AA32" i="36"/>
  <c r="S32" i="36"/>
  <c r="AZ550" i="3"/>
  <c r="AZ408" i="3"/>
  <c r="AZ437" i="3"/>
  <c r="AZ441" i="3"/>
  <c r="AZ457" i="3"/>
  <c r="AZ473" i="3"/>
  <c r="AZ490" i="3"/>
  <c r="BL14" i="3"/>
  <c r="AZ266" i="3"/>
  <c r="U30" i="33"/>
  <c r="AC13" i="34"/>
  <c r="W28" i="37"/>
  <c r="S19" i="39"/>
  <c r="F12" i="33"/>
  <c r="F39" i="40"/>
  <c r="BA14" i="3"/>
  <c r="AZ14" i="3"/>
  <c r="AZ367" i="3"/>
  <c r="AZ213" i="3"/>
  <c r="AZ224" i="3"/>
  <c r="AZ234" i="3"/>
  <c r="AZ238" i="3"/>
  <c r="AZ254" i="3"/>
  <c r="AZ281" i="3"/>
  <c r="AZ286" i="3"/>
  <c r="AZ149" i="3"/>
  <c r="AZ165" i="3"/>
  <c r="AZ173" i="3"/>
  <c r="AZ181" i="3"/>
  <c r="AZ189" i="3"/>
  <c r="AZ197" i="3"/>
  <c r="AZ19" i="3"/>
  <c r="AZ26" i="3"/>
  <c r="AZ35" i="3"/>
  <c r="AZ41" i="3"/>
  <c r="B12" i="1"/>
  <c r="E12" i="1" s="1"/>
  <c r="B10" i="1"/>
  <c r="E10" i="1" s="1"/>
  <c r="K12" i="1"/>
  <c r="M12" i="1" s="1"/>
  <c r="S13" i="1"/>
  <c r="AR13" i="1" s="1"/>
  <c r="R13" i="1"/>
  <c r="J51" i="67"/>
  <c r="C42" i="1"/>
  <c r="C24" i="12" s="1"/>
  <c r="B41" i="1"/>
  <c r="F48" i="9" s="1"/>
  <c r="O52" i="9" s="1"/>
  <c r="AB37"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S23" i="36"/>
  <c r="U13" i="36"/>
  <c r="S33" i="36"/>
  <c r="AA26" i="36"/>
  <c r="AA34" i="36"/>
  <c r="AC26" i="36"/>
  <c r="AA22" i="36"/>
  <c r="W14" i="36"/>
  <c r="AB14" i="36"/>
  <c r="U22" i="36"/>
  <c r="S16" i="36"/>
  <c r="AA25" i="36"/>
  <c r="S24" i="36"/>
  <c r="U24" i="36"/>
  <c r="U23" i="36"/>
  <c r="U16" i="36"/>
  <c r="S14" i="36"/>
  <c r="S23" i="35"/>
  <c r="W24" i="35"/>
  <c r="AB13" i="35"/>
  <c r="U29" i="35"/>
  <c r="U28" i="35"/>
  <c r="AB27" i="35"/>
  <c r="U32" i="35"/>
  <c r="AA33" i="35"/>
  <c r="AC30" i="35"/>
  <c r="S32" i="35"/>
  <c r="AA36" i="35"/>
  <c r="S28" i="35"/>
  <c r="AB16" i="35"/>
  <c r="U22" i="35"/>
  <c r="U14" i="35"/>
  <c r="W9" i="35"/>
  <c r="AC12" i="35"/>
  <c r="W13" i="35"/>
  <c r="F9" i="35"/>
  <c r="S9" i="35" s="1"/>
  <c r="H9" i="35"/>
  <c r="U9" i="35" s="1"/>
  <c r="AB40" i="37"/>
  <c r="S25" i="37"/>
  <c r="W27" i="37"/>
  <c r="U29" i="37"/>
  <c r="S32" i="37"/>
  <c r="AB31" i="37"/>
  <c r="W30" i="37"/>
  <c r="S36" i="37"/>
  <c r="AA38" i="37"/>
  <c r="U32" i="37"/>
  <c r="AC35" i="37"/>
  <c r="W39" i="37"/>
  <c r="S30" i="37"/>
  <c r="J17" i="37"/>
  <c r="W17" i="37"/>
  <c r="G73" i="37"/>
  <c r="F17" i="37"/>
  <c r="AA17" i="37"/>
  <c r="AB17" i="37"/>
  <c r="F75" i="37"/>
  <c r="F19" i="37"/>
  <c r="F79" i="37"/>
  <c r="F23" i="37"/>
  <c r="U23" i="37"/>
  <c r="U15" i="37"/>
  <c r="AC13" i="37"/>
  <c r="AA13" i="37"/>
  <c r="H10" i="37"/>
  <c r="AB10" i="37" s="1"/>
  <c r="F63" i="37"/>
  <c r="G63" i="37" s="1"/>
  <c r="F11" i="37"/>
  <c r="S11" i="37" s="1"/>
  <c r="S27" i="34"/>
  <c r="AB8" i="34"/>
  <c r="AA33" i="34"/>
  <c r="U43" i="34"/>
  <c r="W41" i="34"/>
  <c r="AB41" i="34"/>
  <c r="U28" i="34"/>
  <c r="U27" i="34"/>
  <c r="S13" i="34"/>
  <c r="H10" i="34"/>
  <c r="AB10" i="34" s="1"/>
  <c r="F11" i="34"/>
  <c r="S11" i="34" s="1"/>
  <c r="F70" i="34"/>
  <c r="W42" i="33"/>
  <c r="W38" i="33"/>
  <c r="H41" i="33"/>
  <c r="AB41" i="33" s="1"/>
  <c r="F121" i="33"/>
  <c r="G121" i="33"/>
  <c r="H121" i="33" s="1"/>
  <c r="I121" i="33" s="1"/>
  <c r="J121" i="33" s="1"/>
  <c r="K121" i="33" s="1"/>
  <c r="L121" i="33" s="1"/>
  <c r="M121" i="33" s="1"/>
  <c r="U42" i="33"/>
  <c r="S42" i="33"/>
  <c r="F36" i="33"/>
  <c r="J35" i="33"/>
  <c r="W35" i="33" s="1"/>
  <c r="S46" i="33"/>
  <c r="H27" i="33"/>
  <c r="U27" i="33" s="1"/>
  <c r="J23" i="33"/>
  <c r="W23" i="33" s="1"/>
  <c r="F85" i="33"/>
  <c r="H23" i="33"/>
  <c r="U23" i="33" s="1"/>
  <c r="F19" i="33"/>
  <c r="AA19" i="33" s="1"/>
  <c r="J17" i="33"/>
  <c r="W17" i="33" s="1"/>
  <c r="F79" i="33"/>
  <c r="J10" i="33"/>
  <c r="W10" i="33" s="1"/>
  <c r="H10" i="33"/>
  <c r="U10" i="33" s="1"/>
  <c r="AC11" i="33"/>
  <c r="W43" i="21"/>
  <c r="W36" i="21"/>
  <c r="W41" i="21"/>
  <c r="AB39" i="21"/>
  <c r="AA43" i="21"/>
  <c r="S39" i="21"/>
  <c r="AA36" i="21"/>
  <c r="AC40" i="21"/>
  <c r="J15" i="21"/>
  <c r="AC15" i="21" s="1"/>
  <c r="W15" i="21"/>
  <c r="F77" i="21"/>
  <c r="G77" i="21" s="1"/>
  <c r="F23" i="21"/>
  <c r="S23" i="21"/>
  <c r="E85" i="21"/>
  <c r="AA14" i="21"/>
  <c r="C18" i="9"/>
  <c r="D18" i="9" s="1"/>
  <c r="F34" i="67"/>
  <c r="F62" i="67" s="1"/>
  <c r="M20" i="67"/>
  <c r="F34" i="15"/>
  <c r="F62" i="15" s="1"/>
  <c r="BA13" i="3"/>
  <c r="BL17" i="3"/>
  <c r="AZ17" i="3"/>
  <c r="BL13" i="3"/>
  <c r="J56" i="9"/>
  <c r="J57" i="9" s="1"/>
  <c r="J59" i="9" s="1"/>
  <c r="J61" i="9" s="1"/>
  <c r="A24" i="51"/>
  <c r="B18" i="72"/>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S36" i="40"/>
  <c r="W37"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S9" i="36"/>
  <c r="AB20" i="35"/>
  <c r="AC25" i="35"/>
  <c r="U25" i="35"/>
  <c r="S24" i="35"/>
  <c r="U24" i="35"/>
  <c r="AA16" i="35"/>
  <c r="AA35" i="37"/>
  <c r="W36" i="37"/>
  <c r="S27" i="37"/>
  <c r="W32" i="37"/>
  <c r="U36" i="37"/>
  <c r="S40" i="37"/>
  <c r="U38" i="37"/>
  <c r="AB37" i="37"/>
  <c r="AC34" i="37"/>
  <c r="AA31" i="37"/>
  <c r="U19" i="37"/>
  <c r="AA29" i="37"/>
  <c r="U8" i="37"/>
  <c r="AB33" i="34"/>
  <c r="AC45" i="34"/>
  <c r="AA30" i="34"/>
  <c r="AB47" i="34"/>
  <c r="U25" i="34"/>
  <c r="W33" i="34"/>
  <c r="AC14" i="34"/>
  <c r="AC32" i="34"/>
  <c r="W46" i="34"/>
  <c r="S32" i="34"/>
  <c r="AA32" i="34"/>
  <c r="U30" i="34"/>
  <c r="AB30" i="34"/>
  <c r="S37" i="34"/>
  <c r="AA8" i="34"/>
  <c r="S8" i="34"/>
  <c r="AB9" i="34"/>
  <c r="U9" i="34"/>
  <c r="AC43" i="34"/>
  <c r="W43" i="34"/>
  <c r="W46" i="33"/>
  <c r="U38" i="33"/>
  <c r="U44" i="33"/>
  <c r="AB44" i="33"/>
  <c r="S30" i="33"/>
  <c r="AA30" i="33"/>
  <c r="AC14" i="33"/>
  <c r="W14" i="33"/>
  <c r="AC30" i="33"/>
  <c r="S31" i="33"/>
  <c r="AA31" i="33"/>
  <c r="W8" i="33"/>
  <c r="AB42" i="21"/>
  <c r="U28" i="21"/>
  <c r="S45" i="21"/>
  <c r="I101" i="21"/>
  <c r="J101" i="21"/>
  <c r="K101" i="2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c r="J17" i="21"/>
  <c r="AC17" i="21" s="1"/>
  <c r="AC19" i="21"/>
  <c r="W39" i="21"/>
  <c r="AC14" i="21"/>
  <c r="W30" i="21"/>
  <c r="S46" i="21"/>
  <c r="H45" i="21"/>
  <c r="U45" i="21" s="1"/>
  <c r="F29" i="21"/>
  <c r="S29" i="21"/>
  <c r="F13" i="21"/>
  <c r="AC38" i="21"/>
  <c r="H32" i="21"/>
  <c r="AB32" i="21" s="1"/>
  <c r="H9" i="21"/>
  <c r="U9" i="21" s="1"/>
  <c r="J9" i="21"/>
  <c r="J32" i="21"/>
  <c r="W32" i="21" s="1"/>
  <c r="F32" i="21"/>
  <c r="AA32" i="21" s="1"/>
  <c r="AA31" i="21"/>
  <c r="W29" i="21"/>
  <c r="S19" i="21"/>
  <c r="S9" i="21"/>
  <c r="AA9" i="21"/>
  <c r="K141" i="21"/>
  <c r="K144" i="21"/>
  <c r="K143" i="21"/>
  <c r="U27" i="21"/>
  <c r="AB25" i="21"/>
  <c r="AB44" i="21"/>
  <c r="AA30" i="21"/>
  <c r="W42" i="21"/>
  <c r="AC45" i="21"/>
  <c r="F10" i="21"/>
  <c r="AA10" i="21" s="1"/>
  <c r="K145" i="21"/>
  <c r="W25" i="21"/>
  <c r="AA29" i="21"/>
  <c r="S27" i="21"/>
  <c r="S17" i="21"/>
  <c r="AA15" i="21"/>
  <c r="AC26" i="21"/>
  <c r="AB29" i="21"/>
  <c r="S28" i="21"/>
  <c r="AC34" i="21"/>
  <c r="W12" i="21"/>
  <c r="AB36" i="21"/>
  <c r="W30" i="40"/>
  <c r="C19" i="39"/>
  <c r="C15" i="40"/>
  <c r="C17" i="40"/>
  <c r="C23" i="40"/>
  <c r="C21" i="40"/>
  <c r="U30" i="40"/>
  <c r="B56" i="43"/>
  <c r="B67" i="43"/>
  <c r="B51" i="43"/>
  <c r="B54" i="43"/>
  <c r="B62" i="43"/>
  <c r="B65" i="43"/>
  <c r="E4" i="4"/>
  <c r="B5" i="62" s="1"/>
  <c r="B73" i="72" s="1"/>
  <c r="C4" i="4"/>
  <c r="F30" i="68"/>
  <c r="F48" i="68" s="1"/>
  <c r="AA39" i="40"/>
  <c r="S39" i="40"/>
  <c r="S12" i="33"/>
  <c r="AA12" i="33"/>
  <c r="J32" i="39"/>
  <c r="AC32" i="39" s="1"/>
  <c r="H32" i="39"/>
  <c r="AB32" i="39" s="1"/>
  <c r="AA32" i="39"/>
  <c r="S32" i="39"/>
  <c r="AB21" i="39"/>
  <c r="U21" i="39"/>
  <c r="S21" i="39"/>
  <c r="AC17" i="37"/>
  <c r="S17" i="37"/>
  <c r="J19" i="37"/>
  <c r="G75" i="37"/>
  <c r="S19" i="37"/>
  <c r="AA19" i="37"/>
  <c r="J23" i="37"/>
  <c r="W23" i="37" s="1"/>
  <c r="G79" i="37"/>
  <c r="J10" i="37"/>
  <c r="W10" i="37" s="1"/>
  <c r="H11" i="37"/>
  <c r="AB11" i="37" s="1"/>
  <c r="G70" i="34"/>
  <c r="H70" i="34" s="1"/>
  <c r="I70" i="34" s="1"/>
  <c r="J70" i="34" s="1"/>
  <c r="K70" i="34" s="1"/>
  <c r="L70" i="34" s="1"/>
  <c r="M70" i="34" s="1"/>
  <c r="H11" i="34"/>
  <c r="U11" i="34" s="1"/>
  <c r="J10" i="34"/>
  <c r="AC10" i="34" s="1"/>
  <c r="I111" i="33"/>
  <c r="J111" i="33" s="1"/>
  <c r="K111" i="33" s="1"/>
  <c r="L111" i="33" s="1"/>
  <c r="M111" i="33"/>
  <c r="J36" i="33"/>
  <c r="W36" i="33" s="1"/>
  <c r="H36" i="33"/>
  <c r="U36" i="33" s="1"/>
  <c r="G91" i="33"/>
  <c r="H91" i="33" s="1"/>
  <c r="I91" i="33" s="1"/>
  <c r="J91" i="33" s="1"/>
  <c r="K91" i="33"/>
  <c r="L91" i="33" s="1"/>
  <c r="M91" i="33" s="1"/>
  <c r="J27" i="33"/>
  <c r="AC27" i="33" s="1"/>
  <c r="F23" i="33"/>
  <c r="S23" i="33" s="1"/>
  <c r="G85" i="33"/>
  <c r="H19" i="33"/>
  <c r="AB19" i="33" s="1"/>
  <c r="G79" i="33"/>
  <c r="H17" i="33"/>
  <c r="U17" i="33" s="1"/>
  <c r="F17" i="33"/>
  <c r="AA17" i="33" s="1"/>
  <c r="S37" i="21"/>
  <c r="AA23" i="21"/>
  <c r="AB15" i="21"/>
  <c r="J23" i="21"/>
  <c r="W23" i="21" s="1"/>
  <c r="F85" i="21"/>
  <c r="G85" i="21"/>
  <c r="H23" i="21"/>
  <c r="U23" i="21" s="1"/>
  <c r="AP7" i="1"/>
  <c r="AB45" i="21"/>
  <c r="AB9" i="21"/>
  <c r="S32" i="21"/>
  <c r="W9" i="21"/>
  <c r="AC9" i="21"/>
  <c r="U32" i="21"/>
  <c r="A18" i="62"/>
  <c r="B64" i="72" s="1"/>
  <c r="U32" i="39"/>
  <c r="W32" i="39"/>
  <c r="W19" i="37"/>
  <c r="AC19" i="37"/>
  <c r="AC23" i="37"/>
  <c r="H63" i="37"/>
  <c r="I63" i="37" s="1"/>
  <c r="J63" i="37" s="1"/>
  <c r="K63" i="37"/>
  <c r="L63" i="37" s="1"/>
  <c r="M63" i="37" s="1"/>
  <c r="J11" i="37"/>
  <c r="AC11" i="37" s="1"/>
  <c r="J11" i="34"/>
  <c r="W11" i="34" s="1"/>
  <c r="AC23" i="21"/>
  <c r="H109" i="9"/>
  <c r="M49" i="9" s="1"/>
  <c r="H112" i="9"/>
  <c r="D21" i="53" s="1"/>
  <c r="B39" i="72" s="1"/>
  <c r="H111" i="9"/>
  <c r="D126" i="9" s="1"/>
  <c r="D19" i="53"/>
  <c r="B38" i="72" s="1"/>
  <c r="AD3" i="71"/>
  <c r="J1" i="73"/>
  <c r="H69" i="43"/>
  <c r="C22" i="71"/>
  <c r="D23" i="71"/>
  <c r="D24" i="71"/>
  <c r="U24" i="71"/>
  <c r="T24" i="71"/>
  <c r="AB22" i="71"/>
  <c r="X20" i="71"/>
  <c r="X19" i="71"/>
  <c r="AA20" i="71"/>
  <c r="AA19" i="71"/>
  <c r="X23" i="71"/>
  <c r="Y19" i="71"/>
  <c r="Z19" i="71" s="1"/>
  <c r="AB20" i="71"/>
  <c r="AB19" i="71"/>
  <c r="F21" i="71"/>
  <c r="F20" i="71"/>
  <c r="F19" i="71" s="1"/>
  <c r="F18" i="71" s="1"/>
  <c r="F17" i="71" s="1"/>
  <c r="Y20" i="71"/>
  <c r="Z20" i="71" s="1"/>
  <c r="X3" i="71"/>
  <c r="M9" i="15"/>
  <c r="C76" i="67"/>
  <c r="F26" i="67"/>
  <c r="D34" i="9"/>
  <c r="M8" i="15"/>
  <c r="F9" i="67"/>
  <c r="D20" i="9"/>
  <c r="M26" i="67"/>
  <c r="E9" i="76"/>
  <c r="B13" i="76"/>
  <c r="B10" i="76"/>
  <c r="M6" i="15"/>
  <c r="F8" i="67"/>
  <c r="E13" i="76"/>
  <c r="B7" i="76"/>
  <c r="E7" i="76"/>
  <c r="E8" i="76"/>
  <c r="B8" i="76"/>
  <c r="F13" i="67"/>
  <c r="F6" i="67"/>
  <c r="L48" i="67"/>
  <c r="E2" i="69"/>
  <c r="E10" i="76"/>
  <c r="F7" i="73"/>
  <c r="F37" i="15"/>
  <c r="E11" i="76"/>
  <c r="E12" i="76"/>
  <c r="M23" i="67"/>
  <c r="F40" i="67"/>
  <c r="F38" i="67"/>
  <c r="B9" i="76"/>
  <c r="F37" i="67"/>
  <c r="F5" i="73"/>
  <c r="F3" i="73"/>
  <c r="M23" i="15"/>
  <c r="M8" i="67"/>
  <c r="L47" i="67"/>
  <c r="F16" i="15"/>
  <c r="D4" i="73"/>
  <c r="F20" i="31"/>
  <c r="M22" i="67"/>
  <c r="M24" i="15"/>
  <c r="D19" i="9"/>
  <c r="F6" i="73"/>
  <c r="M29" i="15"/>
  <c r="C20" i="9"/>
  <c r="F36" i="67"/>
  <c r="F43" i="67"/>
  <c r="F7" i="67"/>
  <c r="M6" i="67"/>
  <c r="J15" i="67"/>
  <c r="D7" i="73"/>
  <c r="M28" i="67"/>
  <c r="M26" i="15"/>
  <c r="B12" i="76"/>
  <c r="F42" i="67"/>
  <c r="D35" i="9"/>
  <c r="C19" i="9"/>
  <c r="E2" i="68"/>
  <c r="M29" i="67"/>
  <c r="L48" i="15"/>
  <c r="B11" i="76"/>
  <c r="D3" i="73"/>
  <c r="M9" i="67"/>
  <c r="J15" i="15"/>
  <c r="F16" i="67"/>
  <c r="F6" i="15"/>
  <c r="AO13" i="1"/>
  <c r="F4" i="73"/>
  <c r="D5" i="73"/>
  <c r="M24" i="67"/>
  <c r="D6" i="73"/>
  <c r="F37" i="33" l="1"/>
  <c r="S37" i="33" s="1"/>
  <c r="W39" i="33"/>
  <c r="W40" i="33"/>
  <c r="U41" i="33"/>
  <c r="AA37" i="33"/>
  <c r="U37" i="33"/>
  <c r="AC37" i="33"/>
  <c r="S38" i="33"/>
  <c r="S39" i="33"/>
  <c r="AB39" i="33"/>
  <c r="S41" i="33"/>
  <c r="AC41" i="33"/>
  <c r="U43" i="33"/>
  <c r="AC43" i="33"/>
  <c r="S43" i="33"/>
  <c r="AB36" i="33"/>
  <c r="AC35" i="33"/>
  <c r="H32" i="33"/>
  <c r="AB32" i="33" s="1"/>
  <c r="F32" i="33"/>
  <c r="S32" i="33" s="1"/>
  <c r="F101" i="33"/>
  <c r="G101" i="33" s="1"/>
  <c r="H101" i="33" s="1"/>
  <c r="I101" i="33" s="1"/>
  <c r="J101" i="33" s="1"/>
  <c r="K101" i="33" s="1"/>
  <c r="L101" i="33" s="1"/>
  <c r="M101" i="33" s="1"/>
  <c r="J32" i="33"/>
  <c r="AC32" i="33" s="1"/>
  <c r="AB34" i="33"/>
  <c r="U35" i="33"/>
  <c r="AC34" i="33"/>
  <c r="W32" i="33"/>
  <c r="AA32" i="33"/>
  <c r="U29" i="33"/>
  <c r="AB29" i="33"/>
  <c r="J31" i="33"/>
  <c r="U31" i="33"/>
  <c r="F29" i="33"/>
  <c r="AB27" i="33"/>
  <c r="F25" i="33"/>
  <c r="S25" i="33" s="1"/>
  <c r="J25" i="33"/>
  <c r="W25" i="33" s="1"/>
  <c r="F87" i="33"/>
  <c r="G87" i="33" s="1"/>
  <c r="H87" i="33" s="1"/>
  <c r="I87" i="33" s="1"/>
  <c r="J87" i="33" s="1"/>
  <c r="K87" i="33" s="1"/>
  <c r="L87" i="33" s="1"/>
  <c r="M87" i="33" s="1"/>
  <c r="H25" i="33"/>
  <c r="AB25" i="33" s="1"/>
  <c r="W26" i="33"/>
  <c r="S28" i="33"/>
  <c r="W28" i="33"/>
  <c r="U28" i="33"/>
  <c r="W27" i="33"/>
  <c r="S27" i="33"/>
  <c r="AA26" i="33"/>
  <c r="AB26" i="33"/>
  <c r="AA25" i="33"/>
  <c r="AC23" i="33"/>
  <c r="AA23" i="33"/>
  <c r="W21" i="33"/>
  <c r="S19" i="33"/>
  <c r="W19" i="33"/>
  <c r="AB17" i="33"/>
  <c r="AC17" i="33"/>
  <c r="S17" i="33"/>
  <c r="U15" i="33"/>
  <c r="AC15" i="33"/>
  <c r="AA15" i="33"/>
  <c r="W33" i="33"/>
  <c r="S33" i="33"/>
  <c r="U33" i="33"/>
  <c r="U44" i="34"/>
  <c r="S44" i="34"/>
  <c r="AA47" i="34"/>
  <c r="F46" i="34"/>
  <c r="AB45" i="34"/>
  <c r="H46" i="34"/>
  <c r="AC42" i="34"/>
  <c r="AA25" i="34"/>
  <c r="W25" i="34"/>
  <c r="AB32" i="34"/>
  <c r="F31" i="34"/>
  <c r="U39" i="34"/>
  <c r="S39" i="34"/>
  <c r="AC38" i="34"/>
  <c r="S36" i="34"/>
  <c r="AB36" i="34"/>
  <c r="W35" i="34"/>
  <c r="W40" i="34"/>
  <c r="AB40" i="34"/>
  <c r="AA40" i="34"/>
  <c r="AA38" i="34"/>
  <c r="U38" i="34"/>
  <c r="AC36" i="34"/>
  <c r="AB35" i="34"/>
  <c r="S35" i="34"/>
  <c r="AA29" i="34"/>
  <c r="AC29" i="34"/>
  <c r="U34" i="34"/>
  <c r="AC23" i="34"/>
  <c r="S23" i="34"/>
  <c r="AC21" i="34"/>
  <c r="U21" i="34"/>
  <c r="AA19" i="34"/>
  <c r="W19" i="34"/>
  <c r="U19" i="34"/>
  <c r="AC17" i="34"/>
  <c r="AB17" i="34"/>
  <c r="U15" i="34"/>
  <c r="S15" i="34"/>
  <c r="W8" i="34"/>
  <c r="AA14" i="33"/>
  <c r="S11" i="33"/>
  <c r="F28" i="15"/>
  <c r="F32" i="15"/>
  <c r="F60" i="15" s="1"/>
  <c r="M18" i="67"/>
  <c r="F28" i="67"/>
  <c r="C28" i="67" s="1"/>
  <c r="M18" i="15"/>
  <c r="F52" i="9"/>
  <c r="F54" i="9"/>
  <c r="F32" i="67"/>
  <c r="F60" i="67" s="1"/>
  <c r="F30" i="11"/>
  <c r="C48" i="11" s="1"/>
  <c r="C40" i="68"/>
  <c r="C40" i="69"/>
  <c r="C21" i="68"/>
  <c r="D23" i="15"/>
  <c r="D22" i="15"/>
  <c r="AB35" i="35"/>
  <c r="U35" i="35"/>
  <c r="D22" i="71"/>
  <c r="C21" i="71"/>
  <c r="S23" i="37"/>
  <c r="AA23" i="37"/>
  <c r="W15" i="37"/>
  <c r="AC15" i="37"/>
  <c r="W11" i="40"/>
  <c r="AC11" i="40"/>
  <c r="AB35" i="21"/>
  <c r="U35" i="21"/>
  <c r="BA587" i="3"/>
  <c r="AZ587" i="3" s="1"/>
  <c r="W27" i="21"/>
  <c r="AC27" i="21"/>
  <c r="BL569" i="3"/>
  <c r="AZ569" i="3" s="1"/>
  <c r="BA567" i="3"/>
  <c r="AZ567" i="3" s="1"/>
  <c r="BL566" i="3"/>
  <c r="BP5" i="3"/>
  <c r="BK5" i="3"/>
  <c r="BG5" i="3"/>
  <c r="BA566" i="3"/>
  <c r="AZ566" i="3" s="1"/>
  <c r="BC5" i="3"/>
  <c r="E12" i="6" s="1"/>
  <c r="E57" i="40" s="1"/>
  <c r="BL565" i="3"/>
  <c r="BA565" i="3"/>
  <c r="AZ565" i="3" s="1"/>
  <c r="BL564" i="3"/>
  <c r="BO5" i="3"/>
  <c r="BJ5" i="3"/>
  <c r="BF5" i="3"/>
  <c r="BB5" i="3"/>
  <c r="BA564" i="3"/>
  <c r="BL563" i="3"/>
  <c r="BL562" i="3"/>
  <c r="AZ562" i="3" s="1"/>
  <c r="BS5" i="3"/>
  <c r="F28" i="6" s="1"/>
  <c r="BL561" i="3"/>
  <c r="BA561" i="3"/>
  <c r="BL560" i="3"/>
  <c r="BN5" i="3"/>
  <c r="G29" i="6" s="1"/>
  <c r="BI5" i="3"/>
  <c r="BA560" i="3"/>
  <c r="BR5" i="3"/>
  <c r="G28" i="6" s="1"/>
  <c r="BL559" i="3"/>
  <c r="AZ559" i="3" s="1"/>
  <c r="G559" i="3"/>
  <c r="H5" i="3"/>
  <c r="BL558" i="3"/>
  <c r="BM5" i="3"/>
  <c r="F29" i="6" s="1"/>
  <c r="E29" i="6" s="1"/>
  <c r="K15" i="1" s="1"/>
  <c r="BA558" i="3"/>
  <c r="AZ558" i="3" s="1"/>
  <c r="BD5" i="3"/>
  <c r="AB23" i="33"/>
  <c r="AA37" i="37"/>
  <c r="S37" i="37"/>
  <c r="AA35" i="40"/>
  <c r="S35" i="40"/>
  <c r="BL568" i="3"/>
  <c r="AZ563" i="3"/>
  <c r="AB23" i="21"/>
  <c r="U25" i="33"/>
  <c r="AA13" i="21"/>
  <c r="S13" i="21"/>
  <c r="S20" i="36"/>
  <c r="AA38" i="21"/>
  <c r="AA36" i="33"/>
  <c r="S36" i="33"/>
  <c r="S43" i="34"/>
  <c r="S22" i="35"/>
  <c r="S34" i="33"/>
  <c r="AA34" i="33"/>
  <c r="BE5" i="3"/>
  <c r="AZ391" i="3"/>
  <c r="AZ344" i="3"/>
  <c r="AZ336" i="3"/>
  <c r="AZ325" i="3"/>
  <c r="AB17" i="21"/>
  <c r="U17" i="21"/>
  <c r="W14" i="40"/>
  <c r="AC14" i="40"/>
  <c r="AC38" i="37"/>
  <c r="W38" i="37"/>
  <c r="AA28" i="37"/>
  <c r="S28" i="37"/>
  <c r="G521" i="3"/>
  <c r="AC5" i="3"/>
  <c r="AZ568" i="3"/>
  <c r="AC13" i="36"/>
  <c r="W13" i="36"/>
  <c r="AC44" i="39"/>
  <c r="W44" i="39"/>
  <c r="AB34" i="21"/>
  <c r="U34" i="21"/>
  <c r="BL586" i="3"/>
  <c r="AZ586" i="3" s="1"/>
  <c r="B101" i="43"/>
  <c r="B79" i="43"/>
  <c r="C25" i="39"/>
  <c r="B69" i="43"/>
  <c r="B58" i="43"/>
  <c r="D16" i="53"/>
  <c r="B34" i="72" s="1"/>
  <c r="S35" i="33"/>
  <c r="AA35" i="33"/>
  <c r="AB35" i="40"/>
  <c r="U35" i="40"/>
  <c r="AZ326" i="3"/>
  <c r="AZ310" i="3"/>
  <c r="AZ329" i="3"/>
  <c r="W11" i="39"/>
  <c r="AC11" i="39"/>
  <c r="D8" i="53"/>
  <c r="D120" i="9"/>
  <c r="AB32" i="40"/>
  <c r="U32" i="40"/>
  <c r="AZ513" i="3"/>
  <c r="AZ523" i="3"/>
  <c r="AZ539" i="3"/>
  <c r="S35" i="39"/>
  <c r="W20" i="35"/>
  <c r="AC20" i="35"/>
  <c r="J35" i="35"/>
  <c r="F35" i="35"/>
  <c r="AA27" i="35"/>
  <c r="S27" i="35"/>
  <c r="AB9" i="36"/>
  <c r="U9" i="36"/>
  <c r="AB26" i="36"/>
  <c r="U26" i="36"/>
  <c r="W39" i="34"/>
  <c r="AC39" i="34"/>
  <c r="U35" i="37"/>
  <c r="AB35" i="37"/>
  <c r="U20" i="36"/>
  <c r="AB20" i="36"/>
  <c r="S25" i="35"/>
  <c r="AA25" i="35"/>
  <c r="S13" i="35"/>
  <c r="AA13" i="35"/>
  <c r="S45" i="34"/>
  <c r="AA45" i="34"/>
  <c r="AB31" i="34"/>
  <c r="U31" i="34"/>
  <c r="AB46" i="33"/>
  <c r="U46" i="33"/>
  <c r="U14" i="33"/>
  <c r="AB14" i="33"/>
  <c r="AC40" i="37"/>
  <c r="W40" i="37"/>
  <c r="W29" i="37"/>
  <c r="AC29" i="37"/>
  <c r="U14" i="34"/>
  <c r="AB14" i="34"/>
  <c r="W45" i="33"/>
  <c r="AC45" i="33"/>
  <c r="S29" i="33"/>
  <c r="AA29" i="33"/>
  <c r="W13" i="33"/>
  <c r="AC13" i="33"/>
  <c r="AC31" i="21"/>
  <c r="W31" i="21"/>
  <c r="AC13" i="21"/>
  <c r="W13" i="21"/>
  <c r="AA44" i="21"/>
  <c r="S44" i="21"/>
  <c r="AA17" i="34"/>
  <c r="S17" i="34"/>
  <c r="J12" i="37"/>
  <c r="H12" i="37"/>
  <c r="AB12" i="37" s="1"/>
  <c r="J12" i="39"/>
  <c r="F12" i="39"/>
  <c r="H12" i="39"/>
  <c r="AZ533" i="3"/>
  <c r="AZ571" i="3"/>
  <c r="AZ579" i="3"/>
  <c r="S29" i="35"/>
  <c r="AA29" i="35"/>
  <c r="U23" i="34"/>
  <c r="AB23" i="34"/>
  <c r="AA40" i="39"/>
  <c r="S40" i="39"/>
  <c r="U19" i="33"/>
  <c r="AC25" i="33"/>
  <c r="D68" i="9"/>
  <c r="F30" i="69"/>
  <c r="F48" i="69" s="1"/>
  <c r="F31" i="12"/>
  <c r="C31" i="12" s="1"/>
  <c r="W17" i="21"/>
  <c r="S20" i="35"/>
  <c r="AA27" i="40"/>
  <c r="AB27" i="40"/>
  <c r="W47" i="34"/>
  <c r="AZ581" i="3"/>
  <c r="AZ576" i="3"/>
  <c r="W30" i="34"/>
  <c r="AC30" i="34"/>
  <c r="W29" i="33"/>
  <c r="AC29" i="33"/>
  <c r="AB36" i="39"/>
  <c r="U36" i="39"/>
  <c r="G585" i="3"/>
  <c r="BA585" i="3"/>
  <c r="AZ585" i="3" s="1"/>
  <c r="F12" i="34"/>
  <c r="H12" i="34"/>
  <c r="J11" i="35"/>
  <c r="F11" i="35"/>
  <c r="J11" i="36"/>
  <c r="AC11" i="36" s="1"/>
  <c r="F11" i="36"/>
  <c r="F38" i="40"/>
  <c r="H38" i="40"/>
  <c r="AZ572" i="3"/>
  <c r="AB45" i="33"/>
  <c r="W31" i="34"/>
  <c r="AA45" i="33"/>
  <c r="S45" i="33"/>
  <c r="H44" i="39"/>
  <c r="F44" i="39"/>
  <c r="H36" i="35"/>
  <c r="J36" i="35"/>
  <c r="J9" i="33"/>
  <c r="H9" i="33"/>
  <c r="G582" i="3"/>
  <c r="B97" i="43"/>
  <c r="B75" i="43"/>
  <c r="AZ399" i="3"/>
  <c r="AZ414" i="3"/>
  <c r="AZ460" i="3"/>
  <c r="AZ476" i="3"/>
  <c r="AZ210" i="3"/>
  <c r="J23" i="35"/>
  <c r="F26" i="37"/>
  <c r="AZ400" i="3"/>
  <c r="AZ409" i="3"/>
  <c r="AZ411" i="3"/>
  <c r="AZ413" i="3"/>
  <c r="AZ453" i="3"/>
  <c r="AZ455" i="3"/>
  <c r="AZ458" i="3"/>
  <c r="AZ459" i="3"/>
  <c r="AZ467" i="3"/>
  <c r="AZ474" i="3"/>
  <c r="AZ477" i="3"/>
  <c r="AZ492" i="3"/>
  <c r="AZ397" i="3"/>
  <c r="AZ406" i="3"/>
  <c r="AZ407" i="3"/>
  <c r="AZ410" i="3"/>
  <c r="AZ434" i="3"/>
  <c r="AZ435" i="3"/>
  <c r="AZ451" i="3"/>
  <c r="AZ452" i="3"/>
  <c r="AZ456" i="3"/>
  <c r="AZ466" i="3"/>
  <c r="AZ486" i="3"/>
  <c r="BA396" i="3"/>
  <c r="AZ396" i="3" s="1"/>
  <c r="BA209" i="3"/>
  <c r="AZ209" i="3" s="1"/>
  <c r="BA212" i="3"/>
  <c r="AZ212" i="3" s="1"/>
  <c r="BL217" i="3"/>
  <c r="BL208" i="3"/>
  <c r="AZ208" i="3" s="1"/>
  <c r="BL211" i="3"/>
  <c r="AZ211" i="3" s="1"/>
  <c r="BL212" i="3"/>
  <c r="G213" i="3"/>
  <c r="AZ217" i="3"/>
  <c r="AZ219" i="3"/>
  <c r="AZ225" i="3"/>
  <c r="AZ246" i="3"/>
  <c r="AZ264" i="3"/>
  <c r="AZ293" i="3"/>
  <c r="BA384" i="3"/>
  <c r="AZ384" i="3" s="1"/>
  <c r="G397" i="3"/>
  <c r="G210" i="3"/>
  <c r="BL214" i="3"/>
  <c r="AZ214" i="3" s="1"/>
  <c r="AZ220" i="3"/>
  <c r="AZ247" i="3"/>
  <c r="G234" i="3"/>
  <c r="BA240" i="3"/>
  <c r="AZ240" i="3" s="1"/>
  <c r="BA245" i="3"/>
  <c r="AZ245" i="3" s="1"/>
  <c r="BA250" i="3"/>
  <c r="AZ250" i="3" s="1"/>
  <c r="G276" i="3"/>
  <c r="BA283" i="3"/>
  <c r="AZ283" i="3" s="1"/>
  <c r="BA288" i="3"/>
  <c r="AZ288" i="3" s="1"/>
  <c r="BL296" i="3"/>
  <c r="AZ296" i="3" s="1"/>
  <c r="BL299" i="3"/>
  <c r="AZ299" i="3" s="1"/>
  <c r="BL114" i="3"/>
  <c r="AZ114" i="3" s="1"/>
  <c r="G118" i="3"/>
  <c r="G120" i="3"/>
  <c r="BL129" i="3"/>
  <c r="AZ129" i="3" s="1"/>
  <c r="BL142" i="3"/>
  <c r="AZ142" i="3" s="1"/>
  <c r="G266" i="3"/>
  <c r="BA270" i="3"/>
  <c r="AZ270" i="3" s="1"/>
  <c r="BA275" i="3"/>
  <c r="AZ275" i="3" s="1"/>
  <c r="G287" i="3"/>
  <c r="G292" i="3"/>
  <c r="AZ185" i="3"/>
  <c r="AZ36" i="3"/>
  <c r="AZ48" i="3"/>
  <c r="AZ54" i="3"/>
  <c r="BA248" i="3"/>
  <c r="AZ248" i="3" s="1"/>
  <c r="BA260" i="3"/>
  <c r="AZ260" i="3" s="1"/>
  <c r="BA265" i="3"/>
  <c r="AZ265" i="3" s="1"/>
  <c r="BL269" i="3"/>
  <c r="AZ269" i="3" s="1"/>
  <c r="BA300" i="3"/>
  <c r="AZ300" i="3" s="1"/>
  <c r="BA128" i="3"/>
  <c r="AZ128" i="3" s="1"/>
  <c r="BL134" i="3"/>
  <c r="AZ134" i="3" s="1"/>
  <c r="BA138" i="3"/>
  <c r="AZ138" i="3" s="1"/>
  <c r="AZ145" i="3"/>
  <c r="G151" i="3"/>
  <c r="BA153" i="3"/>
  <c r="AZ153" i="3" s="1"/>
  <c r="BL157" i="3"/>
  <c r="AZ157" i="3" s="1"/>
  <c r="AZ161" i="3"/>
  <c r="AZ205" i="3"/>
  <c r="AZ23" i="3"/>
  <c r="BA235" i="3"/>
  <c r="AZ235" i="3" s="1"/>
  <c r="G241" i="3"/>
  <c r="G246" i="3"/>
  <c r="G251" i="3"/>
  <c r="BA255" i="3"/>
  <c r="AZ255" i="3" s="1"/>
  <c r="BL259" i="3"/>
  <c r="AZ259" i="3" s="1"/>
  <c r="BL262" i="3"/>
  <c r="AZ262" i="3" s="1"/>
  <c r="BL267" i="3"/>
  <c r="AZ267" i="3" s="1"/>
  <c r="G284" i="3"/>
  <c r="G289" i="3"/>
  <c r="BL294" i="3"/>
  <c r="AZ294" i="3" s="1"/>
  <c r="BA297" i="3"/>
  <c r="AZ297" i="3" s="1"/>
  <c r="G300" i="3"/>
  <c r="BL302" i="3"/>
  <c r="AZ302" i="3" s="1"/>
  <c r="BA116" i="3"/>
  <c r="AZ116" i="3" s="1"/>
  <c r="BA118" i="3"/>
  <c r="AZ118" i="3" s="1"/>
  <c r="BA121" i="3"/>
  <c r="AZ121" i="3" s="1"/>
  <c r="BL126" i="3"/>
  <c r="AZ126" i="3" s="1"/>
  <c r="BA130" i="3"/>
  <c r="AZ130" i="3" s="1"/>
  <c r="BL137" i="3"/>
  <c r="AZ137" i="3" s="1"/>
  <c r="G140" i="3"/>
  <c r="BA144" i="3"/>
  <c r="AZ144" i="3" s="1"/>
  <c r="BL150" i="3"/>
  <c r="AZ150" i="3" s="1"/>
  <c r="AZ193" i="3"/>
  <c r="AZ30" i="3"/>
  <c r="AZ38" i="3"/>
  <c r="AZ52" i="3"/>
  <c r="AZ64" i="3"/>
  <c r="AZ98" i="3"/>
  <c r="AA26" i="71"/>
  <c r="AA25" i="71"/>
  <c r="AA27" i="71"/>
  <c r="AA28" i="71"/>
  <c r="BA32" i="3"/>
  <c r="AZ32" i="3" s="1"/>
  <c r="BA37" i="3"/>
  <c r="AZ37" i="3" s="1"/>
  <c r="BL44" i="3"/>
  <c r="AZ44" i="3" s="1"/>
  <c r="BL48" i="3"/>
  <c r="BA57" i="3"/>
  <c r="AZ57" i="3" s="1"/>
  <c r="BA58" i="3"/>
  <c r="AZ58" i="3" s="1"/>
  <c r="BA59" i="3"/>
  <c r="AZ59" i="3" s="1"/>
  <c r="BL61" i="3"/>
  <c r="AZ61" i="3" s="1"/>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AZ91" i="3"/>
  <c r="BA93" i="3"/>
  <c r="AZ93" i="3" s="1"/>
  <c r="BL98" i="3"/>
  <c r="AZ106" i="3"/>
  <c r="E27" i="71"/>
  <c r="E26" i="71" s="1"/>
  <c r="V28" i="71"/>
  <c r="X33" i="71"/>
  <c r="X34" i="71"/>
  <c r="X36" i="71"/>
  <c r="X32" i="71"/>
  <c r="X29" i="71"/>
  <c r="X31" i="71"/>
  <c r="X25" i="71"/>
  <c r="X35" i="71"/>
  <c r="S72" i="71"/>
  <c r="B71" i="71"/>
  <c r="B70" i="71" s="1"/>
  <c r="D88" i="71"/>
  <c r="C87" i="71"/>
  <c r="Y18" i="71"/>
  <c r="Z18" i="71" s="1"/>
  <c r="Y11" i="71"/>
  <c r="Z11" i="71" s="1"/>
  <c r="Y17" i="71"/>
  <c r="Z17" i="71" s="1"/>
  <c r="AB17" i="71"/>
  <c r="AB14" i="71"/>
  <c r="G31" i="3"/>
  <c r="G5" i="3" s="1"/>
  <c r="B3" i="3" s="1"/>
  <c r="BL34" i="3"/>
  <c r="BL5" i="3" s="1"/>
  <c r="BA40" i="3"/>
  <c r="AZ40" i="3" s="1"/>
  <c r="BA46" i="3"/>
  <c r="AZ46" i="3" s="1"/>
  <c r="BA47" i="3"/>
  <c r="AZ47" i="3" s="1"/>
  <c r="BL56" i="3"/>
  <c r="BA65" i="3"/>
  <c r="AZ65" i="3" s="1"/>
  <c r="BA66" i="3"/>
  <c r="AZ66" i="3" s="1"/>
  <c r="BA67" i="3"/>
  <c r="AZ67" i="3" s="1"/>
  <c r="BL69" i="3"/>
  <c r="AZ69" i="3" s="1"/>
  <c r="BL75" i="3"/>
  <c r="AZ75" i="3" s="1"/>
  <c r="BL80" i="3"/>
  <c r="AZ80" i="3" s="1"/>
  <c r="BL89" i="3"/>
  <c r="AZ89" i="3" s="1"/>
  <c r="AZ92" i="3"/>
  <c r="BL95" i="3"/>
  <c r="AZ95" i="3" s="1"/>
  <c r="AZ56" i="3"/>
  <c r="BL101" i="3"/>
  <c r="AZ101" i="3" s="1"/>
  <c r="G108" i="3"/>
  <c r="F3" i="35"/>
  <c r="AC18" i="35"/>
  <c r="AB32" i="71"/>
  <c r="AB30" i="71"/>
  <c r="AB31" i="71"/>
  <c r="AB28" i="71"/>
  <c r="E34" i="71"/>
  <c r="E35" i="71" s="1"/>
  <c r="E36" i="71" s="1"/>
  <c r="U36" i="71" s="1"/>
  <c r="AA33" i="71"/>
  <c r="S68" i="71"/>
  <c r="B67" i="71"/>
  <c r="X22" i="71"/>
  <c r="X21" i="71"/>
  <c r="AA18" i="71"/>
  <c r="BA107" i="3"/>
  <c r="AZ107" i="3" s="1"/>
  <c r="BA112" i="3"/>
  <c r="AZ112" i="3" s="1"/>
  <c r="AA21" i="34"/>
  <c r="S21" i="34"/>
  <c r="P27" i="6"/>
  <c r="T40" i="71"/>
  <c r="D40" i="71"/>
  <c r="AA31" i="71"/>
  <c r="AA29" i="71"/>
  <c r="AA30" i="71"/>
  <c r="C51" i="71"/>
  <c r="D50" i="71"/>
  <c r="B24" i="71"/>
  <c r="X24" i="71"/>
  <c r="BL104" i="3"/>
  <c r="AZ104" i="3" s="1"/>
  <c r="BL111" i="3"/>
  <c r="AZ111" i="3" s="1"/>
  <c r="B88" i="43"/>
  <c r="C25" i="40"/>
  <c r="AA18" i="35"/>
  <c r="S18" i="35"/>
  <c r="T60" i="71"/>
  <c r="D60" i="71"/>
  <c r="N68" i="71"/>
  <c r="AA38" i="71"/>
  <c r="E39" i="71"/>
  <c r="E40" i="71" s="1"/>
  <c r="U40" i="71" s="1"/>
  <c r="AA10" i="71"/>
  <c r="AA37" i="71"/>
  <c r="C43" i="71"/>
  <c r="D42" i="71"/>
  <c r="D46" i="71"/>
  <c r="C47" i="71"/>
  <c r="D47" i="71" s="1"/>
  <c r="X30" i="71"/>
  <c r="B38" i="71"/>
  <c r="B39" i="71" s="1"/>
  <c r="B40" i="71" s="1"/>
  <c r="S40" i="71" s="1"/>
  <c r="X37" i="71"/>
  <c r="AB26" i="71"/>
  <c r="F27" i="71"/>
  <c r="F26" i="71" s="1"/>
  <c r="AB27" i="71"/>
  <c r="AB21" i="71"/>
  <c r="AA22" i="71"/>
  <c r="AA23" i="71"/>
  <c r="AB18" i="71"/>
  <c r="Y13" i="71"/>
  <c r="Z13" i="71" s="1"/>
  <c r="S21" i="21"/>
  <c r="C70" i="71"/>
  <c r="D70" i="71" s="1"/>
  <c r="AB25" i="71"/>
  <c r="C27" i="71"/>
  <c r="Y28" i="71"/>
  <c r="Z28" i="71" s="1"/>
  <c r="B31" i="71"/>
  <c r="B32" i="71" s="1"/>
  <c r="S32" i="71" s="1"/>
  <c r="AB29" i="71"/>
  <c r="Y30" i="71"/>
  <c r="Z30" i="71" s="1"/>
  <c r="Y27" i="71"/>
  <c r="Z27" i="71" s="1"/>
  <c r="AA34" i="71"/>
  <c r="AA36" i="71"/>
  <c r="U72" i="71"/>
  <c r="E71" i="71"/>
  <c r="E70" i="71" s="1"/>
  <c r="AB24" i="71"/>
  <c r="AA24" i="71"/>
  <c r="E24" i="71"/>
  <c r="AA21" i="71"/>
  <c r="X18" i="71"/>
  <c r="AA12" i="71"/>
  <c r="D28" i="71"/>
  <c r="U28" i="71" s="1"/>
  <c r="AA3" i="71"/>
  <c r="C83" i="71"/>
  <c r="C79" i="71"/>
  <c r="C31" i="71"/>
  <c r="AA35" i="71"/>
  <c r="C35" i="71"/>
  <c r="D34" i="71"/>
  <c r="X26" i="71"/>
  <c r="X27" i="71"/>
  <c r="Y31" i="71"/>
  <c r="Z31" i="71" s="1"/>
  <c r="X39" i="71"/>
  <c r="X10" i="71"/>
  <c r="AB9" i="71"/>
  <c r="Y23" i="71"/>
  <c r="Z23" i="71" s="1"/>
  <c r="Y21" i="71"/>
  <c r="Z21" i="71" s="1"/>
  <c r="Y22" i="71"/>
  <c r="Z22" i="71" s="1"/>
  <c r="X17" i="71"/>
  <c r="AA17" i="71"/>
  <c r="AB15" i="71"/>
  <c r="AB12" i="71"/>
  <c r="AB10" i="71"/>
  <c r="AB11" i="71"/>
  <c r="AB13" i="71"/>
  <c r="X9" i="71"/>
  <c r="AB37" i="71"/>
  <c r="Y33" i="71"/>
  <c r="Z33" i="71" s="1"/>
  <c r="AB36" i="71"/>
  <c r="AA9" i="71"/>
  <c r="N56" i="9"/>
  <c r="AB23" i="71"/>
  <c r="X15" i="71"/>
  <c r="AA13" i="71"/>
  <c r="AA14" i="71"/>
  <c r="Y14" i="71"/>
  <c r="Z14" i="71" s="1"/>
  <c r="Y24" i="71"/>
  <c r="Z24" i="71" s="1"/>
  <c r="Y12" i="71"/>
  <c r="Z12" i="71" s="1"/>
  <c r="X11" i="71"/>
  <c r="X13" i="71"/>
  <c r="Y9" i="71"/>
  <c r="Z9" i="71" s="1"/>
  <c r="Y10" i="71"/>
  <c r="Z10" i="71" s="1"/>
  <c r="AA15" i="71"/>
  <c r="AA11" i="71"/>
  <c r="X12"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J53" i="15"/>
  <c r="L56" i="15" s="1"/>
  <c r="J57" i="15"/>
  <c r="J55" i="15" s="1"/>
  <c r="J58" i="15" s="1"/>
  <c r="Q50" i="15" s="1"/>
  <c r="I54" i="15"/>
  <c r="K1" i="73"/>
  <c r="B20" i="31"/>
  <c r="B21" i="31" s="1"/>
  <c r="I1" i="73"/>
  <c r="B39" i="1" s="1"/>
  <c r="F51" i="67"/>
  <c r="F65" i="67"/>
  <c r="J53" i="67"/>
  <c r="J57" i="67"/>
  <c r="J55" i="67" s="1"/>
  <c r="J58" i="67" s="1"/>
  <c r="Q50" i="67" s="1"/>
  <c r="L56" i="67"/>
  <c r="I54" i="67"/>
  <c r="F66" i="67"/>
  <c r="Q71" i="67"/>
  <c r="D103" i="9"/>
  <c r="C27" i="67"/>
  <c r="F71" i="67"/>
  <c r="F65" i="15"/>
  <c r="G20" i="9"/>
  <c r="C103" i="9"/>
  <c r="N59" i="67"/>
  <c r="L59" i="67"/>
  <c r="L58" i="67"/>
  <c r="M59" i="67"/>
  <c r="B13" i="70"/>
  <c r="M7" i="67"/>
  <c r="J6" i="67" s="1"/>
  <c r="F50" i="67"/>
  <c r="F68" i="67"/>
  <c r="F64" i="67"/>
  <c r="C36" i="68"/>
  <c r="D9" i="69"/>
  <c r="C36" i="69"/>
  <c r="D9" i="68"/>
  <c r="M22" i="15"/>
  <c r="F40" i="15"/>
  <c r="F26" i="15"/>
  <c r="F9" i="15"/>
  <c r="L47" i="15"/>
  <c r="F7" i="15"/>
  <c r="F13" i="15"/>
  <c r="F43" i="15"/>
  <c r="C16" i="15"/>
  <c r="C16" i="67"/>
  <c r="C76" i="15"/>
  <c r="F38" i="15"/>
  <c r="M28" i="15"/>
  <c r="F36" i="15"/>
  <c r="F42" i="15"/>
  <c r="F8" i="15"/>
  <c r="G1" i="73"/>
  <c r="U32" i="33" l="1"/>
  <c r="W31" i="33"/>
  <c r="AC31" i="33"/>
  <c r="U46" i="34"/>
  <c r="AB46" i="34"/>
  <c r="S46" i="34"/>
  <c r="AA46" i="34"/>
  <c r="S31" i="34"/>
  <c r="AA31" i="34"/>
  <c r="C30" i="11"/>
  <c r="H26" i="43"/>
  <c r="P6" i="1"/>
  <c r="C13" i="12" s="1"/>
  <c r="E210" i="3"/>
  <c r="E11" i="6"/>
  <c r="E60" i="39" s="1"/>
  <c r="G30" i="6"/>
  <c r="G31" i="6" s="1"/>
  <c r="E26" i="43"/>
  <c r="G26" i="43"/>
  <c r="N94" i="46"/>
  <c r="J26" i="43"/>
  <c r="N370" i="46"/>
  <c r="J7" i="37"/>
  <c r="F31" i="15"/>
  <c r="M7" i="15"/>
  <c r="J6" i="15" s="1"/>
  <c r="J18" i="15" s="1"/>
  <c r="F50" i="15"/>
  <c r="F71" i="15"/>
  <c r="F66" i="15"/>
  <c r="C6" i="15"/>
  <c r="C32" i="15" s="1"/>
  <c r="F51" i="15"/>
  <c r="F64" i="15"/>
  <c r="F68" i="15"/>
  <c r="Q71" i="15"/>
  <c r="L58" i="15"/>
  <c r="Q73" i="15" s="1"/>
  <c r="M59" i="15"/>
  <c r="L59" i="15"/>
  <c r="Q61" i="15" s="1"/>
  <c r="N59" i="15"/>
  <c r="C27" i="15"/>
  <c r="E28" i="6"/>
  <c r="K14" i="1" s="1"/>
  <c r="K16" i="1" s="1"/>
  <c r="F30" i="6"/>
  <c r="E510" i="3"/>
  <c r="E205" i="3"/>
  <c r="E296"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42" i="3"/>
  <c r="E522" i="3"/>
  <c r="E35" i="3"/>
  <c r="E86" i="3"/>
  <c r="E34" i="3"/>
  <c r="E49" i="3"/>
  <c r="E206" i="3"/>
  <c r="E232" i="3"/>
  <c r="E370" i="3"/>
  <c r="AF6" i="3"/>
  <c r="E102" i="3"/>
  <c r="E80" i="3"/>
  <c r="E113" i="3"/>
  <c r="E158" i="3"/>
  <c r="E326" i="3"/>
  <c r="E22" i="3"/>
  <c r="E83" i="3"/>
  <c r="E244" i="3"/>
  <c r="E149" i="3"/>
  <c r="E167" i="3"/>
  <c r="E141" i="3"/>
  <c r="E312" i="3"/>
  <c r="AD6" i="3"/>
  <c r="E542" i="3"/>
  <c r="E552" i="3"/>
  <c r="E421" i="3"/>
  <c r="E464" i="3"/>
  <c r="E487" i="3"/>
  <c r="E398" i="3"/>
  <c r="E416" i="3"/>
  <c r="E459" i="3"/>
  <c r="E374" i="3"/>
  <c r="E566" i="3"/>
  <c r="E500" i="3"/>
  <c r="E413" i="3"/>
  <c r="E460" i="3"/>
  <c r="E520" i="3"/>
  <c r="E436" i="3"/>
  <c r="E39" i="3"/>
  <c r="E90" i="3"/>
  <c r="E57" i="3"/>
  <c r="E131" i="3"/>
  <c r="E187" i="3"/>
  <c r="E155" i="3"/>
  <c r="E240" i="3"/>
  <c r="E297" i="3"/>
  <c r="E259" i="3"/>
  <c r="E348" i="3"/>
  <c r="E378" i="3"/>
  <c r="E375" i="3"/>
  <c r="E504" i="3"/>
  <c r="E58" i="3"/>
  <c r="E110" i="3"/>
  <c r="E488" i="3"/>
  <c r="E462" i="3"/>
  <c r="E446" i="3"/>
  <c r="E47" i="3"/>
  <c r="E98" i="3"/>
  <c r="E65" i="3"/>
  <c r="E138" i="3"/>
  <c r="E195" i="3"/>
  <c r="E163" i="3"/>
  <c r="E248" i="3"/>
  <c r="E209" i="3"/>
  <c r="E307" i="3"/>
  <c r="E386" i="3"/>
  <c r="E584" i="3"/>
  <c r="E66" i="3"/>
  <c r="E24" i="3"/>
  <c r="E48" i="3"/>
  <c r="E87" i="3"/>
  <c r="E127" i="3"/>
  <c r="E250" i="3"/>
  <c r="E341" i="3"/>
  <c r="Y6" i="3"/>
  <c r="E51" i="3"/>
  <c r="E19" i="3"/>
  <c r="E154" i="3"/>
  <c r="E179" i="3"/>
  <c r="E222" i="3"/>
  <c r="E323" i="3"/>
  <c r="E82" i="3"/>
  <c r="E329" i="3"/>
  <c r="E16" i="3"/>
  <c r="E188" i="3"/>
  <c r="E223" i="3"/>
  <c r="E116" i="3"/>
  <c r="E105" i="3"/>
  <c r="E493" i="3"/>
  <c r="E564" i="3"/>
  <c r="E543" i="3"/>
  <c r="E427" i="3"/>
  <c r="E486" i="3"/>
  <c r="E507" i="3"/>
  <c r="E422" i="3"/>
  <c r="E440" i="3"/>
  <c r="E490" i="3"/>
  <c r="E376" i="3"/>
  <c r="AH6" i="3"/>
  <c r="J6" i="3"/>
  <c r="E498" i="3"/>
  <c r="E419" i="3"/>
  <c r="E483" i="3"/>
  <c r="E401" i="3"/>
  <c r="E463" i="3"/>
  <c r="E40" i="3"/>
  <c r="E25" i="3"/>
  <c r="E178" i="3"/>
  <c r="E119" i="3"/>
  <c r="E202" i="3"/>
  <c r="E242" i="3"/>
  <c r="E226" i="3"/>
  <c r="E346" i="3"/>
  <c r="E333" i="3"/>
  <c r="E372" i="3"/>
  <c r="L6" i="3"/>
  <c r="E60" i="3"/>
  <c r="E43" i="3"/>
  <c r="E540" i="3"/>
  <c r="E473" i="3"/>
  <c r="E455" i="3"/>
  <c r="E79" i="3"/>
  <c r="E38" i="3"/>
  <c r="E100" i="3"/>
  <c r="E170" i="3"/>
  <c r="E46" i="3"/>
  <c r="E536" i="3"/>
  <c r="E286" i="3"/>
  <c r="E502" i="3"/>
  <c r="E430" i="3"/>
  <c r="AP6" i="3"/>
  <c r="E491" i="3"/>
  <c r="E37" i="3"/>
  <c r="E192" i="3"/>
  <c r="E363" i="3"/>
  <c r="E76" i="3"/>
  <c r="E425" i="3"/>
  <c r="E103" i="3"/>
  <c r="E200" i="3"/>
  <c r="E249" i="3"/>
  <c r="E492" i="3"/>
  <c r="E84" i="3"/>
  <c r="E33" i="3"/>
  <c r="E184" i="3"/>
  <c r="E355" i="3"/>
  <c r="E68" i="3"/>
  <c r="E81" i="3"/>
  <c r="E264" i="3"/>
  <c r="E309" i="3"/>
  <c r="E21" i="3"/>
  <c r="E212" i="3"/>
  <c r="E499" i="3"/>
  <c r="E466" i="3"/>
  <c r="E255" i="3"/>
  <c r="E479" i="3"/>
  <c r="E152" i="3"/>
  <c r="E389" i="3"/>
  <c r="E64" i="3"/>
  <c r="E142" i="3"/>
  <c r="E23" i="3"/>
  <c r="E144" i="3"/>
  <c r="E381" i="3"/>
  <c r="E513" i="3"/>
  <c r="E148" i="3"/>
  <c r="E575" i="3"/>
  <c r="E442" i="3"/>
  <c r="E449" i="3"/>
  <c r="E554" i="3"/>
  <c r="E417" i="3"/>
  <c r="E95" i="3"/>
  <c r="E258" i="3"/>
  <c r="E349" i="3"/>
  <c r="E59" i="3"/>
  <c r="E467" i="3"/>
  <c r="E160" i="3"/>
  <c r="E299" i="3"/>
  <c r="E325" i="3"/>
  <c r="AQ6" i="3"/>
  <c r="E36" i="3"/>
  <c r="E123" i="3"/>
  <c r="E364" i="3"/>
  <c r="E20" i="3"/>
  <c r="E176" i="3"/>
  <c r="E265" i="3"/>
  <c r="E524" i="3"/>
  <c r="E517" i="3"/>
  <c r="E409" i="3"/>
  <c r="E267" i="3"/>
  <c r="E310" i="3"/>
  <c r="E67" i="3"/>
  <c r="E233" i="3"/>
  <c r="E63" i="3"/>
  <c r="E283" i="3"/>
  <c r="E539" i="3"/>
  <c r="E199" i="3"/>
  <c r="R6" i="3"/>
  <c r="E541" i="3"/>
  <c r="I3" i="6"/>
  <c r="E435" i="3"/>
  <c r="E56" i="3"/>
  <c r="E132" i="3"/>
  <c r="E544" i="3"/>
  <c r="E484" i="3"/>
  <c r="E194" i="3"/>
  <c r="E219" i="3"/>
  <c r="E339" i="3"/>
  <c r="E392" i="3"/>
  <c r="E52" i="3"/>
  <c r="E112" i="3"/>
  <c r="E147" i="3"/>
  <c r="E340" i="3"/>
  <c r="E62" i="3"/>
  <c r="E218" i="3"/>
  <c r="E365" i="3"/>
  <c r="E101" i="3"/>
  <c r="E50" i="3"/>
  <c r="E197" i="3"/>
  <c r="E39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2" i="3"/>
  <c r="E201" i="3"/>
  <c r="AB6" i="3"/>
  <c r="E215" i="3"/>
  <c r="E278" i="3"/>
  <c r="E172" i="3"/>
  <c r="E161" i="3"/>
  <c r="E191" i="3"/>
  <c r="AI6" i="3"/>
  <c r="X6" i="3"/>
  <c r="E137" i="3"/>
  <c r="E165" i="3"/>
  <c r="E308"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568" i="3"/>
  <c r="E277" i="3"/>
  <c r="E560" i="3"/>
  <c r="E406" i="3"/>
  <c r="E587" i="3"/>
  <c r="E468" i="3"/>
  <c r="E106" i="3"/>
  <c r="E214" i="3"/>
  <c r="E362" i="3"/>
  <c r="E227" i="3"/>
  <c r="E89" i="3"/>
  <c r="E204" i="3"/>
  <c r="Z6" i="3"/>
  <c r="E485" i="3"/>
  <c r="E345" i="3"/>
  <c r="E531" i="3"/>
  <c r="E28" i="3"/>
  <c r="E211" i="3"/>
  <c r="E377" i="3"/>
  <c r="E109" i="3"/>
  <c r="E217" i="3"/>
  <c r="E268" i="3"/>
  <c r="E509" i="3"/>
  <c r="E431" i="3"/>
  <c r="E311" i="3"/>
  <c r="E570" i="3"/>
  <c r="E335" i="3"/>
  <c r="E69" i="3"/>
  <c r="E445" i="3"/>
  <c r="E135" i="3"/>
  <c r="E423" i="3"/>
  <c r="E246" i="3"/>
  <c r="E383" i="3"/>
  <c r="E253" i="3"/>
  <c r="E453" i="3"/>
  <c r="E85" i="3"/>
  <c r="E314" i="3"/>
  <c r="E511" i="3"/>
  <c r="E99" i="3"/>
  <c r="E45" i="3"/>
  <c r="E193" i="3"/>
  <c r="E519" i="3"/>
  <c r="E573" i="3"/>
  <c r="E458" i="3"/>
  <c r="E527" i="3"/>
  <c r="E457" i="3"/>
  <c r="E562" i="3"/>
  <c r="E571" i="3"/>
  <c r="E450" i="3"/>
  <c r="E433" i="3"/>
  <c r="E72" i="3"/>
  <c r="E111" i="3"/>
  <c r="E150" i="3"/>
  <c r="E279" i="3"/>
  <c r="E351" i="3"/>
  <c r="E318" i="3"/>
  <c r="E567" i="3"/>
  <c r="E549" i="3"/>
  <c r="E269" i="3"/>
  <c r="E271" i="3"/>
  <c r="E107" i="3"/>
  <c r="E515" i="3"/>
  <c r="E478" i="3"/>
  <c r="E414" i="3"/>
  <c r="E477" i="3"/>
  <c r="E505" i="3"/>
  <c r="AS6" i="3"/>
  <c r="E476" i="3"/>
  <c r="E447" i="3"/>
  <c r="E27" i="3"/>
  <c r="E162" i="3"/>
  <c r="E186"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5" i="3"/>
  <c r="E373" i="3"/>
  <c r="E354" i="3"/>
  <c r="E77" i="3"/>
  <c r="E181" i="3"/>
  <c r="E545" i="3"/>
  <c r="AK6" i="3"/>
  <c r="E228" i="3"/>
  <c r="E133" i="3"/>
  <c r="K6" i="3"/>
  <c r="E472" i="3"/>
  <c r="E465" i="3"/>
  <c r="E577" i="3"/>
  <c r="E454" i="3"/>
  <c r="E146" i="3"/>
  <c r="E171" i="3"/>
  <c r="E315" i="3"/>
  <c r="E74" i="3"/>
  <c r="E368" i="3"/>
  <c r="E327" i="3"/>
  <c r="AO6" i="3"/>
  <c r="E400" i="3"/>
  <c r="E557" i="3"/>
  <c r="E489" i="3"/>
  <c r="E70" i="3"/>
  <c r="E182" i="3"/>
  <c r="E273" i="3"/>
  <c r="E572" i="3"/>
  <c r="E526" i="3"/>
  <c r="AJ6" i="3"/>
  <c r="AC6" i="3" s="1"/>
  <c r="E579" i="3"/>
  <c r="E247" i="3"/>
  <c r="E514" i="3"/>
  <c r="M6" i="3"/>
  <c r="E387" i="3"/>
  <c r="E189" i="3"/>
  <c r="E563" i="3"/>
  <c r="E535" i="3"/>
  <c r="E263" i="3"/>
  <c r="E385" i="3"/>
  <c r="E585" i="3"/>
  <c r="D79" i="71"/>
  <c r="C78" i="71"/>
  <c r="D78" i="71" s="1"/>
  <c r="B23" i="71"/>
  <c r="B22" i="71" s="1"/>
  <c r="B21" i="71" s="1"/>
  <c r="B20" i="71" s="1"/>
  <c r="S24" i="71"/>
  <c r="E266" i="3"/>
  <c r="AA26" i="37"/>
  <c r="S26" i="37"/>
  <c r="AC36" i="35"/>
  <c r="W36" i="35"/>
  <c r="AA38" i="40"/>
  <c r="S38" i="40"/>
  <c r="W11" i="35"/>
  <c r="AC11" i="35"/>
  <c r="E59" i="40"/>
  <c r="E13" i="6"/>
  <c r="E58" i="40" s="1"/>
  <c r="C48" i="69"/>
  <c r="E31" i="3"/>
  <c r="C30" i="69"/>
  <c r="D35" i="71"/>
  <c r="C36" i="71"/>
  <c r="D83" i="71"/>
  <c r="C82" i="71"/>
  <c r="D82" i="71" s="1"/>
  <c r="D43" i="71"/>
  <c r="C44" i="71"/>
  <c r="AZ34" i="3"/>
  <c r="AZ5" i="3" s="1"/>
  <c r="E289" i="3"/>
  <c r="E241" i="3"/>
  <c r="E287" i="3"/>
  <c r="E276" i="3"/>
  <c r="AC23" i="35"/>
  <c r="W23" i="35"/>
  <c r="E582" i="3"/>
  <c r="AB36" i="35"/>
  <c r="U36" i="35"/>
  <c r="AA11" i="36"/>
  <c r="S11" i="36"/>
  <c r="U12" i="34"/>
  <c r="AB12" i="34"/>
  <c r="BA5" i="3"/>
  <c r="E27" i="6" s="1"/>
  <c r="K26" i="6" s="1"/>
  <c r="M26" i="6" s="1"/>
  <c r="I26" i="6" s="1"/>
  <c r="S26" i="6" s="1"/>
  <c r="AC12" i="39"/>
  <c r="W12" i="39"/>
  <c r="AC35" i="35"/>
  <c r="W35" i="35"/>
  <c r="B66" i="71"/>
  <c r="N67" i="71"/>
  <c r="E292" i="3"/>
  <c r="S12" i="39"/>
  <c r="AA12" i="39"/>
  <c r="AA35" i="35"/>
  <c r="S35" i="35"/>
  <c r="F7" i="36"/>
  <c r="S7" i="36" s="1"/>
  <c r="H7" i="36"/>
  <c r="AB7" i="36" s="1"/>
  <c r="T36" i="36" s="1"/>
  <c r="G36" i="36" s="1"/>
  <c r="E10" i="6"/>
  <c r="C52" i="71"/>
  <c r="D51" i="71"/>
  <c r="E108" i="3"/>
  <c r="D87" i="71"/>
  <c r="C86" i="71"/>
  <c r="D86" i="71" s="1"/>
  <c r="E140" i="3"/>
  <c r="E300" i="3"/>
  <c r="E284" i="3"/>
  <c r="AB9" i="33"/>
  <c r="U9" i="33"/>
  <c r="AA44" i="39"/>
  <c r="S44" i="39"/>
  <c r="S12" i="34"/>
  <c r="AA12" i="34"/>
  <c r="D121" i="9"/>
  <c r="D7" i="52" s="1"/>
  <c r="D6" i="52"/>
  <c r="E521" i="3"/>
  <c r="AZ560" i="3"/>
  <c r="AZ561" i="3"/>
  <c r="C20" i="71"/>
  <c r="D21" i="71"/>
  <c r="C32" i="71"/>
  <c r="D31" i="71"/>
  <c r="E23" i="71"/>
  <c r="E22" i="71" s="1"/>
  <c r="E21" i="71" s="1"/>
  <c r="E20" i="71" s="1"/>
  <c r="V24" i="71"/>
  <c r="D27" i="71"/>
  <c r="C26" i="71"/>
  <c r="D26" i="71" s="1"/>
  <c r="E251" i="3"/>
  <c r="E118" i="3"/>
  <c r="E234" i="3"/>
  <c r="AC9" i="33"/>
  <c r="W9" i="33"/>
  <c r="AB44" i="39"/>
  <c r="U44" i="39"/>
  <c r="AB38" i="40"/>
  <c r="U38" i="40"/>
  <c r="S11" i="35"/>
  <c r="AA11" i="35"/>
  <c r="U12" i="39"/>
  <c r="AB12" i="39"/>
  <c r="W12" i="37"/>
  <c r="AC12" i="37"/>
  <c r="AZ564" i="3"/>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AC7" i="37"/>
  <c r="V42" i="37" s="1"/>
  <c r="I42" i="37" s="1"/>
  <c r="W7" i="37"/>
  <c r="U7" i="36"/>
  <c r="F7" i="33"/>
  <c r="E58" i="21"/>
  <c r="AC7" i="36"/>
  <c r="V36" i="36" s="1"/>
  <c r="I36" i="36" s="1"/>
  <c r="W7" i="36"/>
  <c r="F7" i="37"/>
  <c r="M17" i="67"/>
  <c r="P28" i="43"/>
  <c r="B66" i="40" s="1"/>
  <c r="P25" i="43"/>
  <c r="C49" i="67"/>
  <c r="P29" i="43"/>
  <c r="P27" i="43"/>
  <c r="B70" i="39" s="1"/>
  <c r="C32" i="67"/>
  <c r="C32" i="9"/>
  <c r="Q60" i="67"/>
  <c r="Q73" i="67"/>
  <c r="M11" i="67"/>
  <c r="J10" i="67" s="1"/>
  <c r="J5" i="67" s="1"/>
  <c r="F11" i="15"/>
  <c r="M11" i="15"/>
  <c r="J10" i="15" s="1"/>
  <c r="F11" i="67"/>
  <c r="F1" i="15"/>
  <c r="Q52" i="15"/>
  <c r="J18" i="67"/>
  <c r="F1" i="67"/>
  <c r="Q52" i="67"/>
  <c r="Q61" i="67"/>
  <c r="Q74" i="67"/>
  <c r="AE11" i="1"/>
  <c r="AE6" i="1"/>
  <c r="AE9" i="1"/>
  <c r="F27" i="68"/>
  <c r="AE7" i="1"/>
  <c r="AE8" i="1"/>
  <c r="AE12" i="1"/>
  <c r="AE10" i="1"/>
  <c r="F41" i="67"/>
  <c r="H6" i="3" l="1"/>
  <c r="E6" i="3" s="1"/>
  <c r="M14" i="1"/>
  <c r="Q74" i="15"/>
  <c r="C49" i="15"/>
  <c r="F59" i="15"/>
  <c r="M17" i="15"/>
  <c r="Q60" i="15"/>
  <c r="J5" i="15"/>
  <c r="J24" i="15" s="1"/>
  <c r="E3" i="6"/>
  <c r="D3" i="82" s="1"/>
  <c r="B3" i="82" s="1"/>
  <c r="AY6" i="3"/>
  <c r="T32" i="71"/>
  <c r="D32" i="71"/>
  <c r="AA7" i="36"/>
  <c r="R36" i="36" s="1"/>
  <c r="E69" i="39"/>
  <c r="E62" i="39"/>
  <c r="E65" i="39" s="1"/>
  <c r="E16" i="6"/>
  <c r="T52" i="71"/>
  <c r="D52" i="71"/>
  <c r="B19" i="71"/>
  <c r="B18" i="71" s="1"/>
  <c r="B17" i="71" s="1"/>
  <c r="B16" i="71" s="1"/>
  <c r="S20" i="71"/>
  <c r="E19" i="71"/>
  <c r="E18" i="71" s="1"/>
  <c r="E17" i="71" s="1"/>
  <c r="E16" i="71" s="1"/>
  <c r="V20" i="71"/>
  <c r="C19" i="71"/>
  <c r="T20" i="71"/>
  <c r="D20" i="71"/>
  <c r="U20" i="71" s="1"/>
  <c r="E30" i="6"/>
  <c r="N65" i="71"/>
  <c r="N66" i="71"/>
  <c r="T44" i="71"/>
  <c r="D44" i="71"/>
  <c r="T36" i="71"/>
  <c r="D36" i="7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F22" i="69"/>
  <c r="F41" i="69" s="1"/>
  <c r="F24" i="67"/>
  <c r="C24" i="67" s="1"/>
  <c r="F22" i="11"/>
  <c r="F22" i="68"/>
  <c r="F24" i="15"/>
  <c r="C24" i="15" s="1"/>
  <c r="C35" i="9"/>
  <c r="M27" i="15"/>
  <c r="F41" i="15"/>
  <c r="M27" i="67"/>
  <c r="R50" i="34" l="1"/>
  <c r="G54" i="34"/>
  <c r="H54" i="34" s="1"/>
  <c r="C48" i="15"/>
  <c r="C66" i="15" s="1"/>
  <c r="D116" i="43"/>
  <c r="C18" i="71"/>
  <c r="D19" i="71"/>
  <c r="B15" i="71"/>
  <c r="B14" i="71" s="1"/>
  <c r="B13" i="71" s="1"/>
  <c r="B12" i="71" s="1"/>
  <c r="S16" i="71"/>
  <c r="E15" i="71"/>
  <c r="E14" i="71" s="1"/>
  <c r="E13" i="71" s="1"/>
  <c r="E12" i="71" s="1"/>
  <c r="V16"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4" i="67"/>
  <c r="C17" i="15"/>
  <c r="C17" i="67"/>
  <c r="C60" i="15" l="1"/>
  <c r="D30" i="6"/>
  <c r="H22" i="6"/>
  <c r="H25" i="6"/>
  <c r="B11" i="71"/>
  <c r="B10" i="71" s="1"/>
  <c r="B9" i="71" s="1"/>
  <c r="B8" i="71" s="1"/>
  <c r="B7" i="71" s="1"/>
  <c r="B6" i="71" s="1"/>
  <c r="B5" i="71" s="1"/>
  <c r="S12" i="71"/>
  <c r="E11" i="71"/>
  <c r="E10" i="71" s="1"/>
  <c r="E9" i="71" s="1"/>
  <c r="E8" i="71" s="1"/>
  <c r="E7" i="71" s="1"/>
  <c r="E6" i="71" s="1"/>
  <c r="E5" i="71" s="1"/>
  <c r="V12" i="71"/>
  <c r="C17" i="71"/>
  <c r="D18"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D36" i="83" s="1"/>
  <c r="C49" i="33"/>
  <c r="H58" i="21"/>
  <c r="E47" i="37"/>
  <c r="F47" i="37" s="1"/>
  <c r="E46" i="37"/>
  <c r="F46" i="37" s="1"/>
  <c r="I47" i="37"/>
  <c r="J47" i="37" s="1"/>
  <c r="E53" i="33"/>
  <c r="F53" i="33" s="1"/>
  <c r="E52" i="33"/>
  <c r="F52" i="33" s="1"/>
  <c r="C33" i="15"/>
  <c r="C22" i="11"/>
  <c r="C31" i="11" s="1"/>
  <c r="C33" i="67"/>
  <c r="J19" i="67"/>
  <c r="C34" i="68"/>
  <c r="B6" i="76"/>
  <c r="C14" i="15"/>
  <c r="E6" i="76"/>
  <c r="J8" i="83" l="1"/>
  <c r="G36" i="83"/>
  <c r="D38" i="83"/>
  <c r="D6" i="90" s="1"/>
  <c r="E2" i="70"/>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7" i="90" l="1"/>
  <c r="D5" i="90"/>
  <c r="F5" i="90" s="1"/>
  <c r="C39" i="83"/>
  <c r="C40" i="83" s="1"/>
  <c r="J10" i="83"/>
  <c r="E39" i="83"/>
  <c r="E40" i="83" s="1"/>
  <c r="C15" i="7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4" i="71" l="1"/>
  <c r="D15"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M21" i="67"/>
  <c r="F35" i="15"/>
  <c r="F35" i="67"/>
  <c r="M21" i="15"/>
  <c r="E48" i="21" l="1"/>
  <c r="D14" i="7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 i="71" l="1"/>
  <c r="D11"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7"/>
  <c r="D2" i="34"/>
  <c r="D10" i="71" l="1"/>
  <c r="C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AO12" i="1"/>
  <c r="AO7" i="1"/>
  <c r="AO10" i="1"/>
  <c r="AO11" i="1"/>
  <c r="AO8" i="1"/>
  <c r="C8" i="71" l="1"/>
  <c r="D9"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48" i="9" l="1"/>
  <c r="N61" i="9"/>
  <c r="N60" i="9"/>
  <c r="D52" i="9"/>
  <c r="D53" i="9"/>
  <c r="B48" i="72"/>
  <c r="N59" i="9"/>
  <c r="P57" i="9"/>
  <c r="N58" i="9"/>
  <c r="B20" i="72"/>
  <c r="B30" i="72"/>
  <c r="B47" i="72"/>
  <c r="C5" i="74"/>
  <c r="M54" i="9"/>
  <c r="E4" i="52"/>
  <c r="C78" i="9"/>
  <c r="C73" i="9"/>
  <c r="C104" i="9"/>
  <c r="H4" i="52"/>
  <c r="D4" i="52"/>
  <c r="D5" i="53"/>
  <c r="D6" i="53"/>
  <c r="B22" i="72"/>
  <c r="D8" i="52"/>
  <c r="F5" i="52"/>
  <c r="B53" i="72"/>
  <c r="D55" i="9"/>
  <c r="M53" i="9"/>
  <c r="N57" i="9"/>
  <c r="C93" i="9"/>
  <c r="C86" i="9"/>
  <c r="D7" i="53"/>
  <c r="B21" i="72"/>
  <c r="E80" i="9"/>
  <c r="E81" i="9"/>
  <c r="F119" i="9"/>
  <c r="D59" i="9"/>
  <c r="M55" i="9"/>
  <c r="C105" i="9"/>
  <c r="I4" i="52"/>
  <c r="H102" i="9"/>
  <c r="C6" i="74"/>
  <c r="H119" i="9"/>
  <c r="H5" i="52"/>
  <c r="C64" i="9"/>
  <c r="C63" i="9"/>
  <c r="C67" i="9"/>
  <c r="C68" i="9"/>
  <c r="D54" i="9"/>
  <c r="E97" i="9"/>
  <c r="D13" i="53"/>
  <c r="D14" i="53"/>
  <c r="B32" i="72"/>
  <c r="C81" i="9"/>
  <c r="C72" i="9"/>
  <c r="C79" i="9"/>
  <c r="C80" i="9"/>
  <c r="F4" i="52"/>
  <c r="B51" i="72"/>
  <c r="E118" i="9"/>
  <c r="D118" i="9"/>
  <c r="D119" i="9"/>
  <c r="D5" i="52"/>
  <c r="B49" i="72"/>
  <c r="C97" i="9"/>
  <c r="D58" i="9"/>
  <c r="D56" i="9"/>
  <c r="D122" i="9"/>
  <c r="D123" i="9"/>
  <c r="D9" i="52"/>
  <c r="D45" i="9"/>
  <c r="C85" i="9"/>
  <c r="C95" i="9"/>
  <c r="C96" i="9"/>
  <c r="E96" i="9"/>
  <c r="I118" i="9"/>
  <c r="H118" i="9"/>
  <c r="H101" i="9"/>
  <c r="H107" i="9"/>
  <c r="H108" i="9"/>
  <c r="D15" i="53"/>
  <c r="B31" i="72"/>
  <c r="F118" i="9"/>
  <c r="G118" i="9"/>
  <c r="G4" i="52"/>
  <c r="B5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<sst xmlns="http://schemas.openxmlformats.org/spreadsheetml/2006/main" count="9092" uniqueCount="3775">
  <si>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</si>
  <si>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</si>
  <si>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</si>
  <si>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</si>
  <si>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</si>
  <si>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</si>
  <si>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</si>
  <si>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</si>
  <si>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</si>
  <si>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</si>
  <si>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</si>
  <si>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</si>
  <si>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</si>
  <si>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</si>
  <si>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</si>
  <si>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</si>
  <si>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</si>
  <si>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</si>
  <si>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</si>
  <si>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</si>
  <si>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</si>
  <si>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</si>
  <si>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</si>
  <si>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</si>
  <si>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</si>
  <si>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</si>
  <si>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</si>
  <si>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</si>
  <si>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</si>
  <si>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</si>
  <si>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</si>
  <si>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</si>
  <si>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</si>
  <si>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</si>
  <si>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</si>
  <si>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</si>
  <si>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</si>
  <si>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</si>
  <si>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</si>
  <si>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</si>
  <si>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</si>
  <si>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</si>
  <si>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</si>
  <si>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</si>
  <si>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</si>
  <si>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</si>
  <si>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</si>
  <si>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</si>
  <si>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</si>
  <si>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</si>
  <si>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</si>
  <si>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</si>
  <si>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</si>
  <si>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</si>
  <si>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</si>
  <si>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</si>
  <si>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</si>
  <si>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</si>
  <si>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</si>
  <si>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</si>
  <si>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</si>
  <si>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</si>
  <si>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</si>
  <si>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</si>
  <si>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</si>
  <si>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</si>
  <si>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</si>
  <si>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</si>
  <si>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</si>
  <si>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</si>
  <si>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</si>
  <si>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</si>
  <si>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</si>
  <si>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</si>
  <si>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</si>
  <si>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</si>
  <si>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</si>
  <si>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</si>
  <si>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</si>
  <si>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</si>
  <si>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</si>
  <si>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</si>
  <si>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</si>
  <si>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</si>
  <si>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</si>
  <si>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</si>
  <si>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</si>
  <si>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</si>
  <si>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</si>
  <si>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</si>
  <si>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</si>
  <si>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</si>
  <si>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</si>
  <si>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</si>
  <si>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</si>
  <si>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</si>
  <si>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</si>
  <si>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</si>
  <si>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</si>
  <si>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</si>
  <si>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</si>
  <si>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</si>
  <si>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</si>
  <si>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</si>
  <si>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</si>
  <si>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</si>
  <si>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</si>
  <si>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</si>
  <si>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</si>
  <si>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</si>
  <si>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</si>
  <si>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</si>
  <si>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</si>
  <si>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</si>
  <si>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</si>
  <si>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</si>
  <si>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</si>
  <si>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</si>
  <si>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</si>
  <si>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</si>
  <si>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</si>
  <si>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</si>
  <si>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</si>
  <si>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</si>
  <si>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</si>
  <si>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</si>
  <si>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</si>
  <si>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</si>
  <si>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</si>
  <si>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</si>
  <si>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</si>
  <si>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</si>
  <si>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</si>
  <si>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</si>
  <si>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</si>
  <si>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</si>
  <si>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</si>
  <si>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</si>
  <si>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</si>
  <si>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</si>
  <si>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</si>
  <si>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</si>
  <si>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</si>
  <si>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</si>
  <si>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</si>
  <si>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</si>
  <si>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</si>
  <si>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</si>
  <si>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</si>
  <si>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</si>
  <si>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</si>
  <si>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</si>
  <si>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</si>
  <si>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</si>
  <si>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</si>
  <si>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</si>
  <si>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</si>
  <si>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</si>
  <si>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</si>
  <si>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</si>
  <si>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</si>
  <si>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</si>
  <si>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</si>
  <si>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</si>
  <si>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</si>
  <si>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</si>
  <si>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</si>
  <si>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</si>
  <si>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</si>
  <si>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</si>
  <si>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</si>
  <si>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</si>
  <si>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</si>
  <si>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</si>
  <si>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</si>
  <si>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</si>
  <si>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</si>
  <si>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</si>
  <si>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</si>
  <si>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</si>
  <si>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</si>
  <si>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</si>
  <si>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</si>
  <si>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</si>
  <si>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</si>
  <si>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</si>
  <si>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</si>
  <si>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</si>
  <si>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</si>
  <si>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</si>
  <si>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</si>
  <si>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</si>
  <si>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</si>
  <si>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</si>
  <si>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</si>
  <si>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</si>
  <si>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</si>
  <si>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</si>
  <si>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</si>
  <si>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</si>
  <si>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</si>
  <si>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</si>
  <si>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</si>
  <si>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</si>
  <si>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</si>
  <si>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</si>
  <si>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</si>
  <si>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</si>
  <si>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</si>
  <si>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</si>
  <si>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</si>
  <si>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</si>
  <si>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</si>
  <si>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</si>
  <si>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</si>
  <si>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</si>
  <si>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</si>
  <si>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</si>
  <si>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</si>
  <si>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</si>
  <si>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</si>
  <si>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</si>
  <si>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</si>
  <si>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</si>
  <si>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</si>
  <si>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</si>
  <si>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</si>
  <si>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</si>
  <si>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</si>
  <si>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</si>
  <si>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</si>
  <si>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</si>
  <si>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</si>
  <si>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</si>
  <si>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</si>
  <si>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</si>
  <si>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</si>
  <si>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</si>
  <si>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</si>
  <si>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</si>
  <si>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</si>
  <si>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</si>
  <si>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</si>
  <si>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</si>
  <si>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</si>
  <si>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</si>
  <si>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</si>
  <si>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</si>
  <si>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</si>
  <si>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</si>
  <si>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</si>
  <si>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</si>
  <si>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</si>
  <si>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</si>
  <si>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</si>
  <si>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</si>
  <si>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</si>
  <si>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</si>
  <si>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</si>
  <si>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</si>
  <si>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</si>
  <si>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</si>
  <si>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</si>
  <si>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</si>
  <si>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</si>
  <si>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</si>
  <si>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</si>
  <si>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</si>
  <si>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</si>
  <si>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</si>
  <si>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</si>
  <si>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</si>
  <si>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</si>
  <si>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</si>
  <si>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</si>
  <si>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</si>
  <si>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</si>
  <si>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</si>
  <si>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</si>
  <si>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</si>
  <si>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</si>
  <si>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</si>
  <si>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</si>
  <si>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</si>
  <si>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</si>
  <si>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</si>
  <si>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</si>
  <si>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</si>
  <si>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</si>
  <si>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</si>
  <si>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</si>
  <si>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</si>
  <si>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</si>
  <si>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</si>
  <si>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</si>
  <si>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</si>
  <si>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</si>
  <si>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</si>
  <si>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</si>
  <si>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</si>
  <si>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</si>
  <si>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</si>
  <si>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</si>
  <si>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</si>
  <si>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</si>
  <si>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</si>
  <si>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</si>
  <si>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</si>
  <si>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</si>
  <si>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</si>
  <si>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</si>
  <si>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</si>
  <si>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</si>
  <si>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</si>
  <si>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</si>
  <si>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</si>
  <si>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</si>
  <si>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</si>
  <si>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</si>
  <si>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</si>
  <si>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</si>
  <si>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</si>
  <si>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</si>
  <si>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</si>
  <si>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</si>
  <si>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</si>
  <si>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</si>
  <si>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</si>
  <si>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</si>
  <si>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</si>
  <si>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</si>
  <si>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</si>
  <si>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</si>
  <si>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</si>
  <si>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</si>
  <si>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</si>
  <si>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</si>
  <si>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</si>
  <si>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</si>
  <si>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</si>
  <si>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</si>
  <si>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</si>
  <si>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</si>
  <si>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</si>
  <si>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</si>
  <si>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</si>
  <si>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</si>
  <si>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</si>
  <si>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</si>
  <si>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</si>
  <si>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</si>
  <si>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</si>
  <si>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</si>
  <si>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</si>
  <si>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</si>
  <si>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</si>
  <si>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</si>
  <si>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</si>
  <si>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</si>
  <si>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</si>
  <si>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</si>
  <si>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</si>
  <si>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</si>
  <si>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</si>
  <si>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</si>
  <si>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</si>
  <si>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</si>
  <si>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</si>
  <si>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</si>
  <si>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</si>
  <si>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</si>
  <si>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</si>
  <si>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</si>
  <si>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</si>
  <si>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</si>
  <si>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</si>
  <si>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</si>
  <si>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</si>
  <si>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</si>
  <si>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</si>
  <si>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</si>
  <si>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</si>
  <si>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</si>
  <si>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</si>
  <si>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</si>
  <si>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</si>
  <si>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</si>
  <si>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</si>
  <si>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</si>
  <si>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</si>
  <si>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</si>
  <si>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</si>
  <si>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</si>
  <si>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</si>
  <si>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</si>
  <si>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</si>
  <si>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</si>
  <si>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</si>
  <si>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</si>
  <si>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</si>
  <si>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</si>
  <si>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</si>
  <si>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</si>
  <si>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</si>
  <si>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</si>
  <si>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</si>
  <si>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</si>
  <si>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</si>
  <si>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</si>
  <si>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</si>
  <si>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</si>
  <si>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</si>
  <si>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</si>
  <si>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</si>
  <si>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</si>
  <si>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</si>
  <si>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</si>
  <si>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</si>
  <si>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</si>
  <si>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</si>
  <si>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</si>
  <si>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</si>
  <si>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</si>
  <si>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</si>
  <si>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</si>
  <si>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</si>
  <si>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</si>
  <si>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</si>
  <si>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</si>
  <si>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</si>
  <si>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</si>
  <si>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</si>
  <si>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</si>
  <si>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</si>
  <si>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</si>
  <si>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</si>
  <si>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</si>
  <si>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</si>
  <si>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</si>
  <si>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</si>
  <si>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</si>
  <si>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</si>
  <si>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</si>
  <si>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</si>
  <si>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</si>
  <si>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</si>
  <si>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</si>
  <si>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</si>
  <si>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</si>
  <si>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</si>
  <si>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</si>
  <si>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</si>
  <si>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</si>
  <si>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</si>
  <si>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</si>
  <si>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</si>
  <si>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</si>
  <si>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</si>
  <si>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</si>
  <si>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</si>
  <si>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</si>
  <si>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</si>
  <si>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</si>
  <si>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</si>
  <si>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</si>
  <si>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</si>
  <si>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</si>
  <si>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</si>
  <si>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</si>
  <si>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</si>
  <si>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</si>
  <si>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</si>
  <si>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</si>
  <si>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</si>
  <si>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</si>
  <si>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</si>
  <si>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</si>
  <si>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</si>
  <si>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</si>
  <si>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</si>
  <si>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</si>
  <si>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</si>
  <si>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</si>
  <si>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</si>
  <si>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</si>
  <si>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</si>
  <si>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</si>
  <si>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</si>
  <si>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</si>
  <si>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</si>
  <si>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</si>
  <si>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</si>
  <si>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</si>
  <si>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</si>
  <si>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</si>
  <si>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</si>
  <si>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</si>
  <si>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</si>
  <si>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</si>
  <si>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</si>
  <si>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</si>
  <si>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</si>
  <si>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</si>
  <si>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</si>
  <si>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</si>
  <si>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</si>
  <si>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</si>
  <si>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</si>
  <si>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</si>
  <si>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</si>
  <si>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</si>
  <si>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</si>
  <si>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</si>
  <si>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</si>
  <si>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</si>
  <si>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</si>
  <si>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</si>
  <si>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</si>
  <si>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</si>
  <si>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</si>
  <si>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</si>
  <si>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</si>
  <si>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</si>
  <si>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</si>
  <si>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</si>
  <si>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</si>
  <si>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</si>
  <si>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</si>
  <si>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</si>
  <si>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</si>
  <si>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</si>
  <si>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</si>
  <si>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</si>
  <si>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</si>
  <si>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</si>
  <si>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</si>
  <si>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</si>
  <si>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</si>
  <si>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</si>
  <si>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</si>
  <si>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</si>
  <si>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</si>
  <si>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</si>
  <si>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</si>
  <si>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</si>
  <si>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</si>
  <si>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</si>
  <si>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</si>
  <si>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</si>
  <si>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</si>
  <si>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</si>
  <si>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</si>
  <si>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</si>
  <si>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</si>
  <si>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</si>
  <si>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</si>
  <si>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</si>
  <si>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</si>
  <si>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</si>
  <si>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</si>
  <si>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</si>
  <si>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</si>
  <si>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</si>
  <si>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</si>
  <si>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</si>
  <si>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</si>
  <si>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</si>
  <si>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</si>
  <si>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</si>
  <si>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</si>
  <si>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</si>
  <si>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</si>
  <si>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</si>
  <si>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</si>
  <si>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</si>
  <si>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</si>
  <si>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</si>
  <si>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</si>
  <si>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</si>
  <si>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</si>
  <si>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</si>
  <si>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</si>
  <si>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</si>
  <si>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</si>
  <si>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</si>
  <si>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</si>
  <si>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</si>
  <si>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</si>
  <si>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</si>
  <si>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</si>
  <si>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</si>
  <si>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</si>
  <si>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</si>
  <si>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</si>
  <si>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</si>
  <si>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</si>
  <si>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</si>
  <si>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</si>
  <si>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</si>
  <si>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</si>
  <si>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</si>
  <si>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</si>
  <si>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</si>
  <si>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</si>
  <si>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</si>
  <si>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</si>
  <si>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</si>
  <si>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</si>
  <si>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</si>
  <si>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</si>
  <si>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</si>
  <si>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</si>
  <si>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</si>
  <si>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</si>
  <si>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</si>
  <si>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</si>
  <si>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</si>
  <si>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</si>
  <si>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</si>
  <si>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</si>
  <si>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</si>
  <si>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</si>
  <si>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</si>
  <si>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</si>
  <si>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</si>
  <si>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</si>
  <si>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</si>
  <si>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</si>
  <si>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</si>
  <si>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</si>
  <si>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</si>
  <si>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</si>
  <si>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</si>
  <si>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</si>
  <si>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</si>
  <si>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</si>
  <si>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</si>
  <si>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</si>
  <si>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</si>
  <si>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</si>
  <si>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</si>
  <si>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</si>
  <si>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</si>
  <si>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</si>
  <si>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</si>
  <si>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</si>
  <si>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</si>
  <si>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</si>
  <si>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</si>
  <si>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</si>
  <si>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</si>
  <si>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</si>
  <si>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</si>
  <si>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</si>
  <si>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</si>
  <si>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</si>
  <si>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</si>
  <si>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</si>
  <si>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</si>
  <si>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</si>
  <si>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</si>
  <si>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</si>
  <si>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</si>
  <si>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</si>
  <si>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</si>
  <si>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</si>
  <si>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</si>
  <si>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</si>
  <si>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</si>
  <si>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</si>
  <si>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</si>
  <si>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</si>
  <si>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</si>
  <si>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</si>
  <si>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</si>
  <si>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</si>
  <si>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</si>
  <si>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</si>
  <si>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</si>
  <si>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</si>
  <si>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</si>
  <si>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</si>
  <si>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</si>
  <si>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</si>
  <si>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</si>
  <si>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</si>
  <si>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</si>
  <si>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</si>
  <si>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</si>
  <si>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</si>
  <si>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</si>
  <si>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</si>
  <si>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</si>
  <si>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</si>
  <si>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</si>
  <si>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</si>
  <si>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</si>
  <si>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</si>
  <si>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</si>
  <si>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</si>
  <si>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</si>
  <si>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</si>
  <si>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</si>
  <si>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</si>
  <si>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</si>
  <si>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</si>
  <si>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</si>
  <si>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</si>
  <si>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</si>
  <si>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</si>
  <si>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</si>
  <si>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</si>
  <si>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</si>
  <si>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</si>
  <si>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</si>
  <si>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</si>
  <si>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</si>
  <si>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</si>
  <si>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</si>
  <si>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</si>
  <si>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</si>
  <si>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</si>
  <si>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</si>
  <si>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</si>
  <si>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</si>
  <si>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</si>
  <si>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</si>
  <si>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</si>
  <si>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</si>
  <si>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</si>
  <si>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</si>
  <si>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</si>
  <si>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</si>
  <si>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</si>
  <si>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</si>
  <si>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</si>
  <si>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</si>
  <si>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</si>
  <si>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</si>
  <si>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</si>
  <si>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</si>
  <si>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</si>
  <si>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</si>
  <si>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</si>
  <si>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</si>
  <si>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</si>
  <si>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</si>
  <si>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</si>
  <si>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</si>
  <si>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</si>
  <si>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</si>
  <si>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</si>
  <si>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</si>
  <si>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</si>
  <si>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</si>
  <si>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</si>
  <si>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</si>
  <si>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</si>
  <si>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</si>
  <si>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</si>
  <si>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</si>
  <si>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</si>
  <si>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</si>
  <si>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</si>
  <si>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</si>
  <si>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</si>
  <si>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</si>
  <si>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</si>
  <si>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</si>
  <si>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</si>
  <si>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</si>
  <si>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</si>
  <si>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</si>
  <si>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</si>
  <si>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</si>
  <si>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</si>
  <si>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</si>
  <si>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</si>
  <si>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</si>
  <si>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</si>
  <si>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</si>
  <si>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</si>
  <si>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</si>
  <si>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</si>
  <si>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</si>
  <si>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</si>
  <si>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</si>
  <si>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</si>
  <si>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</si>
  <si>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</si>
  <si>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</si>
  <si>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</si>
  <si>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</si>
  <si>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</si>
  <si>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</si>
  <si>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</si>
  <si>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</si>
  <si>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</si>
  <si>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</si>
  <si>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</si>
  <si>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</si>
  <si>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</si>
  <si>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</si>
  <si>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</si>
  <si>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</si>
  <si>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</si>
  <si>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</si>
  <si>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</si>
  <si>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</si>
  <si>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</si>
  <si>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</si>
  <si>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</si>
  <si>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</si>
  <si>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</si>
  <si>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</si>
  <si>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</si>
  <si>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</si>
  <si>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</si>
  <si>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</si>
  <si>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</si>
  <si>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</si>
  <si>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</si>
  <si>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</si>
  <si>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</si>
  <si>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</si>
  <si>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</si>
  <si>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</si>
  <si>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</si>
  <si>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</si>
  <si>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</si>
  <si>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</si>
  <si>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</si>
  <si>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</si>
  <si>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</si>
  <si>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</si>
  <si>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</si>
  <si>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</si>
  <si>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</si>
  <si>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</si>
  <si>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</si>
  <si>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</si>
  <si>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</si>
  <si>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</si>
  <si>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</si>
  <si>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</si>
  <si>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</si>
  <si>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</si>
  <si>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</si>
  <si>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</si>
  <si>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</si>
  <si>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</si>
  <si>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</si>
  <si>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</si>
  <si>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</si>
  <si>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</si>
  <si>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</si>
  <si>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</si>
  <si>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</si>
  <si>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</si>
  <si>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</si>
  <si>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</si>
  <si>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</si>
  <si>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</si>
  <si>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</si>
  <si>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</si>
  <si>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</si>
  <si>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</si>
  <si>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</si>
  <si>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</si>
  <si>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</si>
  <si>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</si>
  <si>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</si>
  <si>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</si>
  <si>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</si>
  <si>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</si>
  <si>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</si>
  <si>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</si>
  <si>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</si>
  <si>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</si>
  <si>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</si>
  <si>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</si>
  <si>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</si>
  <si>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</si>
  <si>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</si>
  <si>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</si>
  <si>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</si>
  <si>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</si>
  <si>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</si>
  <si>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</si>
  <si>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</si>
  <si>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</si>
  <si>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</si>
  <si>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</si>
  <si>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</si>
  <si>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</si>
  <si>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</si>
  <si>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</si>
  <si>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</si>
  <si>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</si>
  <si>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</si>
  <si>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</si>
  <si>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</si>
  <si>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</si>
  <si>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</si>
  <si>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</si>
  <si>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</si>
  <si>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</si>
  <si>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</si>
  <si>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</si>
  <si>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</si>
  <si>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</si>
  <si>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</si>
  <si>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</si>
  <si>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</si>
  <si>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</si>
  <si>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</si>
  <si>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</si>
  <si>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</si>
  <si>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</si>
  <si>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</si>
  <si>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</si>
  <si>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</si>
  <si>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</si>
  <si>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</si>
  <si>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</si>
  <si>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</si>
  <si>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</si>
  <si>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</si>
  <si>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</si>
  <si>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</si>
  <si>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</si>
  <si>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</si>
  <si>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</si>
  <si>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</si>
  <si>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</si>
  <si>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</si>
  <si>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</si>
  <si>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</si>
  <si>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</si>
  <si>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</si>
  <si>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</si>
  <si>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</si>
  <si>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</si>
  <si>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</si>
  <si>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</si>
  <si>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</si>
  <si>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</si>
  <si>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</si>
  <si>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</si>
  <si>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</si>
  <si>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</si>
  <si>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</si>
  <si>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</si>
  <si>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</si>
  <si>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</si>
  <si>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</si>
  <si>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</si>
  <si>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</si>
  <si>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</si>
  <si>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</si>
  <si>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</si>
  <si>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</si>
  <si>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</si>
  <si>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</si>
  <si>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</si>
  <si>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</si>
  <si>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</si>
  <si>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</si>
  <si>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</si>
  <si>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</si>
  <si>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</si>
  <si>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</si>
  <si>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</si>
  <si>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</si>
  <si>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</si>
  <si>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</si>
  <si>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</si>
  <si>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</si>
  <si>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</si>
  <si>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</si>
  <si>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</si>
  <si>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</si>
  <si>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</si>
  <si>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</si>
  <si>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</si>
  <si>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</si>
  <si>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</si>
  <si>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</si>
  <si>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</si>
  <si>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</si>
  <si>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</si>
  <si>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</si>
  <si>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</si>
  <si>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</si>
  <si>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</si>
  <si>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</si>
  <si>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</si>
  <si>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</si>
  <si>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</si>
  <si>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</si>
  <si>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</si>
  <si>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</si>
  <si>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</si>
  <si>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</si>
  <si>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</si>
  <si>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</si>
  <si>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</si>
  <si>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</si>
  <si>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</si>
  <si>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</si>
  <si>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</si>
  <si>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</si>
  <si>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</si>
  <si>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</si>
  <si>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</si>
  <si>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</si>
  <si>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</si>
  <si>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</si>
  <si>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</si>
  <si>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</si>
  <si>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</si>
  <si>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</si>
  <si>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</si>
  <si>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</si>
  <si>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</si>
  <si>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</si>
  <si>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</si>
  <si>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</si>
  <si>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</si>
  <si>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</si>
  <si>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</si>
  <si>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</si>
  <si>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</si>
  <si>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</si>
  <si>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</si>
  <si>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</si>
  <si>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</si>
  <si>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</si>
  <si>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</si>
  <si>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</si>
  <si>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</si>
  <si>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</si>
  <si>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</si>
  <si>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</si>
  <si>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</si>
  <si>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</si>
  <si>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</si>
  <si>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</si>
  <si>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</si>
  <si>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</si>
  <si>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</si>
  <si>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</si>
  <si>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</si>
  <si>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</si>
  <si>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</si>
  <si>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</si>
  <si>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</si>
  <si>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</si>
  <si>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</si>
  <si>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</si>
  <si>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</si>
  <si>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</si>
  <si>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</si>
  <si>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</si>
  <si>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</si>
  <si>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</si>
  <si>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</si>
  <si>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</si>
  <si>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</si>
  <si>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</si>
  <si>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</si>
  <si>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</si>
  <si>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</si>
  <si>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</si>
  <si>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</si>
  <si>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</si>
  <si>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</si>
  <si>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</si>
  <si>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</si>
  <si>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</si>
  <si>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</si>
  <si>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</si>
  <si>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</si>
  <si>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</si>
  <si>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</si>
  <si>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</si>
  <si>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</si>
  <si>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</si>
  <si>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</si>
  <si>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</si>
  <si>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</si>
  <si>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</si>
  <si>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</si>
  <si>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</si>
  <si>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</si>
  <si>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</si>
  <si>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</si>
  <si>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</si>
  <si>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</si>
  <si>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</si>
  <si>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</si>
  <si>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</si>
  <si>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</si>
  <si>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</si>
  <si>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</si>
  <si>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</si>
  <si>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</si>
  <si>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</si>
  <si>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</si>
  <si>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</si>
  <si>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</si>
  <si>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</si>
  <si>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</si>
  <si>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</si>
  <si>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</si>
  <si>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</si>
  <si>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</si>
  <si>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</si>
  <si>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</si>
  <si>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</si>
  <si>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</si>
  <si>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</si>
  <si>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</si>
  <si>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</si>
  <si>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</si>
  <si>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</si>
  <si>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</si>
  <si>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</si>
  <si>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</si>
  <si>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</si>
  <si>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</si>
  <si>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</si>
  <si>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</si>
  <si>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</si>
  <si>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</si>
  <si>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</si>
  <si>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</si>
  <si>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</si>
  <si>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</si>
  <si>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</si>
  <si>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</si>
  <si>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</si>
  <si>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</si>
  <si>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</si>
  <si>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</si>
  <si>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</si>
  <si>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</si>
  <si>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</si>
  <si>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</si>
  <si>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</si>
  <si>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</si>
  <si>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</si>
  <si>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</si>
  <si>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</si>
  <si>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</si>
  <si>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</si>
  <si>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</si>
  <si>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</si>
  <si>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</si>
  <si>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</si>
  <si>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</si>
  <si>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</si>
  <si>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</si>
  <si>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</si>
  <si>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</si>
  <si>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</si>
  <si>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</si>
  <si>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</si>
  <si>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</si>
  <si>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</si>
  <si>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</si>
  <si>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</si>
  <si>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</si>
  <si>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</si>
  <si>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</si>
  <si>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</si>
  <si>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</si>
  <si>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</si>
  <si>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</si>
  <si>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</si>
  <si>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</si>
  <si>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</si>
  <si>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</si>
  <si>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</si>
  <si>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</si>
  <si>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</si>
  <si>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</si>
  <si>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</si>
  <si>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</si>
  <si>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</si>
  <si>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</si>
  <si>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</si>
  <si>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</si>
  <si>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</si>
  <si>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</si>
  <si>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</si>
  <si>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</si>
  <si>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</si>
  <si>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</si>
  <si>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</si>
  <si>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</si>
  <si>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</si>
  <si>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</si>
  <si>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</si>
  <si>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</si>
  <si>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</si>
  <si>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</si>
  <si>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</si>
  <si>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</si>
  <si>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</si>
  <si>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</si>
  <si>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</si>
  <si>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</si>
  <si>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</si>
  <si>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</si>
  <si>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</si>
  <si>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</si>
  <si>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</si>
  <si>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</si>
  <si>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</si>
  <si>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</si>
  <si>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</si>
  <si>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</si>
  <si>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</si>
  <si>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</si>
  <si>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</si>
  <si>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</si>
  <si>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</si>
  <si>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</si>
  <si>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</si>
  <si>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</si>
  <si>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</si>
  <si>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</si>
  <si>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</si>
  <si>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</si>
  <si>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</si>
  <si>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</si>
  <si>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</si>
  <si>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</si>
  <si>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</si>
  <si>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</si>
  <si>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</si>
  <si>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</si>
  <si>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</si>
  <si>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</si>
  <si>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</si>
  <si>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</si>
  <si>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</si>
  <si>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</si>
  <si>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</si>
  <si>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</si>
  <si>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</si>
  <si>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</si>
  <si>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</si>
  <si>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</si>
  <si>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</si>
  <si>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</si>
  <si>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</si>
  <si>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</si>
  <si>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</si>
  <si>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</si>
  <si>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</si>
  <si>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</si>
  <si>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</si>
  <si>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</si>
  <si>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</si>
  <si>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</si>
  <si>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</si>
  <si>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</si>
  <si>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</si>
  <si>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</si>
  <si>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</si>
  <si>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</si>
  <si>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</si>
  <si>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</si>
  <si>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</si>
  <si>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</si>
  <si>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</si>
  <si>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</si>
  <si>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</si>
  <si>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</si>
  <si>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</si>
  <si>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</si>
  <si>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</si>
  <si>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</si>
  <si>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</si>
  <si>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</si>
  <si>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</si>
  <si>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</si>
  <si>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</si>
  <si>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</si>
  <si>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</si>
  <si>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</si>
  <si>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</si>
  <si>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</si>
  <si>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</si>
  <si>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</si>
  <si>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</si>
  <si>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</si>
  <si>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</si>
  <si>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</si>
  <si>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</si>
  <si>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</si>
  <si>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</si>
  <si>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</si>
  <si>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</si>
  <si>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</si>
  <si>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</si>
  <si>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</si>
  <si>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</si>
  <si>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</si>
  <si>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</si>
  <si>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</si>
  <si>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</si>
  <si>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</si>
  <si>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</si>
  <si>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</si>
  <si>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</si>
  <si>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</si>
  <si>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</si>
  <si>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</si>
  <si>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</si>
  <si>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</si>
  <si>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</si>
  <si>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</si>
  <si>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</si>
  <si>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</si>
  <si>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</si>
  <si>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</si>
  <si>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</si>
  <si>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</si>
  <si>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</si>
  <si>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</si>
  <si>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</si>
  <si>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</si>
  <si>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</si>
  <si>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</si>
  <si>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</si>
  <si>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</si>
  <si>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</si>
  <si>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</si>
  <si>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</si>
  <si>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</si>
  <si>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</si>
  <si>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</si>
  <si>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</si>
  <si>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</si>
  <si>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</si>
  <si>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</si>
  <si>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</si>
  <si>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</si>
  <si>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</si>
  <si>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</si>
  <si>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</si>
  <si>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</si>
  <si>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</si>
  <si>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</si>
  <si>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</si>
  <si>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</si>
  <si>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</si>
  <si>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</si>
  <si>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</si>
  <si>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</si>
  <si>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</si>
  <si>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</si>
  <si>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</si>
  <si>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</si>
  <si>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</si>
  <si>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</si>
  <si>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</si>
  <si>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</si>
  <si>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</si>
  <si>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</si>
  <si>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</si>
  <si>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</si>
  <si>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</si>
  <si>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</si>
  <si>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</si>
  <si>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</si>
  <si>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</si>
  <si>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</si>
  <si>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</si>
  <si>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</si>
  <si>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</si>
  <si>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</si>
  <si>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</si>
  <si>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</si>
  <si>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</si>
  <si>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</si>
  <si>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</si>
  <si>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</si>
  <si>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</si>
  <si>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</si>
  <si>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</si>
  <si>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</si>
  <si>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</si>
  <si>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</si>
  <si>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</si>
  <si>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</si>
  <si>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</si>
  <si>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</si>
  <si>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</si>
  <si>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</si>
  <si>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</si>
  <si>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</si>
  <si>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</si>
  <si>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</si>
  <si>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</si>
  <si>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</si>
  <si>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</si>
  <si>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</si>
  <si>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</si>
  <si>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</si>
  <si>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</si>
  <si>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</si>
  <si>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</si>
  <si>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</si>
  <si>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</si>
  <si>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</si>
  <si>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</si>
  <si>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</si>
  <si>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</si>
  <si>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</si>
  <si>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</si>
  <si>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</si>
  <si>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</si>
  <si>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</si>
  <si>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</si>
  <si>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</si>
  <si>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</si>
  <si>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</si>
  <si>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</si>
  <si>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</si>
  <si>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</si>
  <si>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</si>
  <si>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</si>
  <si>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</si>
  <si>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</si>
  <si>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</si>
  <si>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</si>
  <si>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</si>
  <si>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</si>
  <si>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</si>
  <si>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</si>
  <si>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</si>
  <si>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</si>
  <si>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</si>
  <si>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</si>
  <si>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</si>
  <si>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</si>
  <si>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</si>
  <si>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</si>
  <si>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</si>
  <si>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</si>
  <si>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</si>
  <si>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</si>
  <si>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</si>
  <si>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</si>
  <si>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</si>
  <si>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</si>
  <si>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</si>
  <si>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</si>
  <si>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</si>
  <si>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</si>
  <si>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</si>
  <si>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</si>
  <si>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</si>
  <si>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</si>
  <si>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</si>
  <si>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</si>
  <si>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</si>
  <si>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</si>
  <si>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</si>
  <si>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</si>
  <si>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</si>
  <si>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</si>
  <si>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</si>
  <si>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</si>
  <si>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</si>
  <si>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</si>
  <si>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</si>
  <si>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</si>
  <si>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</si>
  <si>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</si>
  <si>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</si>
  <si>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</si>
  <si>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</si>
  <si>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</si>
  <si>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</si>
  <si>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</si>
  <si>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</si>
  <si>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</si>
  <si>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</si>
  <si>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</si>
  <si>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</si>
  <si>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</si>
  <si>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</si>
  <si>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</si>
  <si>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</si>
  <si>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</si>
  <si>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</si>
  <si>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</si>
  <si>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</si>
  <si>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</si>
  <si>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</si>
  <si>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</si>
  <si>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</si>
  <si>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</si>
  <si>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</si>
  <si>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</si>
  <si>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</si>
  <si>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</si>
  <si>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</si>
  <si>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</si>
  <si>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</si>
  <si>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</si>
  <si>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</si>
  <si>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</si>
  <si>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</si>
  <si>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</si>
  <si>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</si>
  <si>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</si>
  <si>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</si>
  <si>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</si>
  <si>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</si>
  <si>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</si>
  <si>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</si>
  <si>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</si>
  <si>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</si>
  <si>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</si>
  <si>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</si>
  <si>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</si>
  <si>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</si>
  <si>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</si>
  <si>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</si>
  <si>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</si>
  <si>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</si>
  <si>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</si>
  <si>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</si>
  <si>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</si>
  <si>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</si>
  <si>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</si>
  <si>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</si>
  <si>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</si>
  <si>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</si>
  <si>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</si>
  <si>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</si>
  <si>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</si>
  <si>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</si>
  <si>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</si>
  <si>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</si>
  <si>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</si>
  <si>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</si>
  <si>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</si>
  <si>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</si>
  <si>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</si>
  <si>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</si>
  <si>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</si>
  <si>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</si>
  <si>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</si>
  <si>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</si>
  <si>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</si>
  <si>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</si>
  <si>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</si>
  <si>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</si>
  <si>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</si>
  <si>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</si>
  <si>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</si>
  <si>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</si>
  <si>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</si>
  <si>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</si>
  <si>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</si>
  <si>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</si>
  <si>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</si>
  <si>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</si>
  <si>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</si>
  <si>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</si>
  <si>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</si>
  <si>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</si>
  <si>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</si>
  <si>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</si>
  <si>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</si>
  <si>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</si>
  <si>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</si>
  <si>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</si>
  <si>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</si>
  <si>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</si>
  <si>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</si>
  <si>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</si>
  <si>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</si>
  <si>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</si>
  <si>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</si>
  <si>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</si>
  <si>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</si>
  <si>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</si>
  <si>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</si>
  <si>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</si>
  <si>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</si>
  <si>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</si>
  <si>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</si>
  <si>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</si>
  <si>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</si>
  <si>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</si>
  <si>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</si>
  <si>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</si>
  <si>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</si>
  <si>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</si>
  <si>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</si>
  <si>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</si>
  <si>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</si>
  <si>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</si>
  <si>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</si>
  <si>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</si>
  <si>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</si>
  <si>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</si>
  <si>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</si>
  <si>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</si>
  <si>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</si>
  <si>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</si>
  <si>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</si>
  <si>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</si>
  <si>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</si>
  <si>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</si>
  <si>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</si>
  <si>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</si>
  <si>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</si>
  <si>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</si>
  <si>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</si>
  <si>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</si>
  <si>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</si>
  <si>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</si>
  <si>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</si>
  <si>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</si>
  <si>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</si>
  <si>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</si>
  <si>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</si>
  <si>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</si>
  <si>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</si>
  <si>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</si>
  <si>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</si>
  <si>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</si>
  <si>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</si>
  <si>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</si>
  <si>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</si>
  <si>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</si>
  <si>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</si>
  <si>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</si>
  <si>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</si>
  <si>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</si>
  <si>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</si>
  <si>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</si>
  <si>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</si>
  <si>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</si>
  <si>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</si>
  <si>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</si>
  <si>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</si>
  <si>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</si>
  <si>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</si>
  <si>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</si>
  <si>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</si>
  <si>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</si>
  <si>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</si>
  <si>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</si>
  <si>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</si>
  <si>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</si>
  <si>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</si>
  <si>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</si>
  <si>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</si>
  <si>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</si>
  <si>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</si>
  <si>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</si>
  <si>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</si>
  <si>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</si>
  <si>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</si>
  <si>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</si>
  <si>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</si>
  <si>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</si>
  <si>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</si>
  <si>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</si>
  <si>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</si>
  <si>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</si>
  <si>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</si>
  <si>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</si>
  <si>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</si>
  <si>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</si>
  <si>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</si>
  <si>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</si>
  <si>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</si>
  <si>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</si>
  <si>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</si>
  <si>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</si>
  <si>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</si>
  <si>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</si>
  <si>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</si>
  <si>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</si>
  <si>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</si>
  <si>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</si>
  <si>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</si>
  <si>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</si>
  <si>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</si>
  <si>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</si>
  <si>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</si>
  <si>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</si>
  <si>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</si>
  <si>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</si>
  <si>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</si>
  <si>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</si>
  <si>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</si>
  <si>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</si>
  <si>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</si>
  <si>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</si>
  <si>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</si>
  <si>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</si>
  <si>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</si>
  <si>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</si>
  <si>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</si>
  <si>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</si>
  <si>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</si>
  <si>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</si>
  <si>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</si>
  <si>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</si>
  <si>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</si>
  <si>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</si>
  <si>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</si>
  <si>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</si>
  <si>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</si>
  <si>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</si>
  <si>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</si>
  <si>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</si>
  <si>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</si>
  <si>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</si>
  <si>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</si>
  <si>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</si>
  <si>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</si>
  <si>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</si>
  <si>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</si>
  <si>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</si>
  <si>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</si>
  <si>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</si>
  <si>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</si>
  <si>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</si>
  <si>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</si>
  <si>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</si>
  <si>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</si>
  <si>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</si>
  <si>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</si>
  <si>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</si>
  <si>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</si>
  <si>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</si>
  <si>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</si>
  <si>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</si>
  <si>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</si>
  <si>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</si>
  <si>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</si>
  <si>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</si>
  <si>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</si>
  <si>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</si>
  <si>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</si>
  <si>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</si>
  <si>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</si>
  <si>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</si>
  <si>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</si>
  <si>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</si>
  <si>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</si>
  <si>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</si>
  <si>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</si>
  <si>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</si>
  <si>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</si>
  <si>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</si>
  <si>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</si>
  <si>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</si>
  <si>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</si>
  <si>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</si>
  <si>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</si>
  <si>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</si>
  <si>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</si>
  <si>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</si>
  <si>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</si>
  <si>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</si>
  <si>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</si>
  <si>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</si>
  <si>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</si>
  <si>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</si>
  <si>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</si>
  <si>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</si>
  <si>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</si>
  <si>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</si>
  <si>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</si>
  <si>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</si>
  <si>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</si>
  <si>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</si>
  <si>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</si>
  <si>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</si>
  <si>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</si>
  <si>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</si>
  <si>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</si>
  <si>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</si>
  <si>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</si>
  <si>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</si>
  <si>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</si>
  <si>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</si>
  <si>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</si>
  <si>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</si>
  <si>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</si>
  <si>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</si>
  <si>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</si>
  <si>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</si>
  <si>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</si>
  <si>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</si>
  <si>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</si>
  <si>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</si>
  <si>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</si>
  <si>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</si>
  <si>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</si>
  <si>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</si>
  <si>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</si>
  <si>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</si>
  <si>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</si>
  <si>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</si>
  <si>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</si>
  <si>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</si>
  <si>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</si>
  <si>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</si>
  <si>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</si>
  <si>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</si>
  <si>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</si>
  <si>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</si>
  <si>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</si>
  <si>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</si>
  <si>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</si>
  <si>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</si>
  <si>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</si>
  <si>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</si>
  <si>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</si>
  <si>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</si>
  <si>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</si>
  <si>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</si>
  <si>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</si>
  <si>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</si>
  <si>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</si>
  <si>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</si>
  <si>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</si>
  <si>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</si>
  <si>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</si>
  <si>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</si>
  <si>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</si>
  <si>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</si>
  <si>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</si>
  <si>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</si>
  <si>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</si>
  <si>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</si>
  <si>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</si>
  <si>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</si>
  <si>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</si>
  <si>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</si>
  <si>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</si>
  <si>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</si>
  <si>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</si>
  <si>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</si>
  <si>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</si>
  <si>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</si>
  <si>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</si>
  <si>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</si>
  <si>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</si>
  <si>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</si>
  <si>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</si>
  <si>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</si>
  <si>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</si>
  <si>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</si>
  <si>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</si>
  <si>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</si>
  <si>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</si>
  <si>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</si>
  <si>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</si>
  <si>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</si>
  <si>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</si>
  <si>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</si>
  <si>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</si>
  <si>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</si>
  <si>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</si>
  <si>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</si>
  <si>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</si>
  <si>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</si>
  <si>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</si>
  <si>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</si>
  <si>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</si>
  <si>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</si>
  <si>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</si>
  <si>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</si>
  <si>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</si>
  <si>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</si>
  <si>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</si>
  <si>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</si>
  <si>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</si>
  <si>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</si>
  <si>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</si>
  <si>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</si>
  <si>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</si>
  <si>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</si>
  <si>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</si>
  <si>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</si>
  <si>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</si>
  <si>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</si>
  <si>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</si>
  <si>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</si>
  <si>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</si>
  <si>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</si>
  <si>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</si>
  <si>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</si>
  <si>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</si>
  <si>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</si>
  <si>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</si>
  <si>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</si>
  <si>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</si>
  <si>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</si>
  <si>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</si>
  <si>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</si>
  <si>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</si>
  <si>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</si>
  <si>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</si>
  <si>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</si>
  <si>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</si>
  <si>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</si>
  <si>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</si>
  <si>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</si>
  <si>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</si>
  <si>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</si>
  <si>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</si>
  <si>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</si>
  <si>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</si>
  <si>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</si>
  <si>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</si>
  <si>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</si>
  <si>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</si>
  <si>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</si>
  <si>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</si>
  <si>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</si>
  <si>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</si>
  <si>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</si>
  <si>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</si>
  <si>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</si>
  <si>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</si>
  <si>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</si>
  <si>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</si>
  <si>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</si>
  <si>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</si>
  <si>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</si>
  <si>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</si>
  <si>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</si>
  <si>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</si>
  <si>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</si>
  <si>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</si>
  <si>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</si>
  <si>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</si>
  <si>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</si>
  <si>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</si>
  <si>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</si>
  <si>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</si>
  <si>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</si>
  <si>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</si>
  <si>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</si>
  <si>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</si>
  <si>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</si>
  <si>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</si>
  <si>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</si>
  <si>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</si>
  <si>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</si>
  <si>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</si>
  <si>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</si>
  <si>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</si>
  <si>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</si>
  <si>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</si>
  <si>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</si>
  <si>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</si>
  <si>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</si>
  <si>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</si>
  <si>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</si>
  <si>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</si>
  <si>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</si>
  <si>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</si>
  <si>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</si>
  <si>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</si>
  <si>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</si>
  <si>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</si>
  <si>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</si>
  <si>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</si>
  <si>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</si>
  <si>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</si>
  <si>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</si>
  <si>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</si>
  <si>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</si>
  <si>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</si>
  <si>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</si>
  <si>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</si>
  <si>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</si>
  <si>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</si>
  <si>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</si>
  <si>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</si>
  <si>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</si>
  <si>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</si>
  <si>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</si>
  <si>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</si>
  <si>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</si>
  <si>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</si>
  <si>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</si>
  <si>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</si>
  <si>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</si>
  <si>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</si>
  <si>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</si>
  <si>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</si>
  <si>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</si>
  <si>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</si>
  <si>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</si>
  <si>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</si>
  <si>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</si>
  <si>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</si>
  <si>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</si>
  <si>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</si>
  <si>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</si>
  <si>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</si>
  <si>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</si>
  <si>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</si>
  <si>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</si>
  <si>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</si>
  <si>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</si>
  <si>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</si>
  <si>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</si>
  <si>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</si>
  <si>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</si>
  <si>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</si>
  <si>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</si>
  <si>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</si>
  <si>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</si>
  <si>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</si>
  <si>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</si>
  <si>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</si>
  <si>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</si>
  <si>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</si>
  <si>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</si>
  <si>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</si>
  <si>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</si>
  <si>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</si>
  <si>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</si>
  <si>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</si>
  <si>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</si>
  <si>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</si>
  <si>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</si>
  <si>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</si>
  <si>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</si>
  <si>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</si>
  <si>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</si>
  <si>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</si>
  <si>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</si>
  <si>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</si>
  <si>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</si>
  <si>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</si>
  <si>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</si>
  <si>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</si>
  <si>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</si>
  <si>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</si>
  <si>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</si>
  <si>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</si>
  <si>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</si>
  <si>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</si>
  <si>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</si>
  <si>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</si>
  <si>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</si>
  <si>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</si>
  <si>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</si>
  <si>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</si>
  <si>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</si>
  <si>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</si>
  <si>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</si>
  <si>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</si>
  <si>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</si>
  <si>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</si>
  <si>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</si>
  <si>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</si>
  <si>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</si>
  <si>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</si>
  <si>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</si>
  <si>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</si>
  <si>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</si>
  <si>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</si>
  <si>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</si>
  <si>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</si>
  <si>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</si>
  <si>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</si>
  <si>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</si>
  <si>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</si>
  <si>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</si>
  <si>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</si>
  <si>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</si>
  <si>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</si>
  <si>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</si>
  <si>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</si>
  <si>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</si>
  <si>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</si>
  <si>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</si>
  <si>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</si>
  <si>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</si>
  <si>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</si>
  <si>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</si>
  <si>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</si>
  <si>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</si>
  <si>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</si>
  <si>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</si>
  <si>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</si>
  <si>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</si>
  <si>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</si>
  <si>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</si>
  <si>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</si>
  <si>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</si>
  <si>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</si>
  <si>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</si>
  <si>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</si>
  <si>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</si>
  <si>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</si>
  <si>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</si>
  <si>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</si>
  <si>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</si>
  <si>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</si>
  <si>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</si>
  <si>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</si>
  <si>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</si>
  <si>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</si>
  <si>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</si>
  <si>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</si>
  <si>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</si>
  <si>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</si>
  <si>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</si>
  <si>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</si>
  <si>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</si>
  <si>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</si>
  <si>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</si>
  <si>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</si>
  <si>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</si>
  <si>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</si>
  <si>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</si>
  <si>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</si>
  <si>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</si>
  <si>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</si>
  <si>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</si>
  <si>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</si>
  <si>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</si>
  <si>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</si>
  <si>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</si>
  <si>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</si>
  <si>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</si>
  <si>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</si>
  <si>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</si>
  <si>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</si>
  <si>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</si>
  <si>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</si>
  <si>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</si>
  <si>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</si>
  <si>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</si>
  <si>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</si>
  <si>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</si>
  <si>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</si>
  <si>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</si>
  <si>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</si>
  <si>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</si>
  <si>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</si>
  <si>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</si>
  <si>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</si>
  <si>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</si>
  <si>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</si>
  <si>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</si>
  <si>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</si>
  <si>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</si>
  <si>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</si>
  <si>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</si>
  <si>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</si>
  <si>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</si>
  <si>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</si>
  <si>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</si>
  <si>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</si>
  <si>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</si>
  <si>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</si>
  <si>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</si>
  <si>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</si>
  <si>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</si>
  <si>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</si>
  <si>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</si>
  <si>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</si>
  <si>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</si>
  <si>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</si>
  <si>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</si>
  <si>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</si>
  <si>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</si>
  <si>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</si>
  <si>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</si>
  <si>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</si>
  <si>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</si>
  <si>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</si>
  <si>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</si>
  <si>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</si>
  <si>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</si>
  <si>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</si>
  <si>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</si>
  <si>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</si>
  <si>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</si>
  <si>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</si>
  <si>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</si>
  <si>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</si>
  <si>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</si>
  <si>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</si>
  <si>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</si>
  <si>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</si>
  <si>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</si>
  <si>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</si>
  <si>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</si>
  <si>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</si>
  <si>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</si>
  <si>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</si>
  <si>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</si>
  <si>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</si>
  <si>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</si>
  <si>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</si>
  <si>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</si>
  <si>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</si>
  <si>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</si>
  <si>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</si>
  <si>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</si>
  <si>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</si>
  <si>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</si>
  <si>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</si>
  <si>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</si>
  <si>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</si>
  <si>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</si>
  <si>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</si>
  <si>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</si>
  <si>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</si>
  <si>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</si>
  <si>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</si>
  <si>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</si>
  <si>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</si>
  <si>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</si>
  <si>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</si>
  <si>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</si>
  <si>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</si>
  <si>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</si>
  <si>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</si>
  <si>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</si>
  <si>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</si>
  <si>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</si>
  <si>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</si>
  <si>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</si>
  <si>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</si>
  <si>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</si>
  <si>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</si>
  <si>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</si>
  <si>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</si>
  <si>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</si>
  <si>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</si>
  <si>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</si>
  <si>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</si>
  <si>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</si>
  <si>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</si>
  <si>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</si>
  <si>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</si>
  <si>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</si>
  <si>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</si>
  <si>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</si>
  <si>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</si>
  <si>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</si>
  <si>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</si>
  <si>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</si>
  <si>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</si>
  <si>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</si>
  <si>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</si>
  <si>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</si>
  <si>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</si>
  <si>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</si>
  <si>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</si>
  <si>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</si>
  <si>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</si>
  <si>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</si>
  <si>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</si>
  <si>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</si>
  <si>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</si>
  <si>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</si>
  <si>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</si>
  <si>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</si>
  <si>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</si>
  <si>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</si>
  <si>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</si>
  <si>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</si>
  <si>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</si>
  <si>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</si>
  <si>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</si>
  <si>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</si>
  <si>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</si>
  <si>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</si>
  <si>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</si>
  <si>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</si>
  <si>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</si>
  <si>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</si>
  <si>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</si>
  <si>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</si>
  <si>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</si>
  <si>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</si>
  <si>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</si>
  <si>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</si>
  <si>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</si>
  <si>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</si>
  <si>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</si>
  <si>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</si>
  <si>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</si>
  <si>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</si>
  <si>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</si>
  <si>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</si>
  <si>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</si>
  <si>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</si>
  <si>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</si>
  <si>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</si>
  <si>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</si>
  <si>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</si>
  <si>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</si>
  <si>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</si>
  <si>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</si>
  <si>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</si>
  <si>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</si>
  <si>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</si>
  <si>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</si>
  <si>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</si>
  <si>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</si>
  <si>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</si>
  <si>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</si>
  <si>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</si>
  <si>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</si>
  <si>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</si>
  <si>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</si>
  <si>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</si>
  <si>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</si>
  <si>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</si>
  <si>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</si>
  <si>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</si>
  <si>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</si>
  <si>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</si>
  <si>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</si>
  <si>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</si>
  <si>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</si>
  <si>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</si>
  <si>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</si>
  <si>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</si>
  <si>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</si>
  <si>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</si>
  <si>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</si>
  <si>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</si>
  <si>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</si>
  <si>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</si>
  <si>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</si>
  <si>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</si>
  <si>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</si>
  <si>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</si>
  <si>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</si>
  <si>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</si>
  <si>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</si>
  <si>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</si>
  <si>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</si>
  <si>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</si>
  <si>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</si>
  <si>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</si>
  <si>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</si>
  <si>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</si>
  <si>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</si>
  <si>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</si>
  <si>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</si>
  <si>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</si>
  <si>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</si>
  <si>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</si>
  <si>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</si>
  <si>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</si>
  <si>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</si>
  <si>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</si>
  <si>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</si>
  <si>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</si>
  <si>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</si>
  <si>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</si>
  <si>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</si>
  <si>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</si>
  <si>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</si>
  <si>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</si>
  <si>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</si>
  <si>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</si>
  <si>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</si>
  <si>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</si>
  <si>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</si>
  <si>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</si>
  <si>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</si>
  <si>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</si>
  <si>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</si>
  <si>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</si>
  <si>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</si>
  <si>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</si>
  <si>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</si>
  <si>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</si>
  <si>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</si>
  <si>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</si>
  <si>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</si>
  <si>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</si>
  <si>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</si>
  <si>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</si>
  <si>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</si>
  <si>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</si>
  <si>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</si>
  <si>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</si>
  <si>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</si>
  <si>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</si>
  <si>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</si>
  <si>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</si>
  <si>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</si>
  <si>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</si>
  <si>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</si>
  <si>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</si>
  <si>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</si>
  <si>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</si>
  <si>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</si>
  <si>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</si>
  <si>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</si>
  <si>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</si>
  <si>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</si>
  <si>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</si>
  <si>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</si>
  <si>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</si>
  <si>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</si>
  <si>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</si>
  <si>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</si>
  <si>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</si>
  <si>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</si>
  <si>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</si>
  <si>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</si>
  <si>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</si>
  <si>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</si>
  <si>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</si>
  <si>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</si>
  <si>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</si>
  <si>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</si>
  <si>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</si>
  <si>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</si>
  <si>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</si>
  <si>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</si>
  <si>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</si>
  <si>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</si>
  <si>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</si>
  <si>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</si>
  <si>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</si>
  <si>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</si>
  <si>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</si>
  <si>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</si>
  <si>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</si>
  <si>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</si>
  <si>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</si>
  <si>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</si>
  <si>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</si>
  <si>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</si>
  <si>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</si>
  <si>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</si>
  <si>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</si>
  <si>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</si>
  <si>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</si>
  <si>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</si>
  <si>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</si>
  <si>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</si>
  <si>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</si>
  <si>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</si>
  <si>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</si>
  <si>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</si>
  <si>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</si>
  <si>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</si>
  <si>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</si>
  <si>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</si>
  <si>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</si>
  <si>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</si>
  <si>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</si>
  <si>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</si>
  <si>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</si>
  <si>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</si>
  <si>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</si>
  <si>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</si>
  <si>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</si>
  <si>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</si>
  <si>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</si>
  <si>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</si>
  <si>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</si>
  <si>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</si>
  <si>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</si>
  <si>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</si>
  <si>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</si>
  <si>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</si>
  <si>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</si>
  <si>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</si>
  <si>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</si>
  <si>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</si>
  <si>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</si>
  <si>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</si>
  <si>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</si>
  <si>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</si>
  <si>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</si>
  <si>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</si>
  <si>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</si>
  <si>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</si>
  <si>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</si>
  <si>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</si>
  <si>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</si>
  <si>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</si>
  <si>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</si>
  <si>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</si>
  <si>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</si>
  <si>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</si>
  <si>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</si>
  <si>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</si>
  <si>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</si>
  <si>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</si>
  <si>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</si>
  <si>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</si>
  <si>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</si>
  <si>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</si>
  <si>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</si>
  <si>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</si>
  <si>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</si>
  <si>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</si>
  <si>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</si>
  <si>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</si>
  <si>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</si>
  <si>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</si>
  <si>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</si>
  <si>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</si>
  <si>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</si>
  <si>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</si>
  <si>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</si>
  <si>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</si>
  <si>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</si>
  <si>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</si>
  <si>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</si>
  <si>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</si>
  <si>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</si>
  <si>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</si>
  <si>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</si>
  <si>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</si>
  <si>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</si>
  <si>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</si>
  <si>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</si>
  <si>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</si>
  <si>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</si>
  <si>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</si>
  <si>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</si>
  <si>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</si>
  <si>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</si>
  <si>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</si>
  <si>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</si>
  <si>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</si>
  <si>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</si>
  <si>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</si>
  <si>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</si>
  <si>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</si>
  <si>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</si>
  <si>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</si>
  <si>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</si>
  <si>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</si>
  <si>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</si>
  <si>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</si>
  <si>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</si>
  <si>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</si>
  <si>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</si>
  <si>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</si>
  <si>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</si>
  <si>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</si>
  <si>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</si>
  <si>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</si>
  <si>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</si>
  <si>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</si>
  <si>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</si>
  <si>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</si>
  <si>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</si>
  <si>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</si>
  <si>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</si>
  <si>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</si>
  <si>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</si>
  <si>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</si>
  <si>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</si>
  <si>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</si>
  <si>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</si>
  <si>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</si>
  <si>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</si>
  <si>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</si>
  <si>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</si>
  <si>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</si>
  <si>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</si>
  <si>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</si>
  <si>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</si>
  <si>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</si>
  <si>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</si>
  <si>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</si>
  <si>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</si>
  <si>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</si>
  <si>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</si>
  <si>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</si>
  <si>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</si>
  <si>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</si>
  <si>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</si>
  <si>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</si>
  <si>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</si>
  <si>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</si>
  <si>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</si>
  <si>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</si>
  <si>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</si>
  <si>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</si>
  <si>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</si>
  <si>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</si>
  <si>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</si>
  <si>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</si>
  <si>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</si>
  <si>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</si>
  <si>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</si>
  <si>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</si>
  <si>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</si>
  <si>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</si>
  <si>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</si>
  <si>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</si>
  <si>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</si>
  <si>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</si>
  <si>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</si>
  <si>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</si>
  <si>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</si>
  <si>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</si>
  <si>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</si>
  <si>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</si>
  <si>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</si>
  <si>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</si>
  <si>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</si>
  <si>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</si>
  <si>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</si>
  <si>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</si>
  <si>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</si>
  <si>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</si>
  <si>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</si>
  <si>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</si>
  <si>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</si>
  <si>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</si>
  <si>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</si>
  <si>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</si>
  <si>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</si>
  <si>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</si>
  <si>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</si>
  <si>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</si>
  <si>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</si>
  <si>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</si>
  <si>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</si>
  <si>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</si>
  <si>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</si>
  <si>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</si>
  <si>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</si>
  <si>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</si>
  <si>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</si>
  <si>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</si>
  <si>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</si>
  <si>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</si>
  <si>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</si>
  <si>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</si>
  <si>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</si>
  <si>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</si>
  <si>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</si>
  <si>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</si>
  <si>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</si>
  <si>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</si>
  <si>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</si>
  <si>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</si>
  <si>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</si>
  <si>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</si>
  <si>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</si>
  <si>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</si>
  <si>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</si>
  <si>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</si>
  <si>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</si>
  <si>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</si>
  <si>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</si>
  <si>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</si>
  <si>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</si>
  <si>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</si>
  <si>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</si>
  <si>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</si>
  <si>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</si>
  <si>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</si>
  <si>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</si>
  <si>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</si>
  <si>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</si>
  <si>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</si>
  <si>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</si>
  <si>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</si>
  <si>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</si>
  <si>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</si>
  <si>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</si>
  <si>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</si>
  <si>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</si>
  <si>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</si>
  <si>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</si>
  <si>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</si>
  <si>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</si>
  <si>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</si>
  <si>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</si>
  <si>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</si>
  <si>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</si>
  <si>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</si>
  <si>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</si>
  <si>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</si>
  <si>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</si>
  <si>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</si>
  <si>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</si>
  <si>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</si>
  <si>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</si>
  <si>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</si>
  <si>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</si>
  <si>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</si>
  <si>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</si>
  <si>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</si>
  <si>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</si>
  <si>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</si>
  <si>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</si>
  <si>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</si>
  <si>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</si>
  <si>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</si>
  <si>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</si>
  <si>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</si>
  <si>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</si>
  <si>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</si>
  <si>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</si>
  <si>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</si>
  <si>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</si>
  <si>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</si>
  <si>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</si>
  <si>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</si>
  <si>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</si>
  <si>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</si>
  <si>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</si>
  <si>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</si>
  <si>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</si>
  <si>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</si>
  <si>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</si>
  <si>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</si>
  <si>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</si>
  <si>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</si>
  <si>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</si>
  <si>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</si>
  <si>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</si>
  <si>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</si>
  <si>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</si>
  <si>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</si>
  <si>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</si>
  <si>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</si>
  <si>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</si>
  <si>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</si>
  <si>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</si>
  <si>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</si>
  <si>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</si>
  <si>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</si>
  <si>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</si>
  <si>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</si>
  <si>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</si>
  <si>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</si>
  <si>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</si>
  <si>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</si>
  <si>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</si>
  <si>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</si>
  <si>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</si>
  <si>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</si>
  <si>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</si>
  <si>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</si>
  <si>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</si>
  <si>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</si>
  <si>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</si>
  <si>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</si>
  <si>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</si>
  <si>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</si>
  <si>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</si>
  <si>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</si>
  <si>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</si>
  <si>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</si>
  <si>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</si>
  <si>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</si>
  <si>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</si>
  <si>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</si>
  <si>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</si>
  <si>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</si>
  <si>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</si>
  <si>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</si>
  <si>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</si>
  <si>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</si>
  <si>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</si>
  <si>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</si>
  <si>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</si>
  <si>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</si>
  <si>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</si>
  <si>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</si>
  <si>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</si>
  <si>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</si>
  <si>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</si>
  <si>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</si>
  <si>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</si>
  <si>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</si>
  <si>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</si>
  <si>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</si>
  <si>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</si>
  <si>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</si>
  <si>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</si>
  <si>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</si>
  <si>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</si>
  <si>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</si>
  <si>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</si>
  <si>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</si>
  <si>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</si>
  <si>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</si>
  <si>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</si>
  <si>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</si>
  <si>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</si>
  <si>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</si>
  <si>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</si>
  <si>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</si>
  <si>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</si>
  <si>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</si>
  <si>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</si>
  <si>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</si>
  <si>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</si>
  <si>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</si>
  <si>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</si>
  <si>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</si>
  <si>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</si>
  <si>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</si>
  <si>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</si>
  <si>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</si>
  <si>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</si>
  <si>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</si>
  <si>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</si>
  <si>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</si>
  <si>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</si>
  <si>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</si>
  <si>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</si>
  <si>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</si>
  <si>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</si>
  <si>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</si>
  <si>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</si>
  <si>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</si>
  <si>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</si>
  <si>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</si>
  <si>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</si>
  <si>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</si>
  <si>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</si>
  <si>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</si>
  <si>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</si>
  <si>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</si>
  <si>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</si>
  <si>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</si>
  <si>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</si>
  <si>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</si>
  <si>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</si>
  <si>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</si>
  <si>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</si>
  <si>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</si>
  <si>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</si>
  <si>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</si>
  <si>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</si>
  <si>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</si>
  <si>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</si>
  <si>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</si>
  <si>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</si>
  <si>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</si>
  <si>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</si>
  <si>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</si>
  <si>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</si>
  <si>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</si>
  <si>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</si>
  <si>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</si>
  <si>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</si>
  <si>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</si>
  <si>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</si>
  <si>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</si>
  <si>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</si>
  <si>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</si>
  <si>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</si>
  <si>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</si>
  <si>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</si>
  <si>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</si>
  <si>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</si>
  <si>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</si>
  <si>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</si>
  <si>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</si>
  <si>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</si>
  <si>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</si>
  <si>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</si>
  <si>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</si>
  <si>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</si>
  <si>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</si>
  <si>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</si>
  <si>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</si>
  <si>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</si>
  <si>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</si>
  <si>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</si>
  <si>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</si>
  <si>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</si>
  <si>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</si>
  <si>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</si>
  <si>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</si>
  <si>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</si>
  <si>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</si>
  <si>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</si>
  <si>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</si>
  <si>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</si>
  <si>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</si>
  <si>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</si>
  <si>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</si>
  <si>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</si>
  <si>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</si>
  <si>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</si>
  <si>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</si>
  <si>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</si>
  <si>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</si>
  <si>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</si>
  <si>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</si>
  <si>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</si>
  <si>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</si>
  <si>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</si>
  <si>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</si>
  <si>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</si>
  <si>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</si>
  <si>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</si>
  <si>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</si>
  <si>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</si>
  <si>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</si>
  <si>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</si>
  <si>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</si>
  <si>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</si>
  <si>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</si>
  <si>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</si>
  <si>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</si>
  <si>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</si>
  <si>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</si>
  <si>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</si>
  <si>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</si>
  <si>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</si>
  <si>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</si>
  <si>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</si>
  <si>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</si>
  <si>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</si>
  <si>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</si>
  <si>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</si>
  <si>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</si>
  <si>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</si>
  <si>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</si>
  <si>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</si>
  <si>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</si>
  <si>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</si>
  <si>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</si>
  <si>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</si>
  <si>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</si>
  <si>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</si>
  <si>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</si>
  <si>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</si>
  <si>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</si>
  <si>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</si>
  <si>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</si>
  <si>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</si>
  <si>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</si>
  <si>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</si>
  <si>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</si>
  <si>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</si>
  <si>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</si>
  <si>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</si>
  <si>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</si>
  <si>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</si>
  <si>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</si>
  <si>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</si>
  <si>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</si>
  <si>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</si>
  <si>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</si>
  <si>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</si>
  <si>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</si>
  <si>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</si>
  <si>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</si>
  <si>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</si>
  <si>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</si>
  <si>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</si>
  <si>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</si>
  <si>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</si>
  <si>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</si>
  <si>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</si>
  <si>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</si>
  <si>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</si>
  <si>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</si>
  <si>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</si>
  <si>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</si>
  <si>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</si>
  <si>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</si>
  <si>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</si>
  <si>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</si>
  <si>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</si>
  <si>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</si>
  <si>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</si>
  <si>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</si>
  <si>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</si>
  <si>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</si>
  <si>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</si>
  <si>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</si>
  <si>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</si>
  <si>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</si>
  <si>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</si>
  <si>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</si>
  <si>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</si>
  <si>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</si>
  <si>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</si>
  <si>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</si>
  <si>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</si>
  <si>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</si>
  <si>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</si>
  <si>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</si>
  <si>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</si>
  <si>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</si>
  <si>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</si>
  <si>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</si>
  <si>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</si>
  <si>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</si>
  <si>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</si>
  <si>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</si>
  <si>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</si>
  <si>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</si>
  <si>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</si>
  <si>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</si>
  <si>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</si>
  <si>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</si>
  <si>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</si>
  <si>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</si>
  <si>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</si>
  <si>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</si>
  <si>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</si>
  <si>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</si>
  <si>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</si>
  <si>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</si>
  <si>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</si>
  <si>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</si>
  <si>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</si>
  <si>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</si>
  <si>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</si>
  <si>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</si>
  <si>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</si>
  <si>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</si>
  <si>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</si>
  <si>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</si>
  <si>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</si>
  <si>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</si>
  <si>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</si>
  <si>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</si>
  <si>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</si>
  <si>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</si>
  <si>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</si>
  <si>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</si>
  <si>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</si>
  <si>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</si>
  <si>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</si>
  <si>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</si>
  <si>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</si>
  <si>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</si>
  <si>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</si>
  <si>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</si>
  <si>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</si>
  <si>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</si>
  <si>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</si>
  <si>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</si>
  <si>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</si>
  <si>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</si>
  <si>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</si>
  <si>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</si>
  <si>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</si>
  <si>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</si>
  <si>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</si>
  <si>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</si>
  <si>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</si>
  <si>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</si>
  <si>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</si>
  <si>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</si>
  <si>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</si>
  <si>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</si>
  <si>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</si>
  <si>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</si>
  <si>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</si>
  <si>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</si>
  <si>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</si>
  <si>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</si>
  <si>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</si>
  <si>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</si>
  <si>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</si>
  <si>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</si>
  <si>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</si>
  <si>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</si>
  <si>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</si>
  <si>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</si>
  <si>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</si>
  <si>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</si>
  <si>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</si>
  <si>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</si>
  <si>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</si>
  <si>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</si>
  <si>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</si>
  <si>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</si>
  <si>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</si>
  <si>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</si>
  <si>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</si>
  <si>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</si>
  <si>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</si>
  <si>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</si>
  <si>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</si>
  <si>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</si>
  <si>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</si>
  <si>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</si>
  <si>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</si>
  <si>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</si>
  <si>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</si>
  <si>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</si>
  <si>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</si>
  <si>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</si>
  <si>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</si>
  <si>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</si>
  <si>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</si>
  <si>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</si>
  <si>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</si>
  <si>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</si>
  <si>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</si>
  <si>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</si>
  <si>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</si>
  <si>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</si>
  <si>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</si>
  <si>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</si>
  <si>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</si>
  <si>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</si>
  <si>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</si>
  <si>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</si>
  <si>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</si>
  <si>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</si>
  <si>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</si>
  <si>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</si>
  <si>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</si>
  <si>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</si>
  <si>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</si>
  <si>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</si>
  <si>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</si>
  <si>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</si>
  <si>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</si>
  <si>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</si>
  <si>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</si>
  <si>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</si>
  <si>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</si>
  <si>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</si>
  <si>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</si>
  <si>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</si>
  <si>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</si>
  <si>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</si>
  <si>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</si>
  <si>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</si>
  <si>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</si>
  <si>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</si>
  <si>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</si>
  <si>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</si>
  <si>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</si>
  <si>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</si>
  <si>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</si>
  <si>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</si>
  <si>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</si>
  <si>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</si>
  <si>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</si>
  <si>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</si>
  <si>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</si>
  <si>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</si>
  <si>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</si>
  <si>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</si>
  <si>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</si>
  <si>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</si>
  <si>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</si>
  <si>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</si>
  <si>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</si>
  <si>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</si>
  <si>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</si>
  <si>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</si>
  <si>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</si>
  <si>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</si>
  <si>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</si>
  <si>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</si>
  <si>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</si>
  <si>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</si>
  <si>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</si>
  <si>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</si>
  <si>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</si>
  <si>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</si>
  <si>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</si>
  <si>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</si>
  <si>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</si>
  <si>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</si>
  <si>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</si>
  <si>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</si>
  <si>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</si>
  <si>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</si>
  <si>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</si>
  <si>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</si>
  <si>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</si>
  <si>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</si>
  <si>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</si>
  <si>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</si>
  <si>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</si>
  <si>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</si>
  <si>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</si>
  <si>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</si>
  <si>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</si>
  <si>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</si>
  <si>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</si>
  <si>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</si>
  <si>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</si>
  <si>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</si>
  <si>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</si>
  <si>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</si>
  <si>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</si>
  <si>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</si>
  <si>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</si>
  <si>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</si>
  <si>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</si>
  <si>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</si>
  <si>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</si>
  <si>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</si>
  <si>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</si>
  <si>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</si>
  <si>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</si>
  <si>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</si>
  <si>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</si>
  <si>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</si>
  <si>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</si>
  <si>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</si>
  <si>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</si>
  <si>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</si>
  <si>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</si>
  <si>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</si>
  <si>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</si>
  <si>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</si>
  <si>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</si>
  <si>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</si>
  <si>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</si>
  <si>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</si>
  <si>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</si>
  <si>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</si>
  <si>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</si>
  <si>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</si>
  <si>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</si>
  <si>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</si>
  <si>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</si>
  <si>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</si>
  <si>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</si>
  <si>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</si>
  <si>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</si>
  <si>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</si>
  <si>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</si>
  <si>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</si>
  <si>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</si>
  <si>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</si>
  <si>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</si>
  <si>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</si>
  <si>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</si>
  <si>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</si>
  <si>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</si>
  <si>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</si>
  <si>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</si>
  <si>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</si>
  <si>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</si>
  <si>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</si>
  <si>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</si>
  <si>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</si>
  <si>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</si>
  <si>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</si>
  <si>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</si>
  <si>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</si>
  <si>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</si>
  <si>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</si>
  <si>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</si>
  <si>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</si>
  <si>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</si>
  <si>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</si>
  <si>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</si>
  <si>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</si>
  <si>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</si>
  <si>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</si>
  <si>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</si>
  <si>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</si>
  <si>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</si>
  <si>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</si>
  <si>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</si>
  <si>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</si>
  <si>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</si>
  <si>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</si>
  <si>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</si>
  <si>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</si>
  <si>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</si>
  <si>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</si>
  <si>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</si>
  <si>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</si>
  <si>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</si>
  <si>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</si>
  <si>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</si>
  <si>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</si>
  <si>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</si>
  <si>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</si>
  <si>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</si>
  <si>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</si>
  <si>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</si>
  <si>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</si>
  <si>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</si>
  <si>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</si>
  <si>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</si>
  <si>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</si>
  <si>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</si>
  <si>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</si>
  <si>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</si>
  <si>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</si>
  <si>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</si>
  <si>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</si>
  <si>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</si>
  <si>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</si>
  <si>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</si>
  <si>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</si>
  <si>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</si>
  <si>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</si>
  <si>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</si>
  <si>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</si>
  <si>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</si>
  <si>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</si>
  <si>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</si>
  <si>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</si>
  <si>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</si>
  <si>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</si>
  <si>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</si>
  <si>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</si>
  <si>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</si>
  <si>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</si>
  <si>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</si>
  <si>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</si>
  <si>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</si>
  <si>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</si>
  <si>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</si>
  <si>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</si>
  <si>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</si>
  <si>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</si>
  <si>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</si>
  <si>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</si>
  <si>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</si>
  <si>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</si>
  <si>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</si>
  <si>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</si>
  <si>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</si>
  <si>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</si>
  <si>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</si>
  <si>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</si>
  <si>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</si>
  <si>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</si>
  <si>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</si>
  <si>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</si>
  <si>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</si>
  <si>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</si>
  <si>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</si>
  <si>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</si>
  <si>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</si>
  <si>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</si>
  <si>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</si>
  <si>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</si>
  <si>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</si>
  <si>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</si>
  <si>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</si>
  <si>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</si>
  <si>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</si>
  <si>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</si>
  <si>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</si>
  <si>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</si>
  <si>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</si>
  <si>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</si>
  <si>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</si>
  <si>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</si>
  <si>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</si>
  <si>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</si>
  <si>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</si>
  <si>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</si>
  <si>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D</t>
    <phoneticPr fontId="134" type="noConversion"/>
  </si>
  <si>
    <t>楼层</t>
    <phoneticPr fontId="134" type="noConversion"/>
  </si>
  <si>
    <t>建筑面积</t>
    <phoneticPr fontId="134" type="noConversion"/>
  </si>
  <si>
    <t>地下</t>
    <phoneticPr fontId="134" type="noConversion"/>
  </si>
  <si>
    <t>租赁面积</t>
    <phoneticPr fontId="134" type="noConversion"/>
  </si>
  <si>
    <r>
      <t>B</t>
    </r>
    <r>
      <rPr>
        <sz val="11"/>
        <color theme="1"/>
        <rFont val="宋体"/>
        <family val="3"/>
        <charset val="134"/>
        <scheme val="minor"/>
      </rPr>
      <t>1</t>
    </r>
    <phoneticPr fontId="134" type="noConversion"/>
  </si>
  <si>
    <t>G</t>
    <phoneticPr fontId="134" type="noConversion"/>
  </si>
  <si>
    <t>D座1G层</t>
    <phoneticPr fontId="3" type="noConversion"/>
  </si>
  <si>
    <t>D座01层</t>
    <phoneticPr fontId="3" type="noConversion"/>
  </si>
  <si>
    <t>D座02层</t>
  </si>
  <si>
    <t>D座03层</t>
  </si>
  <si>
    <t>D座05层</t>
  </si>
  <si>
    <t>D座06层</t>
  </si>
  <si>
    <t>D座07层</t>
  </si>
  <si>
    <t>D座08层</t>
  </si>
  <si>
    <t>D座09层</t>
  </si>
  <si>
    <t>D座10层</t>
  </si>
  <si>
    <t>D座11层</t>
  </si>
  <si>
    <t>D座12层</t>
  </si>
  <si>
    <t>D座15层</t>
  </si>
  <si>
    <t>D座16层</t>
  </si>
  <si>
    <t>D座17层</t>
  </si>
  <si>
    <t>D座18层</t>
  </si>
  <si>
    <t>D座19层</t>
  </si>
  <si>
    <t>D座20层</t>
  </si>
  <si>
    <t>D座21层</t>
  </si>
  <si>
    <t>D座22层</t>
  </si>
  <si>
    <t>D座23层</t>
  </si>
  <si>
    <t>D座25层</t>
  </si>
  <si>
    <t>D座26层</t>
  </si>
  <si>
    <t>D座27层</t>
  </si>
  <si>
    <t>D座28层</t>
  </si>
  <si>
    <t>D座机房1层</t>
    <phoneticPr fontId="3" type="noConversion"/>
  </si>
  <si>
    <t>D座机房2层</t>
  </si>
  <si>
    <t>其它1G</t>
    <phoneticPr fontId="3" type="noConversion"/>
  </si>
  <si>
    <t>其它01层</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</si>
  <si>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</si>
  <si>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</si>
  <si>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</si>
  <si>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</si>
  <si>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</si>
  <si>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</si>
  <si>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</si>
  <si>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</si>
  <si>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</si>
  <si>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27</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</si>
  <si>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</si>
  <si>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</si>
  <si>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</si>
  <si>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</si>
  <si>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</si>
  <si>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</si>
  <si>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</si>
  <si>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</si>
  <si>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1"/>
        <color indexed="8"/>
        <rFont val="FangSong"/>
        <family val="3"/>
        <charset val="134"/>
      </rPr>
      <t xml:space="preserve"> n</t>
    </r>
    <r>
      <rPr>
        <sz val="11"/>
        <color indexed="8"/>
        <rFont val="FangSong"/>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</si>
  <si>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</si>
  <si>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</si>
  <si>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</si>
  <si>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</si>
  <si>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</si>
  <si>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</si>
  <si>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</si>
  <si>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</si>
  <si>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</si>
  <si>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</si>
  <si>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</si>
  <si>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</si>
  <si>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</si>
  <si>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</si>
  <si>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</si>
  <si>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</si>
  <si>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</si>
  <si>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</si>
  <si>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</si>
  <si>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</si>
  <si>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</si>
  <si>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</si>
  <si>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</si>
  <si>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</si>
  <si>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</si>
  <si>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</si>
  <si>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</si>
  <si>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</si>
  <si>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权重</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</si>
  <si>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</si>
  <si>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</si>
  <si>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</si>
  <si>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</si>
  <si>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</si>
  <si>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</si>
  <si>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</si>
  <si>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</si>
  <si>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</si>
  <si>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</si>
  <si>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</si>
  <si>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</si>
  <si>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</si>
  <si>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</si>
  <si>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</si>
  <si>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</si>
  <si>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</si>
  <si>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</si>
  <si>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</si>
  <si>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</si>
  <si>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</si>
  <si>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</si>
  <si>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</si>
  <si>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</si>
  <si>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</si>
  <si>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</si>
  <si>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</si>
  <si>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</si>
  <si>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</si>
  <si>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</si>
  <si>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</si>
  <si>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</si>
  <si>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</si>
  <si>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</si>
  <si>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</si>
  <si>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</si>
  <si>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</si>
  <si>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</si>
  <si>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</si>
  <si>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</si>
  <si>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</si>
  <si>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</si>
  <si>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</si>
  <si>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</si>
  <si>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</si>
  <si>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</si>
  <si>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</si>
  <si>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</si>
  <si>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</si>
  <si>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</si>
  <si>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</si>
  <si>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</si>
  <si>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</si>
  <si>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</si>
  <si>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</si>
  <si>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</si>
  <si>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</si>
  <si>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</si>
  <si>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r>
      <rPr>
        <sz val="11"/>
        <color indexed="8"/>
        <rFont val="FangSong"/>
        <family val="3"/>
        <charset val="134"/>
      </rPr>
      <t>0.2%-0.3%</t>
    </r>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</si>
  <si>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</si>
  <si>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</si>
  <si>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</si>
  <si>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</si>
  <si>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</si>
  <si>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</si>
  <si>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</si>
  <si>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</si>
  <si>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r>
      <t>市场租金（元/</t>
    </r>
    <r>
      <rPr>
        <sz val="11"/>
        <color indexed="10"/>
        <rFont val="FangSong"/>
        <family val="3"/>
        <charset val="134"/>
      </rPr>
      <t>建筑</t>
    </r>
    <r>
      <rPr>
        <sz val="11"/>
        <color indexed="8"/>
        <rFont val="FangSong"/>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</si>
  <si>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</si>
  <si>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</si>
  <si>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</si>
  <si>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11"/>
        <color indexed="10"/>
        <rFont val="FangSong"/>
        <family val="3"/>
        <charset val="134"/>
      </rPr>
      <t>1层商业用房</t>
    </r>
    <r>
      <rPr>
        <b/>
        <sz val="11"/>
        <rFont val="FangSong"/>
        <family val="3"/>
        <charset val="134"/>
      </rPr>
      <t>结果一览表</t>
    </r>
    <phoneticPr fontId="3" type="noConversion"/>
  </si>
  <si>
    <t>估价方法</t>
  </si>
  <si>
    <t>租金（元/㎡·天）</t>
    <phoneticPr fontId="3" type="noConversion"/>
  </si>
  <si>
    <t>一层</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</si>
  <si>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</si>
  <si>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</si>
  <si>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</si>
  <si>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</si>
  <si>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</si>
  <si>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</si>
  <si>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</si>
  <si>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</si>
  <si>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</si>
  <si>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</si>
  <si>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</si>
  <si>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收益法倒推房地产价值表外修正</t>
    <phoneticPr fontId="279" type="noConversion"/>
  </si>
  <si>
    <t>修正后房地产单价</t>
    <phoneticPr fontId="279" type="noConversion"/>
  </si>
  <si>
    <t>整体出租</t>
    <phoneticPr fontId="279" type="noConversion"/>
  </si>
  <si>
    <t>业态</t>
    <phoneticPr fontId="279" type="noConversion"/>
  </si>
  <si>
    <t>层高</t>
    <phoneticPr fontId="279" type="noConversion"/>
  </si>
  <si>
    <t>出让金</t>
    <phoneticPr fontId="279" type="noConversion"/>
  </si>
  <si>
    <t>元/平方米</t>
    <phoneticPr fontId="279" type="noConversion"/>
  </si>
  <si>
    <t>建安单价（元/建筑㎡）</t>
    <phoneticPr fontId="3" type="noConversion"/>
  </si>
  <si>
    <t>登记楼层</t>
    <phoneticPr fontId="134" type="noConversion"/>
  </si>
  <si>
    <t>D座1G</t>
    <phoneticPr fontId="3" type="noConversion"/>
  </si>
  <si>
    <t>DG01</t>
    <phoneticPr fontId="3" type="noConversion"/>
  </si>
  <si>
    <t>DG02</t>
    <phoneticPr fontId="3" type="noConversion"/>
  </si>
  <si>
    <t>DG03</t>
  </si>
  <si>
    <t>DG05</t>
    <phoneticPr fontId="3" type="noConversion"/>
  </si>
  <si>
    <t>D座01</t>
    <phoneticPr fontId="3" type="noConversion"/>
  </si>
  <si>
    <t>D101</t>
    <phoneticPr fontId="3" type="noConversion"/>
  </si>
  <si>
    <t>D102</t>
  </si>
  <si>
    <t>D座02</t>
    <phoneticPr fontId="3" type="noConversion"/>
  </si>
  <si>
    <t>D201</t>
    <phoneticPr fontId="3" type="noConversion"/>
  </si>
  <si>
    <t>D座03</t>
    <phoneticPr fontId="3" type="noConversion"/>
  </si>
  <si>
    <t>D301</t>
    <phoneticPr fontId="3" type="noConversion"/>
  </si>
  <si>
    <t>D座05</t>
    <phoneticPr fontId="3" type="noConversion"/>
  </si>
  <si>
    <t>D501</t>
    <phoneticPr fontId="3" type="noConversion"/>
  </si>
  <si>
    <t>D座06</t>
    <phoneticPr fontId="3" type="noConversion"/>
  </si>
  <si>
    <t>D601</t>
    <phoneticPr fontId="3" type="noConversion"/>
  </si>
  <si>
    <t>D座07</t>
    <phoneticPr fontId="3" type="noConversion"/>
  </si>
  <si>
    <t>D701</t>
    <phoneticPr fontId="3" type="noConversion"/>
  </si>
  <si>
    <t>D座08</t>
    <phoneticPr fontId="3" type="noConversion"/>
  </si>
  <si>
    <t>D801</t>
    <phoneticPr fontId="3" type="noConversion"/>
  </si>
  <si>
    <t>D座09</t>
    <phoneticPr fontId="3" type="noConversion"/>
  </si>
  <si>
    <t>D901</t>
    <phoneticPr fontId="3" type="noConversion"/>
  </si>
  <si>
    <t>D座10</t>
    <phoneticPr fontId="3" type="noConversion"/>
  </si>
  <si>
    <t>D1001</t>
    <phoneticPr fontId="3" type="noConversion"/>
  </si>
  <si>
    <t>D座11</t>
    <phoneticPr fontId="3" type="noConversion"/>
  </si>
  <si>
    <t>D1101</t>
    <phoneticPr fontId="3" type="noConversion"/>
  </si>
  <si>
    <t>D座12</t>
    <phoneticPr fontId="3" type="noConversion"/>
  </si>
  <si>
    <t>D1201</t>
    <phoneticPr fontId="3" type="noConversion"/>
  </si>
  <si>
    <t>D座15</t>
    <phoneticPr fontId="3" type="noConversion"/>
  </si>
  <si>
    <t>D1501</t>
    <phoneticPr fontId="3" type="noConversion"/>
  </si>
  <si>
    <t>D座16</t>
    <phoneticPr fontId="3" type="noConversion"/>
  </si>
  <si>
    <t>D1601</t>
    <phoneticPr fontId="3" type="noConversion"/>
  </si>
  <si>
    <t>D座17</t>
    <phoneticPr fontId="3" type="noConversion"/>
  </si>
  <si>
    <t>D1701</t>
    <phoneticPr fontId="3" type="noConversion"/>
  </si>
  <si>
    <t>D座18</t>
    <phoneticPr fontId="3" type="noConversion"/>
  </si>
  <si>
    <t>D1801</t>
    <phoneticPr fontId="3" type="noConversion"/>
  </si>
  <si>
    <t>D座19</t>
    <phoneticPr fontId="3" type="noConversion"/>
  </si>
  <si>
    <t>D1901</t>
    <phoneticPr fontId="3" type="noConversion"/>
  </si>
  <si>
    <t>D座20</t>
    <phoneticPr fontId="3" type="noConversion"/>
  </si>
  <si>
    <t>D2001</t>
    <phoneticPr fontId="3" type="noConversion"/>
  </si>
  <si>
    <t>D座21</t>
    <phoneticPr fontId="3" type="noConversion"/>
  </si>
  <si>
    <t>D2101</t>
    <phoneticPr fontId="3" type="noConversion"/>
  </si>
  <si>
    <t>D座22</t>
    <phoneticPr fontId="3" type="noConversion"/>
  </si>
  <si>
    <t>D2201</t>
    <phoneticPr fontId="3" type="noConversion"/>
  </si>
  <si>
    <t>D座23</t>
    <phoneticPr fontId="3" type="noConversion"/>
  </si>
  <si>
    <t>D2301</t>
    <phoneticPr fontId="3" type="noConversion"/>
  </si>
  <si>
    <t>D座25</t>
    <phoneticPr fontId="3" type="noConversion"/>
  </si>
  <si>
    <t>D2501</t>
    <phoneticPr fontId="3" type="noConversion"/>
  </si>
  <si>
    <t>D座26</t>
    <phoneticPr fontId="3" type="noConversion"/>
  </si>
  <si>
    <t>D2601</t>
    <phoneticPr fontId="3" type="noConversion"/>
  </si>
  <si>
    <t>D座27</t>
    <phoneticPr fontId="3" type="noConversion"/>
  </si>
  <si>
    <t>D2701</t>
    <phoneticPr fontId="3" type="noConversion"/>
  </si>
  <si>
    <t>D座28</t>
    <phoneticPr fontId="3" type="noConversion"/>
  </si>
  <si>
    <t>D2801</t>
    <phoneticPr fontId="3" type="noConversion"/>
  </si>
  <si>
    <t>D座机房1</t>
    <phoneticPr fontId="3" type="noConversion"/>
  </si>
  <si>
    <t>库房</t>
    <phoneticPr fontId="3" type="noConversion"/>
  </si>
  <si>
    <t>D座机房2</t>
    <phoneticPr fontId="3" type="noConversion"/>
  </si>
  <si>
    <t>库房</t>
    <phoneticPr fontId="3" type="noConversion"/>
  </si>
  <si>
    <t>实际楼层</t>
    <phoneticPr fontId="3" type="noConversion"/>
  </si>
  <si>
    <t>名义楼层</t>
    <phoneticPr fontId="3" type="noConversion"/>
  </si>
  <si>
    <t>楼层</t>
    <phoneticPr fontId="3" type="noConversion"/>
  </si>
  <si>
    <t>房屋建筑面积</t>
    <phoneticPr fontId="3" type="noConversion"/>
  </si>
  <si>
    <t>楼层建筑面积</t>
    <phoneticPr fontId="3" type="noConversion"/>
  </si>
  <si>
    <t>D座01</t>
    <phoneticPr fontId="3" type="noConversion"/>
  </si>
  <si>
    <t>1夹层</t>
    <phoneticPr fontId="3" type="noConversion"/>
  </si>
  <si>
    <t>D座02</t>
    <phoneticPr fontId="3" type="noConversion"/>
  </si>
  <si>
    <t>D座03</t>
    <phoneticPr fontId="3" type="noConversion"/>
  </si>
  <si>
    <t>D座05层</t>
    <phoneticPr fontId="3" type="noConversion"/>
  </si>
  <si>
    <t>D座05</t>
    <phoneticPr fontId="3" type="noConversion"/>
  </si>
  <si>
    <t>D座06层</t>
    <phoneticPr fontId="3" type="noConversion"/>
  </si>
  <si>
    <t>D座06</t>
    <phoneticPr fontId="3" type="noConversion"/>
  </si>
  <si>
    <t>D座07层</t>
    <phoneticPr fontId="3" type="noConversion"/>
  </si>
  <si>
    <t>D座07</t>
  </si>
  <si>
    <t>D座08层</t>
    <phoneticPr fontId="3" type="noConversion"/>
  </si>
  <si>
    <t>D座08</t>
  </si>
  <si>
    <t>D座09层</t>
    <phoneticPr fontId="3" type="noConversion"/>
  </si>
  <si>
    <t>D座09</t>
  </si>
  <si>
    <t>D座10层</t>
    <phoneticPr fontId="3" type="noConversion"/>
  </si>
  <si>
    <t>D座10</t>
  </si>
  <si>
    <t>D座11层</t>
    <phoneticPr fontId="3" type="noConversion"/>
  </si>
  <si>
    <t>D座11</t>
  </si>
  <si>
    <t>D座12层</t>
    <phoneticPr fontId="3" type="noConversion"/>
  </si>
  <si>
    <t>D座12</t>
  </si>
  <si>
    <t>D座15层</t>
    <phoneticPr fontId="3" type="noConversion"/>
  </si>
  <si>
    <t>D座16层</t>
    <phoneticPr fontId="3" type="noConversion"/>
  </si>
  <si>
    <t>D座17层</t>
    <phoneticPr fontId="3" type="noConversion"/>
  </si>
  <si>
    <t>D座17</t>
  </si>
  <si>
    <t>D座18</t>
  </si>
  <si>
    <t>D座19</t>
  </si>
  <si>
    <t>D座20</t>
  </si>
  <si>
    <t>D座21</t>
  </si>
  <si>
    <t>D座22</t>
  </si>
  <si>
    <t>D座23</t>
  </si>
  <si>
    <t>D座25层</t>
    <phoneticPr fontId="3" type="noConversion"/>
  </si>
  <si>
    <t>D座25</t>
    <phoneticPr fontId="3" type="noConversion"/>
  </si>
  <si>
    <t>D座26层</t>
    <phoneticPr fontId="3" type="noConversion"/>
  </si>
  <si>
    <t>D座27</t>
  </si>
  <si>
    <t>其他01层</t>
    <phoneticPr fontId="3" type="noConversion"/>
  </si>
  <si>
    <t>D座28</t>
  </si>
  <si>
    <t>楼层</t>
    <phoneticPr fontId="3" type="noConversion"/>
  </si>
  <si>
    <t>汇总</t>
    <phoneticPr fontId="3" type="noConversion"/>
  </si>
  <si>
    <t>地下3层D座停车库</t>
    <phoneticPr fontId="3" type="noConversion"/>
  </si>
  <si>
    <t>地上机房</t>
    <phoneticPr fontId="3" type="noConversion"/>
  </si>
  <si>
    <t>地下3层库房</t>
    <phoneticPr fontId="3" type="noConversion"/>
  </si>
  <si>
    <t>地上部分总计</t>
    <phoneticPr fontId="3" type="noConversion"/>
  </si>
  <si>
    <t>地下2层D座停车库</t>
    <phoneticPr fontId="3" type="noConversion"/>
  </si>
  <si>
    <t>地下部分总计</t>
    <phoneticPr fontId="3" type="noConversion"/>
  </si>
  <si>
    <t>地下2层D座库房</t>
    <phoneticPr fontId="3" type="noConversion"/>
  </si>
  <si>
    <t>总建筑面积</t>
    <phoneticPr fontId="3" type="noConversion"/>
  </si>
  <si>
    <t>地下2层DB201-203</t>
    <phoneticPr fontId="3" type="noConversion"/>
  </si>
  <si>
    <t>地下1层停车库</t>
    <phoneticPr fontId="3" type="noConversion"/>
  </si>
  <si>
    <t>地下1层DB101-116</t>
    <phoneticPr fontId="3" type="noConversion"/>
  </si>
  <si>
    <t>地上</t>
  </si>
  <si>
    <t>是</t>
  </si>
  <si>
    <t>商业</t>
    <phoneticPr fontId="7" type="noConversion"/>
  </si>
  <si>
    <t>办公</t>
    <phoneticPr fontId="7" type="noConversion"/>
  </si>
  <si>
    <t>成新度</t>
  </si>
  <si>
    <t>启迪科技大厦</t>
    <phoneticPr fontId="3" type="noConversion"/>
  </si>
  <si>
    <t>正常</t>
  </si>
  <si>
    <t>商业</t>
    <phoneticPr fontId="134" type="noConversion"/>
  </si>
  <si>
    <t>较好</t>
  </si>
  <si>
    <t>七通</t>
  </si>
  <si>
    <t>清华科技园</t>
    <phoneticPr fontId="3" type="noConversion"/>
  </si>
  <si>
    <t>办公</t>
    <phoneticPr fontId="31" type="noConversion"/>
  </si>
  <si>
    <t>市调</t>
    <phoneticPr fontId="134" type="noConversion"/>
  </si>
  <si>
    <t>启迪科技大厦</t>
    <phoneticPr fontId="134" type="noConversion"/>
  </si>
  <si>
    <t>A|B座不对外出租</t>
    <phoneticPr fontId="134" type="noConversion"/>
  </si>
  <si>
    <t>C主要为小业主</t>
    <phoneticPr fontId="134" type="noConversion"/>
  </si>
  <si>
    <t>D刚装修改造</t>
    <phoneticPr fontId="134" type="noConversion"/>
  </si>
  <si>
    <t>同类</t>
    <phoneticPr fontId="134" type="noConversion"/>
  </si>
  <si>
    <t>威盛大厦</t>
    <phoneticPr fontId="134" type="noConversion"/>
  </si>
  <si>
    <t>搜狐大厦</t>
    <phoneticPr fontId="134" type="noConversion"/>
  </si>
  <si>
    <r>
      <t>7</t>
    </r>
    <r>
      <rPr>
        <sz val="11"/>
        <color theme="1"/>
        <rFont val="宋体"/>
        <family val="3"/>
        <charset val="134"/>
        <scheme val="minor"/>
      </rPr>
      <t>-8元净租金</t>
    </r>
    <phoneticPr fontId="134" type="noConversion"/>
  </si>
  <si>
    <r>
      <t>含物业费及发票1</t>
    </r>
    <r>
      <rPr>
        <sz val="11"/>
        <color theme="1"/>
        <rFont val="宋体"/>
        <family val="3"/>
        <charset val="134"/>
        <scheme val="minor"/>
      </rPr>
      <t>0元左右</t>
    </r>
    <phoneticPr fontId="134" type="noConversion"/>
  </si>
  <si>
    <t>11-12元净租金</t>
    <phoneticPr fontId="134" type="noConversion"/>
  </si>
  <si>
    <t>价格可谈</t>
    <phoneticPr fontId="134" type="noConversion"/>
  </si>
  <si>
    <t>主要价格差以品牌知名度为主</t>
    <phoneticPr fontId="134" type="noConversion"/>
  </si>
  <si>
    <t>楼层</t>
    <phoneticPr fontId="31" type="noConversion"/>
  </si>
  <si>
    <r>
      <rPr>
        <sz val="11"/>
        <color indexed="8"/>
        <rFont val="宋体"/>
        <family val="3"/>
        <charset val="134"/>
      </rPr>
      <t>中楼层</t>
    </r>
    <r>
      <rPr>
        <sz val="11"/>
        <color indexed="8"/>
        <rFont val="Arial"/>
        <family val="2"/>
      </rPr>
      <t>/20</t>
    </r>
    <phoneticPr fontId="31" type="noConversion"/>
  </si>
  <si>
    <t>搜狐网络大厦</t>
    <phoneticPr fontId="3" type="noConversion"/>
  </si>
  <si>
    <r>
      <rPr>
        <sz val="11"/>
        <color indexed="8"/>
        <rFont val="宋体"/>
        <family val="3"/>
        <charset val="134"/>
      </rPr>
      <t>高楼层</t>
    </r>
    <r>
      <rPr>
        <sz val="11"/>
        <color indexed="8"/>
        <rFont val="Arial"/>
        <family val="2"/>
      </rPr>
      <t>/17</t>
    </r>
    <phoneticPr fontId="31" type="noConversion"/>
  </si>
  <si>
    <r>
      <rPr>
        <sz val="11"/>
        <color indexed="8"/>
        <rFont val="宋体"/>
        <family val="3"/>
        <charset val="134"/>
      </rPr>
      <t>高楼层</t>
    </r>
    <r>
      <rPr>
        <sz val="11"/>
        <color indexed="8"/>
        <rFont val="Arial"/>
        <family val="2"/>
      </rPr>
      <t>/28</t>
    </r>
    <phoneticPr fontId="31" type="noConversion"/>
  </si>
  <si>
    <r>
      <rPr>
        <sz val="11"/>
        <rFont val="宋体"/>
        <family val="3"/>
        <charset val="134"/>
      </rPr>
      <t>中楼层</t>
    </r>
    <r>
      <rPr>
        <sz val="11"/>
        <rFont val="Arial"/>
        <family val="2"/>
      </rPr>
      <t>/28</t>
    </r>
    <phoneticPr fontId="31" type="noConversion"/>
  </si>
  <si>
    <t>钢混</t>
  </si>
  <si>
    <t>钢混</t>
    <phoneticPr fontId="31" type="noConversion"/>
  </si>
  <si>
    <t>精装修</t>
  </si>
  <si>
    <t>精装修</t>
    <phoneticPr fontId="31" type="noConversion"/>
  </si>
  <si>
    <t>甲级</t>
  </si>
  <si>
    <t>甲级</t>
    <phoneticPr fontId="31" type="noConversion"/>
  </si>
  <si>
    <t>专业</t>
  </si>
  <si>
    <t>专业</t>
    <phoneticPr fontId="31" type="noConversion"/>
  </si>
  <si>
    <t>七通</t>
    <phoneticPr fontId="31" type="noConversion"/>
  </si>
  <si>
    <t>六通</t>
    <phoneticPr fontId="31" type="noConversion"/>
  </si>
  <si>
    <t>五通</t>
    <phoneticPr fontId="31" type="noConversion"/>
  </si>
  <si>
    <r>
      <rPr>
        <sz val="11"/>
        <color indexed="8"/>
        <rFont val="宋体"/>
        <family val="3"/>
        <charset val="134"/>
      </rPr>
      <t>城市主干道</t>
    </r>
    <r>
      <rPr>
        <sz val="11"/>
        <color indexed="8"/>
        <rFont val="Arial"/>
        <family val="2"/>
      </rPr>
      <t>-</t>
    </r>
    <r>
      <rPr>
        <sz val="11"/>
        <color indexed="8"/>
        <rFont val="宋体"/>
        <family val="3"/>
        <charset val="134"/>
      </rPr>
      <t>中关村东路</t>
    </r>
    <phoneticPr fontId="31" type="noConversion"/>
  </si>
  <si>
    <r>
      <rPr>
        <sz val="11"/>
        <color indexed="8"/>
        <rFont val="宋体"/>
        <family val="3"/>
        <charset val="134"/>
      </rPr>
      <t>城市主干道</t>
    </r>
    <r>
      <rPr>
        <sz val="11"/>
        <color indexed="8"/>
        <rFont val="Arial"/>
        <family val="2"/>
      </rPr>
      <t>-</t>
    </r>
    <r>
      <rPr>
        <sz val="11"/>
        <color indexed="8"/>
        <rFont val="宋体"/>
        <family val="3"/>
        <charset val="134"/>
      </rPr>
      <t>成府路</t>
    </r>
    <phoneticPr fontId="31" type="noConversion"/>
  </si>
  <si>
    <t>城市主干道-成府路</t>
  </si>
  <si>
    <t>城市主干道-中关村东路</t>
  </si>
  <si>
    <t>清华科技园创业大厦</t>
    <phoneticPr fontId="134" type="noConversion"/>
  </si>
  <si>
    <r>
      <rPr>
        <sz val="11"/>
        <color indexed="8"/>
        <rFont val="宋体"/>
        <family val="3"/>
        <charset val="134"/>
      </rPr>
      <t>高楼层</t>
    </r>
    <r>
      <rPr>
        <sz val="11"/>
        <color indexed="8"/>
        <rFont val="Arial"/>
        <family val="2"/>
      </rPr>
      <t>/20</t>
    </r>
    <phoneticPr fontId="31" type="noConversion"/>
  </si>
  <si>
    <r>
      <rPr>
        <sz val="11"/>
        <color indexed="8"/>
        <rFont val="宋体"/>
        <family val="3"/>
        <charset val="134"/>
      </rPr>
      <t>低楼层</t>
    </r>
    <r>
      <rPr>
        <sz val="11"/>
        <color indexed="8"/>
        <rFont val="Arial"/>
        <family val="2"/>
      </rPr>
      <t>/28</t>
    </r>
    <phoneticPr fontId="31" type="noConversion"/>
  </si>
  <si>
    <r>
      <rPr>
        <sz val="11"/>
        <color indexed="8"/>
        <rFont val="宋体"/>
        <family val="3"/>
        <charset val="134"/>
      </rPr>
      <t>中楼层</t>
    </r>
    <r>
      <rPr>
        <sz val="11"/>
        <color indexed="8"/>
        <rFont val="Arial"/>
        <family val="2"/>
      </rPr>
      <t>/28</t>
    </r>
    <phoneticPr fontId="31" type="noConversion"/>
  </si>
  <si>
    <t>建成年份</t>
    <phoneticPr fontId="134" type="noConversion"/>
  </si>
  <si>
    <t>综合体</t>
    <phoneticPr fontId="134" type="noConversion"/>
  </si>
  <si>
    <t>商业街商铺</t>
  </si>
  <si>
    <t>商业街商铺</t>
    <phoneticPr fontId="134" type="noConversion"/>
  </si>
  <si>
    <t>住宅底商</t>
    <phoneticPr fontId="134" type="noConversion"/>
  </si>
  <si>
    <t>写字楼底商</t>
  </si>
  <si>
    <t>写字楼底商</t>
    <phoneticPr fontId="134" type="noConversion"/>
  </si>
  <si>
    <t>财智国际大厦</t>
    <phoneticPr fontId="30" type="noConversion"/>
  </si>
  <si>
    <t>东源大厦</t>
    <phoneticPr fontId="3" type="noConversion"/>
  </si>
  <si>
    <t>五道口嘉园</t>
    <phoneticPr fontId="3" type="noConversion"/>
  </si>
  <si>
    <t>商业</t>
    <phoneticPr fontId="30" type="noConversion"/>
  </si>
  <si>
    <t>六通</t>
  </si>
  <si>
    <t>双面临界</t>
    <phoneticPr fontId="30" type="noConversion"/>
  </si>
  <si>
    <t>单面临街</t>
  </si>
  <si>
    <t>单面临街</t>
    <phoneticPr fontId="30" type="noConversion"/>
  </si>
  <si>
    <t>较好</t>
    <phoneticPr fontId="30" type="noConversion"/>
  </si>
  <si>
    <t>一般</t>
  </si>
  <si>
    <t>一般</t>
    <phoneticPr fontId="30" type="noConversion"/>
  </si>
  <si>
    <t>较差</t>
    <phoneticPr fontId="30" type="noConversion"/>
  </si>
  <si>
    <t>差</t>
    <phoneticPr fontId="30" type="noConversion"/>
  </si>
  <si>
    <t>好</t>
    <phoneticPr fontId="30" type="noConversion"/>
  </si>
  <si>
    <t>好</t>
    <phoneticPr fontId="30" type="noConversion"/>
  </si>
  <si>
    <r>
      <t>1</t>
    </r>
    <r>
      <rPr>
        <sz val="11"/>
        <color indexed="8"/>
        <rFont val="宋体"/>
        <family val="3"/>
        <charset val="134"/>
      </rPr>
      <t>层</t>
    </r>
    <phoneticPr fontId="30" type="noConversion"/>
  </si>
  <si>
    <t>一般</t>
    <phoneticPr fontId="30" type="noConversion"/>
  </si>
  <si>
    <t>较好</t>
    <phoneticPr fontId="30" type="noConversion"/>
  </si>
  <si>
    <t>较好</t>
    <phoneticPr fontId="30" type="noConversion"/>
  </si>
  <si>
    <t>较好</t>
    <phoneticPr fontId="30" type="noConversion"/>
  </si>
  <si>
    <t>不临街</t>
  </si>
  <si>
    <t>不临街</t>
    <phoneticPr fontId="30" type="noConversion"/>
  </si>
  <si>
    <t>1层</t>
  </si>
  <si>
    <t>钢混</t>
    <phoneticPr fontId="30" type="noConversion"/>
  </si>
  <si>
    <t>精装修</t>
    <phoneticPr fontId="30" type="noConversion"/>
  </si>
  <si>
    <t>正常</t>
    <phoneticPr fontId="30" type="noConversion"/>
  </si>
  <si>
    <t>标准层高</t>
  </si>
  <si>
    <t>标准层高</t>
    <phoneticPr fontId="30" type="noConversion"/>
  </si>
  <si>
    <t>非餐饮</t>
    <phoneticPr fontId="30" type="noConversion"/>
  </si>
  <si>
    <t>七通</t>
    <phoneticPr fontId="30" type="noConversion"/>
  </si>
  <si>
    <t>六通</t>
    <phoneticPr fontId="30" type="noConversion"/>
  </si>
  <si>
    <t>五通</t>
  </si>
  <si>
    <t>五通</t>
    <phoneticPr fontId="30" type="noConversion"/>
  </si>
  <si>
    <t>五道口嘉园</t>
    <phoneticPr fontId="3" type="noConversion"/>
  </si>
  <si>
    <t>中关村图书大厦</t>
    <phoneticPr fontId="3" type="noConversion"/>
  </si>
  <si>
    <t>新中关商铺</t>
    <phoneticPr fontId="3" type="noConversion"/>
  </si>
  <si>
    <t>1层</t>
    <phoneticPr fontId="134" type="noConversion"/>
  </si>
  <si>
    <t>G层</t>
    <phoneticPr fontId="134" type="noConversion"/>
  </si>
  <si>
    <r>
      <t>B</t>
    </r>
    <r>
      <rPr>
        <sz val="11"/>
        <color theme="1"/>
        <rFont val="宋体"/>
        <family val="3"/>
        <charset val="134"/>
        <scheme val="minor"/>
      </rPr>
      <t>1层</t>
    </r>
    <phoneticPr fontId="134" type="noConversion"/>
  </si>
  <si>
    <t>平均租金</t>
    <phoneticPr fontId="134" type="noConversion"/>
  </si>
  <si>
    <t>用途</t>
    <phoneticPr fontId="134" type="noConversion"/>
  </si>
  <si>
    <r>
      <t>3</t>
    </r>
    <r>
      <rPr>
        <sz val="11"/>
        <color theme="1"/>
        <rFont val="宋体"/>
        <family val="3"/>
        <charset val="134"/>
        <scheme val="minor"/>
      </rPr>
      <t>-28层</t>
    </r>
    <phoneticPr fontId="134" type="noConversion"/>
  </si>
  <si>
    <t>楼层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</si>
</sst>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color theme="1"/>
      <name val="FangSong"/>
      <family val="3"/>
      <charset val="134"/>
    </font>
    <font>
      <sz val="11"/>
      <color theme="1"/>
      <name val="FangSong"/>
      <family val="3"/>
      <charset val="134"/>
    </font>
    <font>
      <sz val="11"/>
      <name val="FangSong"/>
      <family val="3"/>
      <charset val="134"/>
    </font>
    <font>
      <sz val="11"/>
      <color rgb="FFFF0000"/>
      <name val="FangSong"/>
      <family val="3"/>
      <charset val="134"/>
    </font>
    <font>
      <vertAlign val="superscript"/>
      <sz val="11"/>
      <color indexed="8"/>
      <name val="FangSong"/>
      <family val="3"/>
      <charset val="134"/>
    </font>
    <font>
      <sz val="11"/>
      <color indexed="8"/>
      <name val="FangSong"/>
      <family val="3"/>
      <charset val="134"/>
    </font>
    <font>
      <b/>
      <sz val="11"/>
      <color rgb="FFFF0000"/>
      <name val="FangSong"/>
      <family val="3"/>
      <charset val="134"/>
    </font>
    <font>
      <b/>
      <sz val="11"/>
      <name val="FangSong"/>
      <family val="3"/>
      <charset val="134"/>
    </font>
    <font>
      <sz val="11"/>
      <color indexed="10"/>
      <name val="FangSong"/>
      <family val="3"/>
      <charset val="134"/>
    </font>
    <font>
      <b/>
      <sz val="11"/>
      <color indexed="10"/>
      <name val="FangSong"/>
      <family val="3"/>
      <charset val="134"/>
    </font>
    <font>
      <sz val="9"/>
      <name val="宋体"/>
      <family val="4"/>
      <charset val="134"/>
      <scheme val="minor"/>
    </font>
    <font>
      <sz val="10"/>
      <name val="微软雅黑"/>
      <family val="2"/>
      <charset val="134"/>
    </font>
    <font>
      <b/>
      <sz val="9"/>
      <name val="微软雅黑"/>
      <family val="2"/>
      <charset val="134"/>
    </font>
    <font>
      <sz val="9"/>
      <name val="微软雅黑"/>
      <family val="2"/>
      <charset val="134"/>
    </font>
    <font>
      <sz val="9"/>
      <color rgb="FFFF0000"/>
      <name val="微软雅黑"/>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66CCFF"/>
        <bgColor indexed="64"/>
      </patternFill>
    </fill>
    <fill>
      <patternFill patternType="solid">
        <fgColor theme="7" tint="0.79998168889431442"/>
        <bgColor indexed="64"/>
      </patternFill>
    </fill>
    <fill>
      <patternFill patternType="solid">
        <fgColor indexed="51"/>
        <bgColor indexed="64"/>
      </patternFill>
    </fill>
    <fill>
      <patternFill patternType="solid">
        <fgColor theme="5"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indexed="64"/>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0" applyFont="1">
      <alignment vertical="center"/>
    </xf>
    <xf numFmtId="0" fontId="0" fillId="0" borderId="0" xfId="0" applyAlignment="1">
      <alignment horizontal="center" vertical="center"/>
    </xf>
    <xf numFmtId="0" fontId="95" fillId="0" borderId="0" xfId="0" applyFont="1" applyAlignment="1">
      <alignment horizontal="center" vertical="center"/>
    </xf>
    <xf numFmtId="0" fontId="270" fillId="0" borderId="0" xfId="10" applyFont="1">
      <alignment vertical="center"/>
    </xf>
    <xf numFmtId="0" fontId="271" fillId="0" borderId="1" xfId="10" applyFont="1" applyBorder="1" applyAlignment="1">
      <alignment horizontal="left" vertical="center" wrapText="1" shrinkToFit="1"/>
    </xf>
    <xf numFmtId="9" fontId="272" fillId="0" borderId="1" xfId="10" applyNumberFormat="1" applyFont="1" applyBorder="1" applyAlignment="1">
      <alignment horizontal="center" vertical="center" wrapText="1" shrinkToFit="1"/>
    </xf>
    <xf numFmtId="0" fontId="270" fillId="0" borderId="0" xfId="10" applyFont="1" applyAlignment="1"/>
    <xf numFmtId="0" fontId="270" fillId="0" borderId="0" xfId="10" applyFont="1" applyAlignment="1">
      <alignment vertical="center" wrapText="1"/>
    </xf>
    <xf numFmtId="49" fontId="270" fillId="0" borderId="1" xfId="10" applyNumberFormat="1" applyFont="1" applyBorder="1" applyAlignment="1">
      <alignment horizontal="center" vertical="center" wrapText="1" shrinkToFit="1"/>
    </xf>
    <xf numFmtId="0" fontId="270" fillId="0" borderId="1" xfId="10" applyFont="1" applyBorder="1" applyAlignment="1">
      <alignment vertical="center" wrapText="1" shrinkToFit="1"/>
    </xf>
    <xf numFmtId="0" fontId="270" fillId="0" borderId="1" xfId="10" applyFont="1" applyBorder="1" applyAlignment="1">
      <alignment horizontal="center" vertical="center" wrapText="1" shrinkToFit="1"/>
    </xf>
    <xf numFmtId="49" fontId="271" fillId="0" borderId="1" xfId="10" applyNumberFormat="1" applyFont="1" applyBorder="1" applyAlignment="1">
      <alignment horizontal="center" vertical="center" wrapText="1" shrinkToFit="1"/>
    </xf>
    <xf numFmtId="0" fontId="270" fillId="0" borderId="0" xfId="10" applyFont="1" applyAlignment="1">
      <alignment wrapText="1"/>
    </xf>
    <xf numFmtId="0" fontId="270" fillId="0" borderId="1" xfId="10" applyFont="1" applyBorder="1" applyAlignment="1">
      <alignment horizontal="left" vertical="center" wrapText="1" shrinkToFit="1"/>
    </xf>
    <xf numFmtId="179" fontId="270" fillId="23" borderId="1" xfId="10" applyNumberFormat="1" applyFont="1" applyFill="1" applyBorder="1" applyAlignment="1">
      <alignment horizontal="center" vertical="center" wrapText="1" shrinkToFit="1"/>
    </xf>
    <xf numFmtId="9" fontId="270" fillId="0" borderId="1" xfId="10" applyNumberFormat="1" applyFont="1" applyBorder="1" applyAlignment="1">
      <alignment horizontal="left" vertical="center" wrapText="1" shrinkToFit="1"/>
    </xf>
    <xf numFmtId="181" fontId="275" fillId="5" borderId="1" xfId="10" applyNumberFormat="1" applyFont="1" applyFill="1" applyBorder="1" applyAlignment="1">
      <alignment horizontal="center" vertical="center" wrapText="1" shrinkToFit="1"/>
    </xf>
    <xf numFmtId="9" fontId="276" fillId="0" borderId="1" xfId="10" applyNumberFormat="1" applyFont="1" applyBorder="1" applyAlignment="1">
      <alignment horizontal="center" vertical="center" wrapText="1"/>
    </xf>
    <xf numFmtId="179" fontId="272" fillId="0" borderId="1" xfId="10" applyNumberFormat="1" applyFont="1" applyBorder="1" applyAlignment="1">
      <alignment horizontal="center" vertical="center" wrapText="1" shrinkToFit="1"/>
    </xf>
    <xf numFmtId="0" fontId="270" fillId="0" borderId="0" xfId="10" applyFont="1" applyAlignment="1">
      <alignment horizontal="center" vertical="center"/>
    </xf>
    <xf numFmtId="9" fontId="271" fillId="24" borderId="1" xfId="10" applyNumberFormat="1" applyFont="1" applyFill="1" applyBorder="1" applyAlignment="1">
      <alignment horizontal="center" vertical="center" wrapText="1"/>
    </xf>
    <xf numFmtId="0" fontId="270" fillId="0" borderId="0" xfId="10" applyFont="1" applyAlignment="1">
      <alignment vertical="center" wrapText="1" shrinkToFit="1"/>
    </xf>
    <xf numFmtId="181" fontId="272" fillId="17" borderId="1" xfId="10" applyNumberFormat="1" applyFont="1" applyFill="1" applyBorder="1" applyAlignment="1">
      <alignment horizontal="center" vertical="center" wrapText="1" shrinkToFit="1"/>
    </xf>
    <xf numFmtId="179" fontId="270" fillId="0" borderId="0" xfId="10" applyNumberFormat="1" applyFont="1" applyAlignment="1">
      <alignment horizontal="center" vertical="center"/>
    </xf>
    <xf numFmtId="0" fontId="270" fillId="0" borderId="1" xfId="10" applyFont="1" applyBorder="1" applyAlignment="1">
      <alignment vertical="center" wrapText="1"/>
    </xf>
    <xf numFmtId="0" fontId="270" fillId="0" borderId="1" xfId="10" applyFont="1" applyBorder="1" applyAlignment="1">
      <alignment horizontal="center" vertical="center" wrapText="1"/>
    </xf>
    <xf numFmtId="9" fontId="271" fillId="0" borderId="1" xfId="10" applyNumberFormat="1" applyFont="1" applyBorder="1" applyAlignment="1">
      <alignment horizontal="center" vertical="center" wrapText="1"/>
    </xf>
    <xf numFmtId="9" fontId="270" fillId="0" borderId="1" xfId="10" applyNumberFormat="1" applyFont="1" applyBorder="1" applyAlignment="1">
      <alignment horizontal="center" vertical="center" wrapText="1"/>
    </xf>
    <xf numFmtId="179" fontId="270" fillId="0" borderId="0" xfId="10" applyNumberFormat="1" applyFont="1">
      <alignment vertical="center"/>
    </xf>
    <xf numFmtId="10" fontId="270" fillId="0" borderId="1" xfId="10" applyNumberFormat="1" applyFont="1" applyBorder="1" applyAlignment="1">
      <alignment horizontal="center" vertical="center" wrapText="1"/>
    </xf>
    <xf numFmtId="9" fontId="270" fillId="24" borderId="1" xfId="10" applyNumberFormat="1" applyFont="1" applyFill="1" applyBorder="1" applyAlignment="1">
      <alignment horizontal="center" vertical="center" wrapText="1"/>
    </xf>
    <xf numFmtId="10" fontId="269" fillId="0" borderId="1" xfId="10" applyNumberFormat="1" applyFont="1" applyBorder="1" applyAlignment="1">
      <alignment horizontal="center" vertical="center" wrapText="1"/>
    </xf>
    <xf numFmtId="0" fontId="270" fillId="0" borderId="1" xfId="10" applyFont="1" applyBorder="1" applyAlignment="1">
      <alignment wrapText="1"/>
    </xf>
    <xf numFmtId="0" fontId="270" fillId="0" borderId="0" xfId="1" applyFont="1" applyAlignment="1" applyProtection="1">
      <alignment horizontal="left" vertical="center"/>
      <protection hidden="1"/>
    </xf>
    <xf numFmtId="179" fontId="270" fillId="0" borderId="0" xfId="10" applyNumberFormat="1" applyFont="1" applyAlignment="1">
      <alignment vertical="center" wrapText="1" shrinkToFit="1"/>
    </xf>
    <xf numFmtId="181" fontId="270" fillId="0" borderId="0" xfId="10" applyNumberFormat="1" applyFont="1" applyAlignment="1">
      <alignment horizontal="center" vertical="center"/>
    </xf>
    <xf numFmtId="49" fontId="270" fillId="0" borderId="13" xfId="10" applyNumberFormat="1" applyFont="1" applyBorder="1" applyAlignment="1">
      <alignment horizontal="center" vertical="center" wrapText="1" shrinkToFit="1"/>
    </xf>
    <xf numFmtId="0" fontId="270" fillId="0" borderId="13" xfId="10" applyFont="1" applyBorder="1" applyAlignment="1">
      <alignment vertical="center" wrapText="1" shrinkToFit="1"/>
    </xf>
    <xf numFmtId="0" fontId="270" fillId="0" borderId="5" xfId="10" applyFont="1" applyBorder="1" applyAlignment="1">
      <alignment horizontal="center" vertical="center" wrapText="1" shrinkToFit="1"/>
    </xf>
    <xf numFmtId="0" fontId="270" fillId="0" borderId="54" xfId="10" applyFont="1" applyBorder="1" applyAlignment="1">
      <alignment horizontal="center" vertical="center" wrapText="1" shrinkToFit="1"/>
    </xf>
    <xf numFmtId="180" fontId="270" fillId="0" borderId="54" xfId="10" applyNumberFormat="1" applyFont="1" applyBorder="1" applyAlignment="1">
      <alignment horizontal="center" vertical="center" wrapText="1" shrinkToFit="1"/>
    </xf>
    <xf numFmtId="0" fontId="270" fillId="0" borderId="3" xfId="10" applyFont="1" applyBorder="1" applyAlignment="1">
      <alignment horizontal="left" vertical="center" wrapText="1" shrinkToFit="1"/>
    </xf>
    <xf numFmtId="0" fontId="272" fillId="0" borderId="1" xfId="10" applyFont="1" applyBorder="1" applyAlignment="1">
      <alignment horizontal="center" vertical="center" wrapText="1" shrinkToFit="1"/>
    </xf>
    <xf numFmtId="10" fontId="270" fillId="0" borderId="1" xfId="10" applyNumberFormat="1" applyFont="1" applyBorder="1" applyAlignment="1">
      <alignment horizontal="center" vertical="center" wrapText="1" shrinkToFit="1"/>
    </xf>
    <xf numFmtId="9" fontId="270" fillId="0" borderId="0" xfId="10" applyNumberFormat="1" applyFont="1" applyAlignment="1">
      <alignment horizontal="center" vertical="center"/>
    </xf>
    <xf numFmtId="0" fontId="270" fillId="0" borderId="5" xfId="10" applyFont="1" applyBorder="1" applyAlignment="1">
      <alignment horizontal="right" vertical="center" wrapText="1" shrinkToFit="1"/>
    </xf>
    <xf numFmtId="49" fontId="270" fillId="0" borderId="54" xfId="10" applyNumberFormat="1" applyFont="1" applyBorder="1" applyAlignment="1">
      <alignment horizontal="center" vertical="center" wrapText="1" shrinkToFit="1"/>
    </xf>
    <xf numFmtId="10" fontId="269" fillId="0" borderId="0" xfId="10" applyNumberFormat="1" applyFont="1" applyAlignment="1">
      <alignment horizontal="center" vertical="center"/>
    </xf>
    <xf numFmtId="182" fontId="270" fillId="0" borderId="0" xfId="10" applyNumberFormat="1" applyFont="1" applyAlignment="1">
      <alignment horizontal="center" vertical="center"/>
    </xf>
    <xf numFmtId="10" fontId="270" fillId="0" borderId="0" xfId="10" applyNumberFormat="1" applyFont="1" applyAlignment="1">
      <alignment horizontal="center" vertical="center"/>
    </xf>
    <xf numFmtId="9" fontId="270" fillId="0" borderId="1" xfId="10" applyNumberFormat="1" applyFont="1" applyBorder="1" applyAlignment="1">
      <alignment horizontal="center" vertical="center" wrapText="1" shrinkToFit="1"/>
    </xf>
    <xf numFmtId="0" fontId="270" fillId="0" borderId="0" xfId="10" applyFont="1" applyAlignment="1">
      <alignment horizontal="left" vertical="center" wrapText="1"/>
    </xf>
    <xf numFmtId="0" fontId="270" fillId="0" borderId="0" xfId="10" applyFont="1" applyAlignment="1">
      <alignment horizontal="center" vertical="center" wrapText="1"/>
    </xf>
    <xf numFmtId="0" fontId="272" fillId="0" borderId="0" xfId="10" applyFont="1" applyAlignment="1">
      <alignment vertical="center" wrapText="1"/>
    </xf>
    <xf numFmtId="0" fontId="271" fillId="0" borderId="1" xfId="10" applyFont="1" applyBorder="1" applyAlignment="1">
      <alignment horizontal="center" vertical="center" wrapText="1"/>
    </xf>
    <xf numFmtId="0" fontId="270" fillId="7" borderId="0" xfId="10" applyFont="1" applyFill="1" applyAlignment="1">
      <alignment vertical="center" wrapText="1"/>
    </xf>
    <xf numFmtId="178" fontId="270" fillId="7" borderId="0" xfId="10" applyNumberFormat="1" applyFont="1" applyFill="1" applyAlignment="1">
      <alignment vertical="center" wrapText="1"/>
    </xf>
    <xf numFmtId="9" fontId="272" fillId="0" borderId="1" xfId="10" applyNumberFormat="1" applyFont="1" applyBorder="1" applyAlignment="1">
      <alignment horizontal="center" vertical="center" wrapText="1"/>
    </xf>
    <xf numFmtId="178" fontId="271" fillId="0" borderId="1" xfId="10" applyNumberFormat="1" applyFont="1" applyBorder="1" applyAlignment="1">
      <alignment horizontal="center" vertical="center" wrapText="1"/>
    </xf>
    <xf numFmtId="0" fontId="272" fillId="0" borderId="0" xfId="10" applyFont="1" applyAlignment="1">
      <alignment horizontal="center" vertical="center" wrapText="1"/>
    </xf>
    <xf numFmtId="179" fontId="270" fillId="0" borderId="0" xfId="10" applyNumberFormat="1" applyFont="1" applyAlignment="1">
      <alignment vertical="center" wrapText="1"/>
    </xf>
    <xf numFmtId="0" fontId="270" fillId="7" borderId="1" xfId="10" applyFont="1" applyFill="1" applyBorder="1" applyAlignment="1">
      <alignment horizontal="center" vertical="center"/>
    </xf>
    <xf numFmtId="0" fontId="270" fillId="0" borderId="1" xfId="10" applyFont="1" applyBorder="1" applyAlignment="1">
      <alignment horizontal="center" vertical="center"/>
    </xf>
    <xf numFmtId="0" fontId="270" fillId="5" borderId="1" xfId="10" applyFont="1" applyFill="1" applyBorder="1" applyAlignment="1">
      <alignment horizontal="center" vertical="center"/>
    </xf>
    <xf numFmtId="0" fontId="270" fillId="27" borderId="1" xfId="10" applyFont="1" applyFill="1" applyBorder="1" applyAlignment="1">
      <alignment horizontal="center" vertical="center"/>
    </xf>
    <xf numFmtId="0" fontId="270" fillId="7" borderId="0" xfId="10" applyFont="1" applyFill="1" applyAlignment="1">
      <alignment horizontal="center" vertical="center"/>
    </xf>
    <xf numFmtId="0" fontId="270" fillId="5" borderId="0" xfId="10" applyFont="1" applyFill="1" applyAlignment="1">
      <alignment horizontal="center" vertical="center"/>
    </xf>
    <xf numFmtId="0" fontId="280" fillId="0" borderId="1" xfId="0" applyFont="1" applyFill="1" applyBorder="1" applyAlignment="1">
      <alignment horizontal="left" vertical="center"/>
    </xf>
    <xf numFmtId="0" fontId="280" fillId="0" borderId="1" xfId="0" applyFont="1" applyFill="1" applyBorder="1">
      <alignment vertical="center"/>
    </xf>
    <xf numFmtId="0" fontId="280" fillId="7" borderId="1" xfId="0" applyFont="1" applyFill="1" applyBorder="1" applyAlignment="1">
      <alignment horizontal="left" vertical="center"/>
    </xf>
    <xf numFmtId="0" fontId="280" fillId="5" borderId="1" xfId="0" applyFont="1" applyFill="1" applyBorder="1">
      <alignment vertical="center"/>
    </xf>
    <xf numFmtId="0" fontId="281" fillId="6" borderId="176" xfId="0" applyFont="1" applyFill="1" applyBorder="1" applyAlignment="1">
      <alignment horizontal="left" vertical="center" wrapText="1"/>
    </xf>
    <xf numFmtId="0" fontId="281" fillId="6" borderId="44" xfId="0" applyFont="1" applyFill="1" applyBorder="1" applyAlignment="1">
      <alignment horizontal="left" vertical="center" wrapText="1"/>
    </xf>
    <xf numFmtId="0" fontId="281" fillId="6" borderId="150" xfId="0" applyFont="1" applyFill="1" applyBorder="1" applyAlignment="1">
      <alignment horizontal="left" vertical="center" wrapText="1"/>
    </xf>
    <xf numFmtId="0" fontId="282" fillId="0" borderId="1" xfId="0" applyFont="1" applyFill="1" applyBorder="1">
      <alignment vertical="center"/>
    </xf>
    <xf numFmtId="0" fontId="282" fillId="0" borderId="3" xfId="0" applyFont="1" applyFill="1" applyBorder="1" applyAlignment="1">
      <alignment horizontal="left" vertical="center" wrapText="1"/>
    </xf>
    <xf numFmtId="0" fontId="282" fillId="0" borderId="1" xfId="0" applyFont="1" applyFill="1" applyBorder="1" applyAlignment="1">
      <alignment horizontal="left" vertical="center" wrapText="1"/>
    </xf>
    <xf numFmtId="0" fontId="282" fillId="7" borderId="1" xfId="0" applyFont="1" applyFill="1" applyBorder="1" applyAlignment="1">
      <alignment horizontal="right" vertical="center"/>
    </xf>
    <xf numFmtId="0" fontId="282" fillId="0" borderId="78" xfId="0" applyFont="1" applyFill="1" applyBorder="1">
      <alignment vertical="center"/>
    </xf>
    <xf numFmtId="0" fontId="283" fillId="0" borderId="118" xfId="0" applyFont="1" applyFill="1" applyBorder="1" applyAlignment="1">
      <alignment horizontal="left" vertical="center" wrapText="1"/>
    </xf>
    <xf numFmtId="0" fontId="282" fillId="0" borderId="78" xfId="0" applyFont="1" applyFill="1" applyBorder="1" applyAlignment="1">
      <alignment horizontal="left" vertical="center" wrapText="1"/>
    </xf>
    <xf numFmtId="0" fontId="282" fillId="0" borderId="0" xfId="0" applyFont="1" applyFill="1">
      <alignment vertical="center"/>
    </xf>
    <xf numFmtId="0" fontId="282" fillId="0" borderId="0" xfId="0" applyFont="1" applyFill="1" applyAlignment="1">
      <alignment horizontal="left" vertical="center" wrapText="1"/>
    </xf>
    <xf numFmtId="0" fontId="282" fillId="6" borderId="176" xfId="0" applyFont="1" applyFill="1" applyBorder="1" applyAlignment="1">
      <alignment horizontal="left" vertical="center" wrapText="1"/>
    </xf>
    <xf numFmtId="0" fontId="282" fillId="0" borderId="150" xfId="0" applyFont="1" applyFill="1" applyBorder="1">
      <alignment vertical="center"/>
    </xf>
    <xf numFmtId="0" fontId="282" fillId="6" borderId="3" xfId="0" applyFont="1" applyFill="1" applyBorder="1" applyAlignment="1">
      <alignment horizontal="left" vertical="center" wrapText="1"/>
    </xf>
    <xf numFmtId="0" fontId="282" fillId="0" borderId="5" xfId="0" applyFont="1" applyFill="1" applyBorder="1">
      <alignment vertical="center"/>
    </xf>
    <xf numFmtId="0" fontId="282" fillId="27" borderId="3" xfId="0" applyFont="1" applyFill="1" applyBorder="1" applyAlignment="1">
      <alignment horizontal="left" vertical="center" wrapText="1"/>
    </xf>
    <xf numFmtId="0" fontId="282" fillId="6" borderId="118" xfId="0" applyFont="1" applyFill="1" applyBorder="1" applyAlignment="1">
      <alignment horizontal="left" vertical="center" wrapText="1"/>
    </xf>
    <xf numFmtId="0" fontId="282" fillId="0" borderId="85" xfId="0" applyFont="1" applyFill="1" applyBorder="1">
      <alignment vertical="center"/>
    </xf>
    <xf numFmtId="0" fontId="281" fillId="5" borderId="150" xfId="0" applyFont="1" applyFill="1" applyBorder="1" applyAlignment="1">
      <alignment horizontal="left" vertical="center" wrapText="1"/>
    </xf>
    <xf numFmtId="0" fontId="95" fillId="5" borderId="0" xfId="0" applyFont="1" applyFill="1" applyAlignment="1">
      <alignment horizontal="center" vertical="center"/>
    </xf>
    <xf numFmtId="0" fontId="0" fillId="5" borderId="0" xfId="0" applyFill="1" applyAlignment="1">
      <alignment horizontal="center" vertical="center"/>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178" fontId="271" fillId="0" borderId="1" xfId="10" applyNumberFormat="1" applyFont="1" applyBorder="1" applyAlignment="1">
      <alignment horizontal="center" vertical="center" wrapText="1"/>
    </xf>
    <xf numFmtId="0" fontId="270" fillId="27" borderId="1" xfId="10" applyFont="1" applyFill="1" applyBorder="1" applyAlignment="1">
      <alignment horizontal="center" vertical="center"/>
    </xf>
    <xf numFmtId="0" fontId="271" fillId="0" borderId="1" xfId="10" applyFont="1" applyBorder="1" applyAlignment="1">
      <alignment horizontal="center" vertical="center" wrapText="1"/>
    </xf>
    <xf numFmtId="0" fontId="270" fillId="0" borderId="5" xfId="10" applyFont="1" applyBorder="1" applyAlignment="1">
      <alignment horizontal="center" vertical="center" wrapText="1" shrinkToFit="1"/>
    </xf>
    <xf numFmtId="0" fontId="270" fillId="0" borderId="54"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270" fillId="0" borderId="1" xfId="10" applyFont="1" applyBorder="1" applyAlignment="1">
      <alignment horizontal="left" vertical="center" wrapText="1" shrinkToFit="1"/>
    </xf>
    <xf numFmtId="0" fontId="270" fillId="0" borderId="5" xfId="10" applyFont="1" applyBorder="1" applyAlignment="1">
      <alignment horizontal="right" vertical="center" wrapText="1" shrinkToFit="1"/>
    </xf>
    <xf numFmtId="10" fontId="270" fillId="0" borderId="1" xfId="10" applyNumberFormat="1" applyFont="1" applyBorder="1" applyAlignment="1">
      <alignment horizontal="center" vertical="center" wrapText="1" shrinkToFit="1"/>
    </xf>
    <xf numFmtId="0" fontId="270" fillId="0" borderId="3"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270" fillId="0" borderId="1" xfId="10" applyFont="1" applyBorder="1" applyAlignment="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4"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58" fontId="95"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0" fillId="0" borderId="0" xfId="0" applyAlignment="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178" fontId="271" fillId="0" borderId="1" xfId="10" applyNumberFormat="1" applyFont="1" applyBorder="1" applyAlignment="1">
      <alignment horizontal="center" vertical="center" wrapText="1"/>
    </xf>
    <xf numFmtId="0" fontId="270" fillId="27" borderId="1" xfId="10" applyFont="1" applyFill="1" applyBorder="1" applyAlignment="1">
      <alignment horizontal="center" vertical="center"/>
    </xf>
    <xf numFmtId="0" fontId="276" fillId="26" borderId="0" xfId="10" applyFont="1" applyFill="1" applyAlignment="1">
      <alignment horizontal="center" vertical="center" wrapText="1"/>
    </xf>
    <xf numFmtId="0" fontId="271" fillId="0" borderId="1" xfId="10" applyFont="1" applyBorder="1" applyAlignment="1">
      <alignment horizontal="center" vertical="center" wrapText="1"/>
    </xf>
    <xf numFmtId="179" fontId="271" fillId="0" borderId="1" xfId="10" applyNumberFormat="1" applyFont="1" applyBorder="1" applyAlignment="1">
      <alignment horizontal="center" vertical="center" wrapText="1"/>
    </xf>
    <xf numFmtId="0" fontId="270" fillId="0" borderId="5" xfId="10" applyFont="1" applyBorder="1" applyAlignment="1">
      <alignment horizontal="center" vertical="center" wrapText="1" shrinkToFit="1"/>
    </xf>
    <xf numFmtId="0" fontId="270" fillId="0" borderId="54" xfId="10" applyFont="1" applyBorder="1" applyAlignment="1">
      <alignment horizontal="center" vertical="center" wrapText="1" shrinkToFit="1"/>
    </xf>
    <xf numFmtId="0" fontId="270" fillId="0" borderId="3"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270" fillId="0" borderId="1" xfId="10" applyFont="1" applyBorder="1" applyAlignment="1">
      <alignment horizontal="left" vertical="center" wrapText="1" shrinkToFit="1"/>
    </xf>
    <xf numFmtId="179" fontId="270" fillId="25" borderId="46" xfId="10" applyNumberFormat="1" applyFont="1" applyFill="1" applyBorder="1" applyAlignment="1">
      <alignment horizontal="center" vertical="center" wrapText="1" shrinkToFit="1"/>
    </xf>
    <xf numFmtId="179" fontId="270" fillId="25" borderId="36" xfId="10" applyNumberFormat="1" applyFont="1" applyFill="1" applyBorder="1" applyAlignment="1">
      <alignment horizontal="center" vertical="center" wrapText="1" shrinkToFit="1"/>
    </xf>
    <xf numFmtId="179" fontId="270" fillId="25" borderId="22" xfId="10" applyNumberFormat="1" applyFont="1" applyFill="1" applyBorder="1" applyAlignment="1">
      <alignment horizontal="center" vertical="center" wrapText="1" shrinkToFit="1"/>
    </xf>
    <xf numFmtId="179" fontId="270" fillId="25" borderId="4" xfId="10" applyNumberFormat="1" applyFont="1" applyFill="1" applyBorder="1" applyAlignment="1">
      <alignment horizontal="center" vertical="center" wrapText="1" shrinkToFit="1"/>
    </xf>
    <xf numFmtId="179" fontId="270" fillId="25" borderId="60" xfId="10" applyNumberFormat="1" applyFont="1" applyFill="1" applyBorder="1" applyAlignment="1">
      <alignment horizontal="center" vertical="center" wrapText="1" shrinkToFit="1"/>
    </xf>
    <xf numFmtId="179" fontId="270" fillId="25" borderId="7" xfId="10" applyNumberFormat="1" applyFont="1" applyFill="1" applyBorder="1" applyAlignment="1">
      <alignment horizontal="center" vertical="center" wrapText="1" shrinkToFit="1"/>
    </xf>
    <xf numFmtId="10" fontId="272" fillId="0" borderId="1" xfId="10" applyNumberFormat="1" applyFont="1" applyBorder="1" applyAlignment="1">
      <alignment horizontal="center" vertical="center" wrapText="1" shrinkToFit="1"/>
    </xf>
    <xf numFmtId="182" fontId="272" fillId="0" borderId="1" xfId="10" applyNumberFormat="1" applyFont="1" applyBorder="1" applyAlignment="1">
      <alignment horizontal="center" vertical="center" wrapText="1" shrinkToFit="1"/>
    </xf>
    <xf numFmtId="0" fontId="270" fillId="0" borderId="5" xfId="10" applyFont="1" applyBorder="1" applyAlignment="1">
      <alignment horizontal="right" vertical="center" wrapText="1" shrinkToFit="1"/>
    </xf>
    <xf numFmtId="0" fontId="270" fillId="0" borderId="54" xfId="10" applyFont="1" applyBorder="1" applyAlignment="1">
      <alignment horizontal="right" vertical="center" wrapText="1" shrinkToFit="1"/>
    </xf>
    <xf numFmtId="10" fontId="270" fillId="0" borderId="54" xfId="10" applyNumberFormat="1" applyFont="1" applyBorder="1" applyAlignment="1">
      <alignment horizontal="left" vertical="center" wrapText="1" shrinkToFit="1"/>
    </xf>
    <xf numFmtId="10" fontId="270" fillId="0" borderId="3" xfId="10" applyNumberFormat="1" applyFont="1" applyBorder="1" applyAlignment="1">
      <alignment horizontal="left" vertical="center" wrapText="1" shrinkToFit="1"/>
    </xf>
    <xf numFmtId="10" fontId="270" fillId="7" borderId="54" xfId="10" applyNumberFormat="1" applyFont="1" applyFill="1" applyBorder="1" applyAlignment="1">
      <alignment horizontal="left" vertical="center" wrapText="1" shrinkToFit="1"/>
    </xf>
    <xf numFmtId="10" fontId="270" fillId="7" borderId="3" xfId="10" applyNumberFormat="1" applyFont="1" applyFill="1" applyBorder="1" applyAlignment="1">
      <alignment horizontal="left" vertical="center" wrapText="1" shrinkToFit="1"/>
    </xf>
    <xf numFmtId="10" fontId="270" fillId="0" borderId="1" xfId="10" applyNumberFormat="1" applyFont="1" applyBorder="1" applyAlignment="1">
      <alignment horizontal="center" vertical="center" wrapText="1" shrinkToFit="1"/>
    </xf>
    <xf numFmtId="10" fontId="270" fillId="0" borderId="5" xfId="10" applyNumberFormat="1" applyFont="1" applyBorder="1" applyAlignment="1">
      <alignment horizontal="center" vertical="center" wrapText="1" shrinkToFit="1"/>
    </xf>
    <xf numFmtId="10" fontId="270" fillId="0" borderId="3" xfId="10" applyNumberFormat="1" applyFont="1" applyBorder="1" applyAlignment="1">
      <alignment horizontal="center" vertical="center" wrapText="1" shrinkToFit="1"/>
    </xf>
    <xf numFmtId="184" fontId="270" fillId="0" borderId="54" xfId="10" applyNumberFormat="1" applyFont="1" applyBorder="1" applyAlignment="1">
      <alignment horizontal="left" vertical="center" wrapText="1" shrinkToFit="1"/>
    </xf>
    <xf numFmtId="9" fontId="270" fillId="0" borderId="13" xfId="10" applyNumberFormat="1" applyFont="1" applyBorder="1" applyAlignment="1">
      <alignment horizontal="left" vertical="center" wrapText="1" shrinkToFit="1"/>
    </xf>
    <xf numFmtId="9" fontId="270" fillId="0" borderId="2" xfId="10" applyNumberFormat="1"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0" fontId="270" fillId="0" borderId="54" xfId="10" applyFont="1" applyBorder="1" applyAlignment="1">
      <alignment horizontal="left" vertical="center" wrapText="1" shrinkToFit="1"/>
    </xf>
    <xf numFmtId="0" fontId="270" fillId="0" borderId="3" xfId="10" applyFont="1" applyBorder="1" applyAlignment="1">
      <alignment horizontal="left" vertical="center" wrapText="1" shrinkToFit="1"/>
    </xf>
    <xf numFmtId="181" fontId="270" fillId="0" borderId="1" xfId="10" applyNumberFormat="1" applyFont="1" applyBorder="1" applyAlignment="1">
      <alignment horizontal="center" vertical="center" wrapText="1" shrinkToFit="1"/>
    </xf>
    <xf numFmtId="180" fontId="270" fillId="0" borderId="5" xfId="10" applyNumberFormat="1" applyFont="1" applyBorder="1" applyAlignment="1">
      <alignment horizontal="right" vertical="center" wrapText="1" shrinkToFit="1"/>
    </xf>
    <xf numFmtId="180" fontId="270" fillId="0" borderId="54" xfId="10" applyNumberFormat="1" applyFont="1" applyBorder="1" applyAlignment="1">
      <alignment horizontal="right" vertical="center" wrapText="1" shrinkToFit="1"/>
    </xf>
    <xf numFmtId="181" fontId="272" fillId="0" borderId="1" xfId="10" applyNumberFormat="1" applyFont="1" applyBorder="1" applyAlignment="1">
      <alignment horizontal="center" vertical="center" wrapText="1" shrinkToFit="1"/>
    </xf>
    <xf numFmtId="0" fontId="269" fillId="0" borderId="0" xfId="10" applyFont="1" applyAlignment="1">
      <alignment horizontal="center" vertical="center" wrapText="1"/>
    </xf>
    <xf numFmtId="0" fontId="270" fillId="0" borderId="1" xfId="10" applyFont="1" applyBorder="1" applyAlignment="1">
      <alignment horizontal="center" vertical="center" wrapText="1"/>
    </xf>
    <xf numFmtId="0" fontId="270" fillId="22" borderId="5" xfId="10" applyFont="1" applyFill="1" applyBorder="1" applyAlignment="1">
      <alignment horizontal="center" vertical="center" wrapText="1" shrinkToFit="1"/>
    </xf>
    <xf numFmtId="0" fontId="270" fillId="22" borderId="54" xfId="10" applyFont="1" applyFill="1" applyBorder="1" applyAlignment="1">
      <alignment horizontal="center" vertical="center" wrapText="1" shrinkToFit="1"/>
    </xf>
    <xf numFmtId="0" fontId="270" fillId="22" borderId="3" xfId="10" applyFont="1" applyFill="1" applyBorder="1" applyAlignment="1">
      <alignment horizontal="center" vertical="center" wrapText="1" shrinkToFit="1"/>
    </xf>
    <xf numFmtId="0" fontId="270" fillId="0" borderId="46" xfId="10" applyFont="1" applyBorder="1" applyAlignment="1">
      <alignment horizontal="center" vertical="center" wrapText="1" shrinkToFit="1"/>
    </xf>
    <xf numFmtId="0" fontId="270" fillId="0" borderId="36" xfId="10" applyFont="1" applyBorder="1" applyAlignment="1">
      <alignment horizontal="center" vertical="center" wrapText="1" shrinkToFit="1"/>
    </xf>
    <xf numFmtId="0" fontId="270" fillId="0" borderId="22" xfId="10" applyFont="1" applyBorder="1" applyAlignment="1">
      <alignment horizontal="center" vertical="center" wrapText="1" shrinkToFit="1"/>
    </xf>
    <xf numFmtId="0" fontId="270" fillId="0" borderId="58" xfId="10" applyFont="1" applyBorder="1" applyAlignment="1">
      <alignment horizontal="center" vertical="center" wrapText="1" shrinkToFit="1"/>
    </xf>
    <xf numFmtId="0" fontId="270" fillId="0" borderId="0" xfId="10" applyFont="1" applyAlignment="1">
      <alignment horizontal="center" vertical="center" wrapText="1" shrinkToFit="1"/>
    </xf>
    <xf numFmtId="0" fontId="270" fillId="0" borderId="35" xfId="10" applyFont="1" applyBorder="1" applyAlignment="1">
      <alignment horizontal="center" vertical="center" wrapText="1" shrinkToFit="1"/>
    </xf>
    <xf numFmtId="0" fontId="270" fillId="0" borderId="4" xfId="10" applyFont="1" applyBorder="1" applyAlignment="1">
      <alignment horizontal="center" vertical="center" wrapText="1" shrinkToFit="1"/>
    </xf>
    <xf numFmtId="0" fontId="270" fillId="0" borderId="60" xfId="10" applyFont="1" applyBorder="1" applyAlignment="1">
      <alignment horizontal="center" vertical="center" wrapText="1" shrinkToFit="1"/>
    </xf>
    <xf numFmtId="0" fontId="270" fillId="0" borderId="7" xfId="10" applyFont="1" applyBorder="1" applyAlignment="1">
      <alignment horizontal="center" vertical="center" wrapText="1" shrinkToFi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178" fontId="271" fillId="5" borderId="1" xfId="10" applyNumberFormat="1" applyFont="1" applyFill="1" applyBorder="1"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8" fillId="5" borderId="3"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_rels/drawing4.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image" Target="../media/image49.png"/><Relationship Id="rId3" Type="http://schemas.openxmlformats.org/officeDocument/2006/relationships/image" Target="../media/image39.png"/><Relationship Id="rId7" Type="http://schemas.openxmlformats.org/officeDocument/2006/relationships/image" Target="../media/image43.png"/><Relationship Id="rId12" Type="http://schemas.openxmlformats.org/officeDocument/2006/relationships/image" Target="../media/image48.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11" Type="http://schemas.openxmlformats.org/officeDocument/2006/relationships/image" Target="../media/image47.png"/><Relationship Id="rId5" Type="http://schemas.openxmlformats.org/officeDocument/2006/relationships/image" Target="../media/image41.png"/><Relationship Id="rId10" Type="http://schemas.openxmlformats.org/officeDocument/2006/relationships/image" Target="../media/image46.png"/><Relationship Id="rId4" Type="http://schemas.openxmlformats.org/officeDocument/2006/relationships/image" Target="../media/image40.png"/><Relationship Id="rId9" Type="http://schemas.openxmlformats.org/officeDocument/2006/relationships/image" Target="../media/image45.png"/><Relationship Id="rId14" Type="http://schemas.openxmlformats.org/officeDocument/2006/relationships/image" Target="../media/image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151181</xdr:colOff>
      <xdr:row>9</xdr:row>
      <xdr:rowOff>47426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52381" cy="1590476"/>
        </a:xfrm>
        <a:prstGeom prst="rect">
          <a:avLst/>
        </a:prstGeom>
      </xdr:spPr>
    </xdr:pic>
    <xdr:clientData/>
  </xdr:twoCellAnchor>
  <xdr:twoCellAnchor editAs="oneCell">
    <xdr:from>
      <xdr:col>0</xdr:col>
      <xdr:colOff>0</xdr:colOff>
      <xdr:row>9</xdr:row>
      <xdr:rowOff>0</xdr:rowOff>
    </xdr:from>
    <xdr:to>
      <xdr:col>13</xdr:col>
      <xdr:colOff>303648</xdr:colOff>
      <xdr:row>20</xdr:row>
      <xdr:rowOff>37860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9219048" cy="1923810"/>
        </a:xfrm>
        <a:prstGeom prst="rect">
          <a:avLst/>
        </a:prstGeom>
      </xdr:spPr>
    </xdr:pic>
    <xdr:clientData/>
  </xdr:twoCellAnchor>
  <xdr:twoCellAnchor editAs="oneCell">
    <xdr:from>
      <xdr:col>0</xdr:col>
      <xdr:colOff>0</xdr:colOff>
      <xdr:row>20</xdr:row>
      <xdr:rowOff>0</xdr:rowOff>
    </xdr:from>
    <xdr:to>
      <xdr:col>13</xdr:col>
      <xdr:colOff>313171</xdr:colOff>
      <xdr:row>30</xdr:row>
      <xdr:rowOff>28357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29000"/>
          <a:ext cx="9228571" cy="1742857"/>
        </a:xfrm>
        <a:prstGeom prst="rect">
          <a:avLst/>
        </a:prstGeom>
      </xdr:spPr>
    </xdr:pic>
    <xdr:clientData/>
  </xdr:twoCellAnchor>
  <xdr:twoCellAnchor editAs="oneCell">
    <xdr:from>
      <xdr:col>0</xdr:col>
      <xdr:colOff>0</xdr:colOff>
      <xdr:row>31</xdr:row>
      <xdr:rowOff>0</xdr:rowOff>
    </xdr:from>
    <xdr:to>
      <xdr:col>13</xdr:col>
      <xdr:colOff>598886</xdr:colOff>
      <xdr:row>53</xdr:row>
      <xdr:rowOff>9052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14950"/>
          <a:ext cx="9514286" cy="3780952"/>
        </a:xfrm>
        <a:prstGeom prst="rect">
          <a:avLst/>
        </a:prstGeom>
      </xdr:spPr>
    </xdr:pic>
    <xdr:clientData/>
  </xdr:twoCellAnchor>
  <xdr:twoCellAnchor editAs="oneCell">
    <xdr:from>
      <xdr:col>0</xdr:col>
      <xdr:colOff>0</xdr:colOff>
      <xdr:row>53</xdr:row>
      <xdr:rowOff>0</xdr:rowOff>
    </xdr:from>
    <xdr:to>
      <xdr:col>14</xdr:col>
      <xdr:colOff>132133</xdr:colOff>
      <xdr:row>63</xdr:row>
      <xdr:rowOff>47405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086850"/>
          <a:ext cx="9733333" cy="1761905"/>
        </a:xfrm>
        <a:prstGeom prst="rect">
          <a:avLst/>
        </a:prstGeom>
      </xdr:spPr>
    </xdr:pic>
    <xdr:clientData/>
  </xdr:twoCellAnchor>
  <xdr:twoCellAnchor editAs="oneCell">
    <xdr:from>
      <xdr:col>0</xdr:col>
      <xdr:colOff>0</xdr:colOff>
      <xdr:row>64</xdr:row>
      <xdr:rowOff>0</xdr:rowOff>
    </xdr:from>
    <xdr:to>
      <xdr:col>14</xdr:col>
      <xdr:colOff>151181</xdr:colOff>
      <xdr:row>75</xdr:row>
      <xdr:rowOff>18812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972800"/>
          <a:ext cx="9752381" cy="1904762"/>
        </a:xfrm>
        <a:prstGeom prst="rect">
          <a:avLst/>
        </a:prstGeom>
      </xdr:spPr>
    </xdr:pic>
    <xdr:clientData/>
  </xdr:twoCellAnchor>
  <xdr:twoCellAnchor editAs="oneCell">
    <xdr:from>
      <xdr:col>0</xdr:col>
      <xdr:colOff>0</xdr:colOff>
      <xdr:row>76</xdr:row>
      <xdr:rowOff>0</xdr:rowOff>
    </xdr:from>
    <xdr:to>
      <xdr:col>13</xdr:col>
      <xdr:colOff>341743</xdr:colOff>
      <xdr:row>87</xdr:row>
      <xdr:rowOff>28336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3030200"/>
          <a:ext cx="9257143" cy="1914286"/>
        </a:xfrm>
        <a:prstGeom prst="rect">
          <a:avLst/>
        </a:prstGeom>
      </xdr:spPr>
    </xdr:pic>
    <xdr:clientData/>
  </xdr:twoCellAnchor>
  <xdr:twoCellAnchor editAs="oneCell">
    <xdr:from>
      <xdr:col>0</xdr:col>
      <xdr:colOff>0</xdr:colOff>
      <xdr:row>88</xdr:row>
      <xdr:rowOff>0</xdr:rowOff>
    </xdr:from>
    <xdr:to>
      <xdr:col>13</xdr:col>
      <xdr:colOff>684600</xdr:colOff>
      <xdr:row>98</xdr:row>
      <xdr:rowOff>171214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5087600"/>
          <a:ext cx="9600000" cy="1885714"/>
        </a:xfrm>
        <a:prstGeom prst="rect">
          <a:avLst/>
        </a:prstGeom>
      </xdr:spPr>
    </xdr:pic>
    <xdr:clientData/>
  </xdr:twoCellAnchor>
  <xdr:twoCellAnchor editAs="oneCell">
    <xdr:from>
      <xdr:col>0</xdr:col>
      <xdr:colOff>0</xdr:colOff>
      <xdr:row>100</xdr:row>
      <xdr:rowOff>0</xdr:rowOff>
    </xdr:from>
    <xdr:to>
      <xdr:col>13</xdr:col>
      <xdr:colOff>446505</xdr:colOff>
      <xdr:row>110</xdr:row>
      <xdr:rowOff>133119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7145000"/>
          <a:ext cx="9361905" cy="1847619"/>
        </a:xfrm>
        <a:prstGeom prst="rect">
          <a:avLst/>
        </a:prstGeom>
      </xdr:spPr>
    </xdr:pic>
    <xdr:clientData/>
  </xdr:twoCellAnchor>
  <xdr:twoCellAnchor editAs="oneCell">
    <xdr:from>
      <xdr:col>0</xdr:col>
      <xdr:colOff>0</xdr:colOff>
      <xdr:row>112</xdr:row>
      <xdr:rowOff>0</xdr:rowOff>
    </xdr:from>
    <xdr:to>
      <xdr:col>14</xdr:col>
      <xdr:colOff>94038</xdr:colOff>
      <xdr:row>122</xdr:row>
      <xdr:rowOff>104548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9202400"/>
          <a:ext cx="9695238" cy="1819048"/>
        </a:xfrm>
        <a:prstGeom prst="rect">
          <a:avLst/>
        </a:prstGeom>
      </xdr:spPr>
    </xdr:pic>
    <xdr:clientData/>
  </xdr:twoCellAnchor>
  <xdr:twoCellAnchor editAs="oneCell">
    <xdr:from>
      <xdr:col>0</xdr:col>
      <xdr:colOff>0</xdr:colOff>
      <xdr:row>123</xdr:row>
      <xdr:rowOff>0</xdr:rowOff>
    </xdr:from>
    <xdr:to>
      <xdr:col>13</xdr:col>
      <xdr:colOff>598886</xdr:colOff>
      <xdr:row>132</xdr:row>
      <xdr:rowOff>152188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088350"/>
          <a:ext cx="9514286" cy="1695238"/>
        </a:xfrm>
        <a:prstGeom prst="rect">
          <a:avLst/>
        </a:prstGeom>
      </xdr:spPr>
    </xdr:pic>
    <xdr:clientData/>
  </xdr:twoCellAnchor>
  <xdr:twoCellAnchor editAs="oneCell">
    <xdr:from>
      <xdr:col>0</xdr:col>
      <xdr:colOff>0</xdr:colOff>
      <xdr:row>133</xdr:row>
      <xdr:rowOff>0</xdr:rowOff>
    </xdr:from>
    <xdr:to>
      <xdr:col>13</xdr:col>
      <xdr:colOff>351267</xdr:colOff>
      <xdr:row>144</xdr:row>
      <xdr:rowOff>47383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2802850"/>
          <a:ext cx="9266667" cy="1933333"/>
        </a:xfrm>
        <a:prstGeom prst="rect">
          <a:avLst/>
        </a:prstGeom>
      </xdr:spPr>
    </xdr:pic>
    <xdr:clientData/>
  </xdr:twoCellAnchor>
  <xdr:twoCellAnchor editAs="oneCell">
    <xdr:from>
      <xdr:col>13</xdr:col>
      <xdr:colOff>57150</xdr:colOff>
      <xdr:row>118</xdr:row>
      <xdr:rowOff>38100</xdr:rowOff>
    </xdr:from>
    <xdr:to>
      <xdr:col>27</xdr:col>
      <xdr:colOff>532140</xdr:colOff>
      <xdr:row>129</xdr:row>
      <xdr:rowOff>9293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972550" y="20269200"/>
          <a:ext cx="10076190" cy="1857143"/>
        </a:xfrm>
        <a:prstGeom prst="rect">
          <a:avLst/>
        </a:prstGeom>
      </xdr:spPr>
    </xdr:pic>
    <xdr:clientData/>
  </xdr:twoCellAnchor>
  <xdr:twoCellAnchor editAs="oneCell">
    <xdr:from>
      <xdr:col>13</xdr:col>
      <xdr:colOff>552450</xdr:colOff>
      <xdr:row>0</xdr:row>
      <xdr:rowOff>0</xdr:rowOff>
    </xdr:from>
    <xdr:to>
      <xdr:col>27</xdr:col>
      <xdr:colOff>608393</xdr:colOff>
      <xdr:row>11</xdr:row>
      <xdr:rowOff>18812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9467850" y="0"/>
          <a:ext cx="9657143" cy="1904762"/>
        </a:xfrm>
        <a:prstGeom prst="rect">
          <a:avLst/>
        </a:prstGeom>
      </xdr:spPr>
    </xdr:pic>
    <xdr:clientData/>
  </xdr:twoCellAnchor>
  <xdr:twoCellAnchor editAs="oneCell">
    <xdr:from>
      <xdr:col>0</xdr:col>
      <xdr:colOff>0</xdr:colOff>
      <xdr:row>145</xdr:row>
      <xdr:rowOff>142875</xdr:rowOff>
    </xdr:from>
    <xdr:to>
      <xdr:col>13</xdr:col>
      <xdr:colOff>646505</xdr:colOff>
      <xdr:row>156</xdr:row>
      <xdr:rowOff>133115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5003125"/>
          <a:ext cx="9561905" cy="1876190"/>
        </a:xfrm>
        <a:prstGeom prst="rect">
          <a:avLst/>
        </a:prstGeom>
      </xdr:spPr>
    </xdr:pic>
    <xdr:clientData/>
  </xdr:twoCellAnchor>
  <xdr:twoCellAnchor editAs="oneCell">
    <xdr:from>
      <xdr:col>13</xdr:col>
      <xdr:colOff>495300</xdr:colOff>
      <xdr:row>11</xdr:row>
      <xdr:rowOff>85725</xdr:rowOff>
    </xdr:from>
    <xdr:to>
      <xdr:col>27</xdr:col>
      <xdr:colOff>570290</xdr:colOff>
      <xdr:row>21</xdr:row>
      <xdr:rowOff>114082</xdr:rowOff>
    </xdr:to>
    <xdr:pic>
      <xdr:nvPicPr>
        <xdr:cNvPr id="17" name="图片 16"/>
        <xdr:cNvPicPr>
          <a:picLocks noChangeAspect="1"/>
        </xdr:cNvPicPr>
      </xdr:nvPicPr>
      <xdr:blipFill>
        <a:blip xmlns:r="http://schemas.openxmlformats.org/officeDocument/2006/relationships" r:embed="rId16"/>
        <a:stretch>
          <a:fillRect/>
        </a:stretch>
      </xdr:blipFill>
      <xdr:spPr>
        <a:xfrm>
          <a:off x="9410700" y="1971675"/>
          <a:ext cx="9676190" cy="17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579838</xdr:colOff>
      <xdr:row>10</xdr:row>
      <xdr:rowOff>133119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95238" cy="1847619"/>
        </a:xfrm>
        <a:prstGeom prst="rect">
          <a:avLst/>
        </a:prstGeom>
      </xdr:spPr>
    </xdr:pic>
    <xdr:clientData/>
  </xdr:twoCellAnchor>
  <xdr:twoCellAnchor editAs="oneCell">
    <xdr:from>
      <xdr:col>0</xdr:col>
      <xdr:colOff>104775</xdr:colOff>
      <xdr:row>11</xdr:row>
      <xdr:rowOff>47625</xdr:rowOff>
    </xdr:from>
    <xdr:to>
      <xdr:col>14</xdr:col>
      <xdr:colOff>55956</xdr:colOff>
      <xdr:row>20</xdr:row>
      <xdr:rowOff>104575</xdr:rowOff>
    </xdr:to>
    <xdr:pic>
      <xdr:nvPicPr>
        <xdr:cNvPr id="3" name="图片 2"/>
        <xdr:cNvPicPr>
          <a:picLocks noChangeAspect="1"/>
        </xdr:cNvPicPr>
      </xdr:nvPicPr>
      <xdr:blipFill>
        <a:blip xmlns:r="http://schemas.openxmlformats.org/officeDocument/2006/relationships" r:embed="rId2"/>
        <a:stretch>
          <a:fillRect/>
        </a:stretch>
      </xdr:blipFill>
      <xdr:spPr>
        <a:xfrm>
          <a:off x="104775" y="1933575"/>
          <a:ext cx="9552381" cy="1600000"/>
        </a:xfrm>
        <a:prstGeom prst="rect">
          <a:avLst/>
        </a:prstGeom>
      </xdr:spPr>
    </xdr:pic>
    <xdr:clientData/>
  </xdr:twoCellAnchor>
  <xdr:twoCellAnchor editAs="oneCell">
    <xdr:from>
      <xdr:col>0</xdr:col>
      <xdr:colOff>0</xdr:colOff>
      <xdr:row>21</xdr:row>
      <xdr:rowOff>0</xdr:rowOff>
    </xdr:from>
    <xdr:to>
      <xdr:col>13</xdr:col>
      <xdr:colOff>665552</xdr:colOff>
      <xdr:row>39</xdr:row>
      <xdr:rowOff>75805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9580952" cy="3161905"/>
        </a:xfrm>
        <a:prstGeom prst="rect">
          <a:avLst/>
        </a:prstGeom>
      </xdr:spPr>
    </xdr:pic>
    <xdr:clientData/>
  </xdr:twoCellAnchor>
  <xdr:twoCellAnchor editAs="oneCell">
    <xdr:from>
      <xdr:col>0</xdr:col>
      <xdr:colOff>0</xdr:colOff>
      <xdr:row>40</xdr:row>
      <xdr:rowOff>57150</xdr:rowOff>
    </xdr:from>
    <xdr:to>
      <xdr:col>14</xdr:col>
      <xdr:colOff>170228</xdr:colOff>
      <xdr:row>48</xdr:row>
      <xdr:rowOff>171264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915150"/>
          <a:ext cx="9771428" cy="1485714"/>
        </a:xfrm>
        <a:prstGeom prst="rect">
          <a:avLst/>
        </a:prstGeom>
      </xdr:spPr>
    </xdr:pic>
    <xdr:clientData/>
  </xdr:twoCellAnchor>
  <xdr:twoCellAnchor editAs="oneCell">
    <xdr:from>
      <xdr:col>0</xdr:col>
      <xdr:colOff>0</xdr:colOff>
      <xdr:row>49</xdr:row>
      <xdr:rowOff>0</xdr:rowOff>
    </xdr:from>
    <xdr:to>
      <xdr:col>14</xdr:col>
      <xdr:colOff>265467</xdr:colOff>
      <xdr:row>57</xdr:row>
      <xdr:rowOff>152210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401050"/>
          <a:ext cx="9866667" cy="1523810"/>
        </a:xfrm>
        <a:prstGeom prst="rect">
          <a:avLst/>
        </a:prstGeom>
      </xdr:spPr>
    </xdr:pic>
    <xdr:clientData/>
  </xdr:twoCellAnchor>
  <xdr:twoCellAnchor editAs="oneCell">
    <xdr:from>
      <xdr:col>0</xdr:col>
      <xdr:colOff>0</xdr:colOff>
      <xdr:row>58</xdr:row>
      <xdr:rowOff>0</xdr:rowOff>
    </xdr:from>
    <xdr:to>
      <xdr:col>14</xdr:col>
      <xdr:colOff>160705</xdr:colOff>
      <xdr:row>66</xdr:row>
      <xdr:rowOff>114114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944100"/>
          <a:ext cx="9761905" cy="1485714"/>
        </a:xfrm>
        <a:prstGeom prst="rect">
          <a:avLst/>
        </a:prstGeom>
      </xdr:spPr>
    </xdr:pic>
    <xdr:clientData/>
  </xdr:twoCellAnchor>
  <xdr:twoCellAnchor editAs="oneCell">
    <xdr:from>
      <xdr:col>0</xdr:col>
      <xdr:colOff>0</xdr:colOff>
      <xdr:row>68</xdr:row>
      <xdr:rowOff>0</xdr:rowOff>
    </xdr:from>
    <xdr:to>
      <xdr:col>13</xdr:col>
      <xdr:colOff>656028</xdr:colOff>
      <xdr:row>77</xdr:row>
      <xdr:rowOff>161712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658600"/>
          <a:ext cx="9571428" cy="1704762"/>
        </a:xfrm>
        <a:prstGeom prst="rect">
          <a:avLst/>
        </a:prstGeom>
      </xdr:spPr>
    </xdr:pic>
    <xdr:clientData/>
  </xdr:twoCellAnchor>
  <xdr:twoCellAnchor editAs="oneCell">
    <xdr:from>
      <xdr:col>15</xdr:col>
      <xdr:colOff>0</xdr:colOff>
      <xdr:row>52</xdr:row>
      <xdr:rowOff>0</xdr:rowOff>
    </xdr:from>
    <xdr:to>
      <xdr:col>26</xdr:col>
      <xdr:colOff>456200</xdr:colOff>
      <xdr:row>80</xdr:row>
      <xdr:rowOff>56543</xdr:rowOff>
    </xdr:to>
    <xdr:pic>
      <xdr:nvPicPr>
        <xdr:cNvPr id="9" name="图片 8"/>
        <xdr:cNvPicPr>
          <a:picLocks noChangeAspect="1"/>
        </xdr:cNvPicPr>
      </xdr:nvPicPr>
      <xdr:blipFill>
        <a:blip xmlns:r="http://schemas.openxmlformats.org/officeDocument/2006/relationships" r:embed="rId8"/>
        <a:stretch>
          <a:fillRect/>
        </a:stretch>
      </xdr:blipFill>
      <xdr:spPr>
        <a:xfrm>
          <a:off x="10287000" y="8915400"/>
          <a:ext cx="8000000"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627971</xdr:colOff>
      <xdr:row>25</xdr:row>
      <xdr:rowOff>8988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428571" cy="4295238"/>
        </a:xfrm>
        <a:prstGeom prst="rect">
          <a:avLst/>
        </a:prstGeom>
      </xdr:spPr>
    </xdr:pic>
    <xdr:clientData/>
  </xdr:twoCellAnchor>
  <xdr:twoCellAnchor editAs="oneCell">
    <xdr:from>
      <xdr:col>7</xdr:col>
      <xdr:colOff>666750</xdr:colOff>
      <xdr:row>0</xdr:row>
      <xdr:rowOff>66675</xdr:rowOff>
    </xdr:from>
    <xdr:to>
      <xdr:col>16</xdr:col>
      <xdr:colOff>361217</xdr:colOff>
      <xdr:row>19</xdr:row>
      <xdr:rowOff>151982</xdr:rowOff>
    </xdr:to>
    <xdr:pic>
      <xdr:nvPicPr>
        <xdr:cNvPr id="3" name="图片 2"/>
        <xdr:cNvPicPr>
          <a:picLocks noChangeAspect="1"/>
        </xdr:cNvPicPr>
      </xdr:nvPicPr>
      <xdr:blipFill>
        <a:blip xmlns:r="http://schemas.openxmlformats.org/officeDocument/2006/relationships" r:embed="rId2"/>
        <a:stretch>
          <a:fillRect/>
        </a:stretch>
      </xdr:blipFill>
      <xdr:spPr>
        <a:xfrm>
          <a:off x="5467350" y="66675"/>
          <a:ext cx="5866667" cy="3342857"/>
        </a:xfrm>
        <a:prstGeom prst="rect">
          <a:avLst/>
        </a:prstGeom>
      </xdr:spPr>
    </xdr:pic>
    <xdr:clientData/>
  </xdr:twoCellAnchor>
  <xdr:twoCellAnchor editAs="oneCell">
    <xdr:from>
      <xdr:col>0</xdr:col>
      <xdr:colOff>0</xdr:colOff>
      <xdr:row>22</xdr:row>
      <xdr:rowOff>85725</xdr:rowOff>
    </xdr:from>
    <xdr:to>
      <xdr:col>14</xdr:col>
      <xdr:colOff>532133</xdr:colOff>
      <xdr:row>53</xdr:row>
      <xdr:rowOff>56489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57625"/>
          <a:ext cx="10133333" cy="5285714"/>
        </a:xfrm>
        <a:prstGeom prst="rect">
          <a:avLst/>
        </a:prstGeom>
      </xdr:spPr>
    </xdr:pic>
    <xdr:clientData/>
  </xdr:twoCellAnchor>
  <xdr:twoCellAnchor editAs="oneCell">
    <xdr:from>
      <xdr:col>0</xdr:col>
      <xdr:colOff>0</xdr:colOff>
      <xdr:row>56</xdr:row>
      <xdr:rowOff>0</xdr:rowOff>
    </xdr:from>
    <xdr:to>
      <xdr:col>8</xdr:col>
      <xdr:colOff>189790</xdr:colOff>
      <xdr:row>83</xdr:row>
      <xdr:rowOff>18469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01200"/>
          <a:ext cx="5676190" cy="4647619"/>
        </a:xfrm>
        <a:prstGeom prst="rect">
          <a:avLst/>
        </a:prstGeom>
      </xdr:spPr>
    </xdr:pic>
    <xdr:clientData/>
  </xdr:twoCellAnchor>
  <xdr:twoCellAnchor editAs="oneCell">
    <xdr:from>
      <xdr:col>8</xdr:col>
      <xdr:colOff>285750</xdr:colOff>
      <xdr:row>56</xdr:row>
      <xdr:rowOff>9525</xdr:rowOff>
    </xdr:from>
    <xdr:to>
      <xdr:col>20</xdr:col>
      <xdr:colOff>399007</xdr:colOff>
      <xdr:row>86</xdr:row>
      <xdr:rowOff>66025</xdr:rowOff>
    </xdr:to>
    <xdr:pic>
      <xdr:nvPicPr>
        <xdr:cNvPr id="6" name="图片 5"/>
        <xdr:cNvPicPr>
          <a:picLocks noChangeAspect="1"/>
        </xdr:cNvPicPr>
      </xdr:nvPicPr>
      <xdr:blipFill>
        <a:blip xmlns:r="http://schemas.openxmlformats.org/officeDocument/2006/relationships" r:embed="rId5"/>
        <a:stretch>
          <a:fillRect/>
        </a:stretch>
      </xdr:blipFill>
      <xdr:spPr>
        <a:xfrm>
          <a:off x="5772150" y="9610725"/>
          <a:ext cx="8342857" cy="5200000"/>
        </a:xfrm>
        <a:prstGeom prst="rect">
          <a:avLst/>
        </a:prstGeom>
      </xdr:spPr>
    </xdr:pic>
    <xdr:clientData/>
  </xdr:twoCellAnchor>
  <xdr:twoCellAnchor editAs="oneCell">
    <xdr:from>
      <xdr:col>0</xdr:col>
      <xdr:colOff>0</xdr:colOff>
      <xdr:row>89</xdr:row>
      <xdr:rowOff>0</xdr:rowOff>
    </xdr:from>
    <xdr:to>
      <xdr:col>8</xdr:col>
      <xdr:colOff>132648</xdr:colOff>
      <xdr:row>109</xdr:row>
      <xdr:rowOff>18619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59050"/>
          <a:ext cx="5619048" cy="3447619"/>
        </a:xfrm>
        <a:prstGeom prst="rect">
          <a:avLst/>
        </a:prstGeom>
      </xdr:spPr>
    </xdr:pic>
    <xdr:clientData/>
  </xdr:twoCellAnchor>
  <xdr:twoCellAnchor editAs="oneCell">
    <xdr:from>
      <xdr:col>8</xdr:col>
      <xdr:colOff>180975</xdr:colOff>
      <xdr:row>90</xdr:row>
      <xdr:rowOff>0</xdr:rowOff>
    </xdr:from>
    <xdr:to>
      <xdr:col>20</xdr:col>
      <xdr:colOff>256137</xdr:colOff>
      <xdr:row>115</xdr:row>
      <xdr:rowOff>132798</xdr:rowOff>
    </xdr:to>
    <xdr:pic>
      <xdr:nvPicPr>
        <xdr:cNvPr id="8" name="图片 7"/>
        <xdr:cNvPicPr>
          <a:picLocks noChangeAspect="1"/>
        </xdr:cNvPicPr>
      </xdr:nvPicPr>
      <xdr:blipFill>
        <a:blip xmlns:r="http://schemas.openxmlformats.org/officeDocument/2006/relationships" r:embed="rId7"/>
        <a:stretch>
          <a:fillRect/>
        </a:stretch>
      </xdr:blipFill>
      <xdr:spPr>
        <a:xfrm>
          <a:off x="5667375" y="15430500"/>
          <a:ext cx="8304762" cy="4419048"/>
        </a:xfrm>
        <a:prstGeom prst="rect">
          <a:avLst/>
        </a:prstGeom>
      </xdr:spPr>
    </xdr:pic>
    <xdr:clientData/>
  </xdr:twoCellAnchor>
  <xdr:twoCellAnchor editAs="oneCell">
    <xdr:from>
      <xdr:col>0</xdr:col>
      <xdr:colOff>0</xdr:colOff>
      <xdr:row>117</xdr:row>
      <xdr:rowOff>0</xdr:rowOff>
    </xdr:from>
    <xdr:to>
      <xdr:col>17</xdr:col>
      <xdr:colOff>55686</xdr:colOff>
      <xdr:row>148</xdr:row>
      <xdr:rowOff>104098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059650"/>
          <a:ext cx="11714286" cy="5419048"/>
        </a:xfrm>
        <a:prstGeom prst="rect">
          <a:avLst/>
        </a:prstGeom>
      </xdr:spPr>
    </xdr:pic>
    <xdr:clientData/>
  </xdr:twoCellAnchor>
  <xdr:twoCellAnchor editAs="oneCell">
    <xdr:from>
      <xdr:col>0</xdr:col>
      <xdr:colOff>0</xdr:colOff>
      <xdr:row>149</xdr:row>
      <xdr:rowOff>0</xdr:rowOff>
    </xdr:from>
    <xdr:to>
      <xdr:col>17</xdr:col>
      <xdr:colOff>646162</xdr:colOff>
      <xdr:row>178</xdr:row>
      <xdr:rowOff>104140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5546050"/>
          <a:ext cx="12304762" cy="5076190"/>
        </a:xfrm>
        <a:prstGeom prst="rect">
          <a:avLst/>
        </a:prstGeom>
      </xdr:spPr>
    </xdr:pic>
    <xdr:clientData/>
  </xdr:twoCellAnchor>
  <xdr:twoCellAnchor editAs="oneCell">
    <xdr:from>
      <xdr:col>0</xdr:col>
      <xdr:colOff>0</xdr:colOff>
      <xdr:row>179</xdr:row>
      <xdr:rowOff>0</xdr:rowOff>
    </xdr:from>
    <xdr:to>
      <xdr:col>17</xdr:col>
      <xdr:colOff>8067</xdr:colOff>
      <xdr:row>208</xdr:row>
      <xdr:rowOff>132712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0689550"/>
          <a:ext cx="11666667" cy="51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12</xdr:col>
      <xdr:colOff>160748</xdr:colOff>
      <xdr:row>21</xdr:row>
      <xdr:rowOff>95024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19048" cy="1809524"/>
        </a:xfrm>
        <a:prstGeom prst="rect">
          <a:avLst/>
        </a:prstGeom>
      </xdr:spPr>
    </xdr:pic>
    <xdr:clientData/>
  </xdr:twoCellAnchor>
  <xdr:twoCellAnchor editAs="oneCell">
    <xdr:from>
      <xdr:col>0</xdr:col>
      <xdr:colOff>0</xdr:colOff>
      <xdr:row>22</xdr:row>
      <xdr:rowOff>0</xdr:rowOff>
    </xdr:from>
    <xdr:to>
      <xdr:col>12</xdr:col>
      <xdr:colOff>398843</xdr:colOff>
      <xdr:row>44</xdr:row>
      <xdr:rowOff>37624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9657143" cy="3809524"/>
        </a:xfrm>
        <a:prstGeom prst="rect">
          <a:avLst/>
        </a:prstGeom>
      </xdr:spPr>
    </xdr:pic>
    <xdr:clientData/>
  </xdr:twoCellAnchor>
  <xdr:twoCellAnchor editAs="oneCell">
    <xdr:from>
      <xdr:col>0</xdr:col>
      <xdr:colOff>0</xdr:colOff>
      <xdr:row>45</xdr:row>
      <xdr:rowOff>0</xdr:rowOff>
    </xdr:from>
    <xdr:to>
      <xdr:col>12</xdr:col>
      <xdr:colOff>360748</xdr:colOff>
      <xdr:row>66</xdr:row>
      <xdr:rowOff>151931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0"/>
          <a:ext cx="9619048" cy="3752381"/>
        </a:xfrm>
        <a:prstGeom prst="rect">
          <a:avLst/>
        </a:prstGeom>
      </xdr:spPr>
    </xdr:pic>
    <xdr:clientData/>
  </xdr:twoCellAnchor>
  <xdr:twoCellAnchor editAs="oneCell">
    <xdr:from>
      <xdr:col>0</xdr:col>
      <xdr:colOff>0</xdr:colOff>
      <xdr:row>68</xdr:row>
      <xdr:rowOff>0</xdr:rowOff>
    </xdr:from>
    <xdr:to>
      <xdr:col>12</xdr:col>
      <xdr:colOff>246462</xdr:colOff>
      <xdr:row>89</xdr:row>
      <xdr:rowOff>151931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772650"/>
          <a:ext cx="9504762" cy="3752381"/>
        </a:xfrm>
        <a:prstGeom prst="rect">
          <a:avLst/>
        </a:prstGeom>
      </xdr:spPr>
    </xdr:pic>
    <xdr:clientData/>
  </xdr:twoCellAnchor>
  <xdr:twoCellAnchor editAs="oneCell">
    <xdr:from>
      <xdr:col>0</xdr:col>
      <xdr:colOff>0</xdr:colOff>
      <xdr:row>91</xdr:row>
      <xdr:rowOff>0</xdr:rowOff>
    </xdr:from>
    <xdr:to>
      <xdr:col>12</xdr:col>
      <xdr:colOff>46462</xdr:colOff>
      <xdr:row>113</xdr:row>
      <xdr:rowOff>28100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16000"/>
          <a:ext cx="9304762" cy="3800000"/>
        </a:xfrm>
        <a:prstGeom prst="rect">
          <a:avLst/>
        </a:prstGeom>
      </xdr:spPr>
    </xdr:pic>
    <xdr:clientData/>
  </xdr:twoCellAnchor>
  <xdr:twoCellAnchor editAs="oneCell">
    <xdr:from>
      <xdr:col>0</xdr:col>
      <xdr:colOff>0</xdr:colOff>
      <xdr:row>114</xdr:row>
      <xdr:rowOff>0</xdr:rowOff>
    </xdr:from>
    <xdr:to>
      <xdr:col>12</xdr:col>
      <xdr:colOff>246462</xdr:colOff>
      <xdr:row>137</xdr:row>
      <xdr:rowOff>161412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659350"/>
          <a:ext cx="9504762" cy="4104762"/>
        </a:xfrm>
        <a:prstGeom prst="rect">
          <a:avLst/>
        </a:prstGeom>
      </xdr:spPr>
    </xdr:pic>
    <xdr:clientData/>
  </xdr:twoCellAnchor>
  <xdr:twoCellAnchor editAs="oneCell">
    <xdr:from>
      <xdr:col>0</xdr:col>
      <xdr:colOff>0</xdr:colOff>
      <xdr:row>138</xdr:row>
      <xdr:rowOff>0</xdr:rowOff>
    </xdr:from>
    <xdr:to>
      <xdr:col>12</xdr:col>
      <xdr:colOff>17890</xdr:colOff>
      <xdr:row>148</xdr:row>
      <xdr:rowOff>152167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774150"/>
          <a:ext cx="9276190" cy="1866667"/>
        </a:xfrm>
        <a:prstGeom prst="rect">
          <a:avLst/>
        </a:prstGeom>
      </xdr:spPr>
    </xdr:pic>
    <xdr:clientData/>
  </xdr:twoCellAnchor>
  <xdr:twoCellAnchor editAs="oneCell">
    <xdr:from>
      <xdr:col>0</xdr:col>
      <xdr:colOff>0</xdr:colOff>
      <xdr:row>150</xdr:row>
      <xdr:rowOff>0</xdr:rowOff>
    </xdr:from>
    <xdr:to>
      <xdr:col>12</xdr:col>
      <xdr:colOff>313128</xdr:colOff>
      <xdr:row>172</xdr:row>
      <xdr:rowOff>66195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3831550"/>
          <a:ext cx="9571428" cy="3838095"/>
        </a:xfrm>
        <a:prstGeom prst="rect">
          <a:avLst/>
        </a:prstGeom>
      </xdr:spPr>
    </xdr:pic>
    <xdr:clientData/>
  </xdr:twoCellAnchor>
  <xdr:twoCellAnchor editAs="oneCell">
    <xdr:from>
      <xdr:col>0</xdr:col>
      <xdr:colOff>0</xdr:colOff>
      <xdr:row>174</xdr:row>
      <xdr:rowOff>0</xdr:rowOff>
    </xdr:from>
    <xdr:to>
      <xdr:col>12</xdr:col>
      <xdr:colOff>503605</xdr:colOff>
      <xdr:row>196</xdr:row>
      <xdr:rowOff>161433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946350"/>
          <a:ext cx="9761905" cy="3933333"/>
        </a:xfrm>
        <a:prstGeom prst="rect">
          <a:avLst/>
        </a:prstGeom>
      </xdr:spPr>
    </xdr:pic>
    <xdr:clientData/>
  </xdr:twoCellAnchor>
  <xdr:twoCellAnchor editAs="oneCell">
    <xdr:from>
      <xdr:col>0</xdr:col>
      <xdr:colOff>0</xdr:colOff>
      <xdr:row>197</xdr:row>
      <xdr:rowOff>0</xdr:rowOff>
    </xdr:from>
    <xdr:to>
      <xdr:col>12</xdr:col>
      <xdr:colOff>503605</xdr:colOff>
      <xdr:row>219</xdr:row>
      <xdr:rowOff>123338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1889700"/>
          <a:ext cx="9761905" cy="3895238"/>
        </a:xfrm>
        <a:prstGeom prst="rect">
          <a:avLst/>
        </a:prstGeom>
      </xdr:spPr>
    </xdr:pic>
    <xdr:clientData/>
  </xdr:twoCellAnchor>
  <xdr:twoCellAnchor editAs="oneCell">
    <xdr:from>
      <xdr:col>0</xdr:col>
      <xdr:colOff>0</xdr:colOff>
      <xdr:row>220</xdr:row>
      <xdr:rowOff>0</xdr:rowOff>
    </xdr:from>
    <xdr:to>
      <xdr:col>12</xdr:col>
      <xdr:colOff>246462</xdr:colOff>
      <xdr:row>242</xdr:row>
      <xdr:rowOff>28100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5833050"/>
          <a:ext cx="9504762" cy="3800000"/>
        </a:xfrm>
        <a:prstGeom prst="rect">
          <a:avLst/>
        </a:prstGeom>
      </xdr:spPr>
    </xdr:pic>
    <xdr:clientData/>
  </xdr:twoCellAnchor>
  <xdr:twoCellAnchor editAs="oneCell">
    <xdr:from>
      <xdr:col>0</xdr:col>
      <xdr:colOff>0</xdr:colOff>
      <xdr:row>244</xdr:row>
      <xdr:rowOff>0</xdr:rowOff>
    </xdr:from>
    <xdr:to>
      <xdr:col>12</xdr:col>
      <xdr:colOff>132176</xdr:colOff>
      <xdr:row>266</xdr:row>
      <xdr:rowOff>56671</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9947850"/>
          <a:ext cx="9390476" cy="3828571"/>
        </a:xfrm>
        <a:prstGeom prst="rect">
          <a:avLst/>
        </a:prstGeom>
      </xdr:spPr>
    </xdr:pic>
    <xdr:clientData/>
  </xdr:twoCellAnchor>
  <xdr:twoCellAnchor editAs="oneCell">
    <xdr:from>
      <xdr:col>11</xdr:col>
      <xdr:colOff>523875</xdr:colOff>
      <xdr:row>0</xdr:row>
      <xdr:rowOff>0</xdr:rowOff>
    </xdr:from>
    <xdr:to>
      <xdr:col>22</xdr:col>
      <xdr:colOff>237218</xdr:colOff>
      <xdr:row>27</xdr:row>
      <xdr:rowOff>18469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9096375" y="0"/>
          <a:ext cx="7257143" cy="4647619"/>
        </a:xfrm>
        <a:prstGeom prst="rect">
          <a:avLst/>
        </a:prstGeom>
      </xdr:spPr>
    </xdr:pic>
    <xdr:clientData/>
  </xdr:twoCellAnchor>
  <xdr:twoCellAnchor editAs="oneCell">
    <xdr:from>
      <xdr:col>11</xdr:col>
      <xdr:colOff>504825</xdr:colOff>
      <xdr:row>28</xdr:row>
      <xdr:rowOff>9525</xdr:rowOff>
    </xdr:from>
    <xdr:to>
      <xdr:col>23</xdr:col>
      <xdr:colOff>465701</xdr:colOff>
      <xdr:row>58</xdr:row>
      <xdr:rowOff>8882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9077325" y="4810125"/>
          <a:ext cx="8190476" cy="5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Desktop/&#27979;&#31639;-&#39318;&#24320;&#29081;&#24742;&#22825;&#349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0&#24180;\&#39033;&#30446;\&#31199;&#3732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典型户型修正"/>
      <sheetName val="分套面积表"/>
      <sheetName val="Sheet1"/>
      <sheetName val="Sheet4"/>
      <sheetName val="结果"/>
      <sheetName val="结果汇总"/>
      <sheetName val="结果表1层商业"/>
      <sheetName val="租金比较法-商业"/>
      <sheetName val="商业租金案例"/>
      <sheetName val="收益法倒推租金"/>
      <sheetName val="比较法-商业售价"/>
      <sheetName val="房山区商业平均售价"/>
      <sheetName val="在售"/>
      <sheetName val="商住售价"/>
      <sheetName val="商业出售案例"/>
      <sheetName val="成本法-商业"/>
      <sheetName val="基准地价修正"/>
      <sheetName val="比较法-车位"/>
      <sheetName val="收益法-车位"/>
      <sheetName val="比较法-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办公"/>
      <sheetName val="比较法-工业"/>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系统读取表"/>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row r="33">
          <cell r="B33">
            <v>0.03</v>
          </cell>
        </row>
        <row r="35">
          <cell r="B35">
            <v>200</v>
          </cell>
        </row>
        <row r="36">
          <cell r="B36">
            <v>1.4999999999999999E-2</v>
          </cell>
        </row>
        <row r="51">
          <cell r="B51">
            <v>0.12</v>
          </cell>
        </row>
      </sheetData>
      <sheetData sheetId="15"/>
      <sheetData sheetId="16"/>
      <sheetData sheetId="17"/>
      <sheetData sheetId="18"/>
      <sheetData sheetId="19"/>
      <sheetData sheetId="20"/>
      <sheetData sheetId="21"/>
      <sheetData sheetId="22"/>
      <sheetData sheetId="23">
        <row r="48">
          <cell r="C48">
            <v>3</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v>0</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苏海</v>
          </cell>
        </row>
        <row r="15">
          <cell r="A15">
            <v>0</v>
          </cell>
        </row>
        <row r="16">
          <cell r="A16">
            <v>0</v>
          </cell>
        </row>
        <row r="17">
          <cell r="A17">
            <v>0</v>
          </cell>
        </row>
        <row r="18">
          <cell r="A18" t="str">
            <v>赵璠</v>
          </cell>
        </row>
        <row r="19">
          <cell r="A19">
            <v>0</v>
          </cell>
        </row>
        <row r="20">
          <cell r="A20">
            <v>0</v>
          </cell>
        </row>
        <row r="21">
          <cell r="A21">
            <v>0</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G1/G3/G4/G5/G6商业楼</v>
          </cell>
          <cell r="B28" t="str">
            <v>*</v>
          </cell>
        </row>
        <row r="29">
          <cell r="A29" t="str">
            <v>下沉商业</v>
          </cell>
          <cell r="B29" t="str">
            <v>*</v>
          </cell>
        </row>
        <row r="30">
          <cell r="A30" t="str">
            <v>城市之眼商业楼</v>
          </cell>
          <cell r="B30" t="str">
            <v>*</v>
          </cell>
        </row>
        <row r="31">
          <cell r="A31" t="str">
            <v>地下通廊商业</v>
          </cell>
          <cell r="B31" t="str">
            <v>*</v>
          </cell>
        </row>
        <row r="32">
          <cell r="A32">
            <v>0</v>
          </cell>
          <cell r="B32" t="str">
            <v>*</v>
          </cell>
        </row>
        <row r="33">
          <cell r="A33">
            <v>0</v>
          </cell>
          <cell r="B33" t="str">
            <v>*</v>
          </cell>
        </row>
        <row r="34">
          <cell r="A34" t="str">
            <v>一层</v>
          </cell>
          <cell r="B34" t="str">
            <v>*</v>
          </cell>
        </row>
        <row r="35">
          <cell r="A35" t="str">
            <v>二层</v>
          </cell>
          <cell r="B35" t="str">
            <v>*</v>
          </cell>
        </row>
        <row r="36">
          <cell r="A36" t="str">
            <v>三层</v>
          </cell>
          <cell r="B36" t="str">
            <v>*</v>
          </cell>
        </row>
        <row r="37">
          <cell r="A37" t="str">
            <v>四层</v>
          </cell>
          <cell r="B37" t="str">
            <v>*</v>
          </cell>
        </row>
        <row r="38">
          <cell r="A38" t="str">
            <v>五层</v>
          </cell>
          <cell r="B38" t="str">
            <v>*</v>
          </cell>
        </row>
        <row r="39">
          <cell r="A39" t="str">
            <v>地下一层</v>
          </cell>
          <cell r="B39" t="str">
            <v>*</v>
          </cell>
        </row>
        <row r="40">
          <cell r="A40" t="str">
            <v>地下二层</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8">
          <cell r="C18">
            <v>0</v>
          </cell>
        </row>
        <row r="19">
          <cell r="C19" t="str">
            <v>商业</v>
          </cell>
        </row>
        <row r="20">
          <cell r="C20">
            <v>0</v>
          </cell>
        </row>
        <row r="21">
          <cell r="C21">
            <v>0</v>
          </cell>
        </row>
        <row r="22">
          <cell r="C22">
            <v>0</v>
          </cell>
        </row>
        <row r="23">
          <cell r="C23">
            <v>0</v>
          </cell>
        </row>
        <row r="24">
          <cell r="C24">
            <v>0</v>
          </cell>
        </row>
        <row r="25">
          <cell r="C25">
            <v>0</v>
          </cell>
        </row>
        <row r="26">
          <cell r="C26">
            <v>0</v>
          </cell>
        </row>
      </sheetData>
      <sheetData sheetId="16"/>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sheetData sheetId="25"/>
      <sheetData sheetId="26">
        <row r="20">
          <cell r="G20">
            <v>22536</v>
          </cell>
        </row>
      </sheetData>
      <sheetData sheetId="27">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双面临街</v>
          </cell>
          <cell r="D86" t="str">
            <v>单面临街</v>
          </cell>
          <cell r="E86" t="str">
            <v>不临街</v>
          </cell>
          <cell r="F86">
            <v>0</v>
          </cell>
          <cell r="G86">
            <v>0</v>
          </cell>
          <cell r="H86">
            <v>0</v>
          </cell>
          <cell r="I86">
            <v>0</v>
          </cell>
          <cell r="J86">
            <v>0</v>
          </cell>
          <cell r="K86">
            <v>0</v>
          </cell>
          <cell r="L86">
            <v>0</v>
          </cell>
          <cell r="M86">
            <v>0</v>
          </cell>
        </row>
        <row r="90">
          <cell r="B90" t="str">
            <v>人流量</v>
          </cell>
          <cell r="C90" t="str">
            <v>好</v>
          </cell>
          <cell r="D90" t="str">
            <v>较好</v>
          </cell>
          <cell r="E90" t="str">
            <v>一般</v>
          </cell>
          <cell r="F90" t="str">
            <v>较差</v>
          </cell>
          <cell r="G90" t="str">
            <v>差</v>
          </cell>
          <cell r="H90">
            <v>0</v>
          </cell>
          <cell r="I90">
            <v>0</v>
          </cell>
          <cell r="J90">
            <v>0</v>
          </cell>
          <cell r="K90">
            <v>0</v>
          </cell>
          <cell r="L90">
            <v>0</v>
          </cell>
          <cell r="M90">
            <v>0</v>
          </cell>
        </row>
        <row r="92">
          <cell r="B92" t="str">
            <v>楼层</v>
          </cell>
          <cell r="C92" t="str">
            <v>一层</v>
          </cell>
          <cell r="D92">
            <v>0</v>
          </cell>
          <cell r="E92">
            <v>0</v>
          </cell>
          <cell r="F92">
            <v>0</v>
          </cell>
          <cell r="G92">
            <v>0</v>
          </cell>
          <cell r="H92">
            <v>0</v>
          </cell>
          <cell r="I92">
            <v>0</v>
          </cell>
          <cell r="J92">
            <v>0</v>
          </cell>
          <cell r="K92">
            <v>0</v>
          </cell>
          <cell r="L92">
            <v>0</v>
          </cell>
          <cell r="M92">
            <v>0</v>
          </cell>
        </row>
        <row r="100">
          <cell r="B100" t="str">
            <v>商业类型</v>
          </cell>
          <cell r="C100" t="str">
            <v>商业街</v>
          </cell>
          <cell r="D100" t="str">
            <v>住宅底商</v>
          </cell>
          <cell r="E100">
            <v>0</v>
          </cell>
          <cell r="F100">
            <v>0</v>
          </cell>
          <cell r="G100">
            <v>0</v>
          </cell>
          <cell r="H100">
            <v>0</v>
          </cell>
          <cell r="I100">
            <v>0</v>
          </cell>
          <cell r="J100">
            <v>0</v>
          </cell>
          <cell r="K100">
            <v>0</v>
          </cell>
          <cell r="L100">
            <v>0</v>
          </cell>
          <cell r="M100">
            <v>0</v>
          </cell>
        </row>
        <row r="105">
          <cell r="B105" t="str">
            <v>建筑结构</v>
          </cell>
          <cell r="C105" t="str">
            <v>钢混</v>
          </cell>
          <cell r="D105" t="str">
            <v>混合</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28"/>
      <sheetData sheetId="29"/>
      <sheetData sheetId="30"/>
      <sheetData sheetId="31"/>
      <sheetData sheetId="32"/>
      <sheetData sheetId="33"/>
      <sheetData sheetId="34"/>
      <sheetData sheetId="35"/>
      <sheetData sheetId="36"/>
      <sheetData sheetId="3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9">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0">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1">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2">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43">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row r="5">
          <cell r="A5">
            <v>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1</v>
          </cell>
          <cell r="D17">
            <v>2</v>
          </cell>
          <cell r="E17">
            <v>3</v>
          </cell>
          <cell r="F17">
            <v>4</v>
          </cell>
          <cell r="G17">
            <v>5</v>
          </cell>
          <cell r="H17">
            <v>-1</v>
          </cell>
          <cell r="I17">
            <v>-2</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估价对象为房地产，为所有。根据《国有土地使用证》[]，估价对象（分摊）出让国有建设用地使用权面积为0平方米，建筑面积为2414.43平方米。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估价对象为房地产,属开发建设的，该项目尚在开发建设中。根据《国有土地使用证》[]，估价对象（分摊）出让国有建设用地使用权面积为0平方米，规划建筑面积为2414.43平方米。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2024年7月5日（评估专业人员实地查勘之日）</v>
      </c>
    </row>
    <row r="13" spans="1:2" s="1203" customFormat="1">
      <c r="A13" s="1201" t="s">
        <v>529</v>
      </c>
      <c r="B13" s="1202" t="str">
        <f>'预评函-1'!A18</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2414.4300000000003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8"/>
      <c r="B54" s="1554" t="s">
        <v>385</v>
      </c>
      <c r="C54" s="1551" t="s">
        <v>583</v>
      </c>
    </row>
    <row r="55" spans="1:4">
      <c r="A55" s="3618"/>
      <c r="B55" s="1554" t="s">
        <v>386</v>
      </c>
      <c r="C55" s="1551" t="s">
        <v>584</v>
      </c>
    </row>
    <row r="56" spans="1:4">
      <c r="A56" s="3618"/>
      <c r="B56" s="1554" t="s">
        <v>387</v>
      </c>
      <c r="C56" s="1551" t="s">
        <v>588</v>
      </c>
    </row>
    <row r="57" spans="1:4">
      <c r="A57" s="36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619" t="s">
        <v>2584</v>
      </c>
      <c r="J2" s="3619"/>
      <c r="K2" s="3619"/>
      <c r="L2" s="3619"/>
      <c r="M2" s="3619"/>
      <c r="N2" s="3619"/>
      <c r="O2" s="3619"/>
      <c r="P2" s="3619"/>
      <c r="Q2" s="3619"/>
      <c r="R2" s="3619"/>
    </row>
    <row r="3" spans="1:18">
      <c r="A3" s="3020" t="s">
        <v>2505</v>
      </c>
      <c r="B3" s="3021">
        <f>项目基本情况!D3</f>
        <v>45478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2.4500000000000002</v>
      </c>
      <c r="D5" s="3025">
        <f>IF(ISERROR(ROUND(POWER(1+E5,A5-C5)*(POWER(1+E5,C5)-1)/(POWER(1+E5,A5)-1),3)),0,ROUND(POWER(1+E5,A5-C5)*(POWER(1+E5,C5)-1)/(POWER(1+E5,A5)-1),4))</f>
        <v>0.1157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12.46</v>
      </c>
      <c r="D6" s="3025">
        <f>IF(ISERROR(ROUND(POWER(1+E6,A6-C6)*(POWER(1+E6,C6)-1)/(POWER(1+E6,A6)-1),3)),0,ROUND(POWER(1+E6,A6-C6)*(POWER(1+E6,C6)-1)/(POWER(1+E6,A6)-1),4))</f>
        <v>0.44990000000000002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v>
      </c>
      <c r="D7" s="3025">
        <f>IF(ISERROR(ROUND(POWER(1+E7,A7-C7)*(POWER(1+E7,C7)-1)/(POWER(1+E7,A7)-1),3)),0,ROUND(POWER(1+E7,A7-C7)*(POWER(1+E7,C7)-1)/(POWER(1+E7,A7)-1),4))</f>
        <v>0.76959999999999995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zoomScaleSheetLayoutView="110" workbookViewId="0">
      <selection activeCell="E15" sqref="E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20" t="str">
        <f>IF(B10="北京市","北京市",C10)&amp;F10&amp;IF(结果表!G1="在建","出让国有建设用地使用权及在建建筑物",IF(结果表!G1="土地","出让国有建设用地使用权",))&amp;B9&amp;"预评估"</f>
        <v>预评估</v>
      </c>
      <c r="C1" s="3621"/>
      <c r="D1" s="3621"/>
      <c r="E1" s="3621"/>
      <c r="F1" s="3621"/>
      <c r="G1" s="3621"/>
      <c r="H1" s="3621"/>
      <c r="I1" s="36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45478</v>
      </c>
      <c r="C3" s="2374" t="s">
        <v>2171</v>
      </c>
      <c r="D3" s="2373">
        <f>B3</f>
        <v>45478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623" t="s">
        <v>2177</v>
      </c>
      <c r="E8" s="2391"/>
      <c r="F8" s="2392"/>
      <c r="G8" s="2663"/>
      <c r="H8" s="2663"/>
      <c r="I8" s="2663"/>
      <c r="J8" s="2439"/>
      <c r="K8" s="2614"/>
      <c r="L8" s="2613"/>
      <c r="M8" s="2613"/>
      <c r="N8" s="2439"/>
      <c r="O8" s="2450"/>
      <c r="P8" s="2439"/>
      <c r="Q8" s="2439"/>
      <c r="R8" s="2439"/>
    </row>
    <row r="9" spans="1:30" ht="13.5" thickBot="1">
      <c r="A9" s="2393" t="s">
        <v>2178</v>
      </c>
      <c r="B9" s="2394"/>
      <c r="C9" s="2395"/>
      <c r="D9" s="362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v>56227</v>
      </c>
      <c r="F13" s="856"/>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29.44</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630"/>
      <c r="C16" s="3631"/>
      <c r="D16" s="3632"/>
      <c r="E16" s="2413" t="s">
        <v>2194</v>
      </c>
      <c r="F16" s="3633"/>
      <c r="G16" s="3634"/>
      <c r="H16" s="3634"/>
      <c r="I16" s="3635"/>
      <c r="J16" s="2439"/>
      <c r="K16" s="2617"/>
      <c r="L16" s="2451"/>
      <c r="M16" s="2451"/>
      <c r="N16" s="2509"/>
      <c r="O16" s="2451"/>
      <c r="P16" s="2509"/>
      <c r="Q16" s="2439"/>
      <c r="R16" s="2439"/>
    </row>
    <row r="17" spans="1:28">
      <c r="A17" s="313" t="s">
        <v>2195</v>
      </c>
      <c r="B17" s="302" t="s">
        <v>2196</v>
      </c>
      <c r="C17" s="8">
        <f>'数据-汇总表'!E3</f>
        <v>2414.4300000000003</v>
      </c>
      <c r="D17" s="2322" t="s">
        <v>2197</v>
      </c>
      <c r="E17" s="3636" t="s">
        <v>2198</v>
      </c>
      <c r="F17" s="3637"/>
      <c r="G17" s="3637"/>
      <c r="H17" s="3637"/>
      <c r="I17" s="363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639" t="s">
        <v>2202</v>
      </c>
      <c r="F18" s="3640"/>
      <c r="G18" s="3640"/>
      <c r="H18" s="3640"/>
      <c r="I18" s="364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26" t="s">
        <v>2206</v>
      </c>
      <c r="C20" s="3627"/>
      <c r="D20" s="3628" t="s">
        <v>2207</v>
      </c>
      <c r="E20" s="3629"/>
      <c r="F20" s="2647" t="s">
        <v>1056</v>
      </c>
      <c r="G20" s="2664"/>
      <c r="H20" s="2664"/>
      <c r="I20" s="2664"/>
      <c r="J20" s="2439"/>
      <c r="K20" s="36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6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6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64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4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4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44"/>
      <c r="B30" s="302" t="s">
        <v>2218</v>
      </c>
      <c r="C30" s="3645"/>
      <c r="D30" s="3646"/>
      <c r="E30" s="2664"/>
      <c r="F30" s="2664"/>
      <c r="G30" s="2664"/>
      <c r="H30" s="2664"/>
      <c r="I30" s="2664"/>
      <c r="J30" s="2439"/>
      <c r="K30" s="2616"/>
      <c r="L30" s="2613"/>
      <c r="M30" s="2613"/>
      <c r="N30" s="2439"/>
      <c r="O30" s="2450"/>
      <c r="P30" s="2439"/>
      <c r="Q30" s="2439"/>
      <c r="R30" s="2439"/>
      <c r="S30" s="2439"/>
      <c r="T30" s="2439"/>
      <c r="U30" s="2439"/>
      <c r="V30" s="2439"/>
    </row>
    <row r="31" spans="1:28">
      <c r="A31" s="364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4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4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42" t="s">
        <v>2228</v>
      </c>
      <c r="T34" s="2428" t="str">
        <f>NUMBERSTRING(7-K34,1)&amp;"通"</f>
        <v>七通</v>
      </c>
      <c r="U34" s="2439"/>
      <c r="V34" s="2439"/>
    </row>
    <row r="35" spans="1:30">
      <c r="A35" s="2429"/>
      <c r="B35" s="3649" t="s">
        <v>2229</v>
      </c>
      <c r="C35" s="3649"/>
      <c r="D35" s="3649"/>
      <c r="E35" s="364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4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2414.4300000000003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2414.4300000000003</v>
      </c>
      <c r="H5" s="13">
        <f t="shared" ref="H5:AT5" si="0">SUM(H13:H656)</f>
        <v>2414.4300000000003</v>
      </c>
      <c r="I5" s="13">
        <f t="shared" si="0"/>
        <v>1078.0900000000001</v>
      </c>
      <c r="J5" s="13">
        <f t="shared" si="0"/>
        <v>0</v>
      </c>
      <c r="K5" s="13">
        <f t="shared" si="0"/>
        <v>1336.34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2414.4300000000003</v>
      </c>
      <c r="BA5" s="15">
        <f t="shared" si="1"/>
        <v>2414.4300000000003</v>
      </c>
      <c r="BB5" s="15">
        <f t="shared" si="1"/>
        <v>1078.0900000000001</v>
      </c>
      <c r="BC5" s="15">
        <f t="shared" si="1"/>
        <v>1336.34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3675</v>
      </c>
      <c r="J9" s="809"/>
      <c r="K9" s="1603" t="s">
        <v>3675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3676</v>
      </c>
      <c r="E13" s="13">
        <f>IF($C$3="是",ROUND($A$3*G13/$B$3,2),ROUND($A$3*(G13-AT13)/$B$3,2))</f>
        <v>0</v>
      </c>
      <c r="F13" s="29"/>
      <c r="G13" s="30">
        <f>H13+AC13+AT13</f>
        <v>2414.4300000000003</v>
      </c>
      <c r="H13" s="17">
        <f>SUMIF(I$12:AB$12,"总值",I13:AB13)</f>
        <v>2414.4300000000003</v>
      </c>
      <c r="I13" s="1626">
        <f>面积!E4</f>
        <v>1078.0900000000001</v>
      </c>
      <c r="J13" s="1626"/>
      <c r="K13" s="1626">
        <f>面积!E6</f>
        <v>1336.34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2414.4300000000003</v>
      </c>
      <c r="BA13" s="13">
        <f>SUM(BB13:BK13)</f>
        <v>2414.4300000000003</v>
      </c>
      <c r="BB13" s="13">
        <f>IF($D13="是",I13-J13,0)</f>
        <v>1078.0900000000001</v>
      </c>
      <c r="BC13" s="13">
        <f>IF($D13="是",K13-L13,0)</f>
        <v>1336.34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59" t="s">
        <v>1131</v>
      </c>
      <c r="B2" s="3659"/>
      <c r="C2" s="3659"/>
      <c r="D2" s="796" t="s">
        <v>1107</v>
      </c>
      <c r="E2" s="1639" t="s">
        <v>1108</v>
      </c>
      <c r="F2" s="2659"/>
      <c r="G2" s="2650"/>
      <c r="H2" s="2651"/>
      <c r="I2" s="2325" t="s">
        <v>1132</v>
      </c>
      <c r="J2" s="2659"/>
      <c r="K2" s="2659"/>
      <c r="L2" s="2659"/>
      <c r="M2" s="2659"/>
      <c r="N2" s="2661"/>
      <c r="O2" s="2659"/>
      <c r="P2" s="2659"/>
    </row>
    <row r="3" spans="1:16" ht="15.75" thickBot="1">
      <c r="A3" s="3660" t="s">
        <v>1105</v>
      </c>
      <c r="B3" s="3660"/>
      <c r="C3" s="3660"/>
      <c r="D3" s="43">
        <f>'数据-基础表'!AY6</f>
        <v>0</v>
      </c>
      <c r="E3" s="43">
        <f>'数据-基础表'!AZ5</f>
        <v>2414.4300000000003</v>
      </c>
      <c r="F3" s="2659"/>
      <c r="G3" s="1145"/>
      <c r="H3" s="1026" t="s">
        <v>1106</v>
      </c>
      <c r="I3" s="855" t="e">
        <f>ROUND('数据-基础表'!B3/'数据-基础表'!A3,2)</f>
        <v>#DIV/0!</v>
      </c>
      <c r="J3" s="2659"/>
      <c r="K3" s="2659"/>
      <c r="L3" s="2659"/>
      <c r="M3" s="2659"/>
      <c r="N3" s="2661"/>
      <c r="O3" s="2659"/>
      <c r="P3" s="2659"/>
    </row>
    <row r="4" spans="1:16" ht="15">
      <c r="A4" s="3661"/>
      <c r="B4" s="3662"/>
      <c r="C4" s="36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664" t="s">
        <v>1110</v>
      </c>
      <c r="C5" s="366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664" t="s">
        <v>1111</v>
      </c>
      <c r="C6" s="3664"/>
      <c r="D6" s="45">
        <f>ROUND($D$3*E6/$E$3,2)</f>
        <v>0</v>
      </c>
      <c r="E6" s="46">
        <f>E3-E5</f>
        <v>2414.4300000000003</v>
      </c>
      <c r="F6" s="2659"/>
      <c r="G6" s="2653" t="s">
        <v>1112</v>
      </c>
      <c r="H6" s="1146" t="s">
        <v>1113</v>
      </c>
      <c r="I6" s="2654" t="e">
        <f>ROUND(F31/D31,2)</f>
        <v>#DIV/0!</v>
      </c>
      <c r="J6" s="2659"/>
      <c r="K6" s="2659"/>
      <c r="L6" s="2659"/>
      <c r="M6" s="2659"/>
      <c r="N6" s="2659"/>
      <c r="O6" s="2659"/>
      <c r="P6" s="2659"/>
    </row>
    <row r="7" spans="1:16" ht="15.75" thickBot="1">
      <c r="A7" s="3656"/>
      <c r="B7" s="3657"/>
      <c r="C7" s="365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2414.4300000000003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2414.4300000000003</v>
      </c>
      <c r="F16" s="2659"/>
      <c r="G16" s="2660"/>
      <c r="H16" s="1648" t="s">
        <v>1135</v>
      </c>
      <c r="I16" s="1649"/>
      <c r="J16" s="1139"/>
      <c r="K16" s="3653" t="s">
        <v>1135</v>
      </c>
      <c r="L16" s="3654"/>
      <c r="M16" s="3654"/>
      <c r="N16" s="3654"/>
      <c r="O16" s="3654"/>
      <c r="P16" s="3655"/>
    </row>
    <row r="17" spans="1:19" ht="15">
      <c r="A17" s="1650" t="s">
        <v>1136</v>
      </c>
      <c r="B17" s="1651" t="s">
        <v>1137</v>
      </c>
      <c r="C17" s="1652" t="s">
        <v>1138</v>
      </c>
      <c r="D17" s="1653" t="s">
        <v>1126</v>
      </c>
      <c r="E17" s="1654" t="s">
        <v>1127</v>
      </c>
      <c r="F17" s="1655"/>
      <c r="G17" s="1656"/>
      <c r="H17" s="1657" t="s">
        <v>1139</v>
      </c>
      <c r="I17" s="1658" t="s">
        <v>1124</v>
      </c>
      <c r="J17" s="1139"/>
      <c r="K17" s="3650" t="s">
        <v>1140</v>
      </c>
      <c r="L17" s="3651"/>
      <c r="M17" s="3652"/>
      <c r="N17" s="3650" t="s">
        <v>1141</v>
      </c>
      <c r="O17" s="3651"/>
      <c r="P17" s="36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3677</v>
      </c>
      <c r="D19" s="45">
        <f>ROUND($D$3*E19/$E$3,2)</f>
        <v>0</v>
      </c>
      <c r="E19" s="53">
        <f t="shared" ref="E19:E26" si="1">SUM(F19:G19)</f>
        <v>1078.0900000000001</v>
      </c>
      <c r="F19" s="2795">
        <f>'数据-基础表'!I13</f>
        <v>1078.0900000000001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1078.0900000000001</v>
      </c>
    </row>
    <row r="20" spans="1:19">
      <c r="A20" s="1670"/>
      <c r="B20" s="47" t="s">
        <v>1153</v>
      </c>
      <c r="C20" s="3417" t="s">
        <v>3678</v>
      </c>
      <c r="D20" s="45">
        <f t="shared" ref="D20:D26" si="6">ROUND($D$3*E20/$E$3,2)</f>
        <v>0</v>
      </c>
      <c r="E20" s="53">
        <f t="shared" si="1"/>
        <v>1336.34</v>
      </c>
      <c r="F20" s="2795">
        <f>'数据-基础表'!K13</f>
        <v>1336.34</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1336.34</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2414.4300000000003</v>
      </c>
      <c r="F27" s="1140">
        <f>IF(SUM(F19:F26)=E8,SUM(F19:F26),"地上面积有误")</f>
        <v>2414.4300000000003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2414.4300000000003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2414.4300000000003</v>
      </c>
      <c r="F31" s="677">
        <f>F27+F30</f>
        <v>2414.4300000000003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sqref="A1:L59"/>
    </sheetView>
  </sheetViews>
  <sheetFormatPr defaultRowHeight="13.5"/>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1:M7"/>
  <sheetViews>
    <sheetView tabSelected="1" workbookViewId="0">
      <selection activeCell="E18" sqref="E18"/>
    </sheetView>
  </sheetViews>
  <sheetFormatPr defaultRowHeight="13.5"/>
  <sheetData>
    <row r="1" spans="3:13">
      <c r="C1" s="3456" t="s">
        <v>3774</v>
      </c>
      <c r="D1" s="3456" t="s">
        <v>3772</v>
      </c>
      <c r="E1" s="3456"/>
      <c r="F1" s="3456"/>
      <c r="I1" s="3456"/>
      <c r="J1" s="3456"/>
      <c r="K1" s="3456"/>
      <c r="L1" s="3456"/>
      <c r="M1" s="3456"/>
    </row>
    <row r="2" spans="3:13">
      <c r="C2" s="3577" t="s">
        <v>3773</v>
      </c>
      <c r="D2" s="3456" t="s">
        <v>2816</v>
      </c>
      <c r="I2" s="3456"/>
      <c r="J2" s="3577"/>
    </row>
    <row r="3" spans="3:13">
      <c r="D3">
        <f>'收益法倒推租金-办公'!D38:F38</f>
        <v>7.6</v>
      </c>
      <c r="I3" s="3456"/>
      <c r="J3" s="3456"/>
    </row>
    <row r="4" spans="3:13">
      <c r="D4" s="3456" t="s">
        <v>3682</v>
      </c>
      <c r="E4" s="3456" t="s">
        <v>3388</v>
      </c>
      <c r="F4" s="3456" t="s">
        <v>3771</v>
      </c>
      <c r="J4" s="3456"/>
    </row>
    <row r="5" spans="3:13">
      <c r="C5" s="3456" t="s">
        <v>3768</v>
      </c>
      <c r="D5">
        <f>D6*0.8</f>
        <v>8.7200000000000006</v>
      </c>
      <c r="E5">
        <f>面积!E5</f>
        <v>701.78</v>
      </c>
      <c r="F5" s="3665">
        <f>ROUND((D5*E5+D6*E6+D7*E7)/(E5+E6+E7),2)</f>
        <v>9.08</v>
      </c>
      <c r="J5" s="3456"/>
    </row>
    <row r="6" spans="3:13">
      <c r="C6" s="3456" t="s">
        <v>3769</v>
      </c>
      <c r="D6">
        <f>'收益法倒推租金-商业'!D38:F38</f>
        <v>10.9</v>
      </c>
      <c r="E6">
        <f>面积!E4</f>
        <v>1078.0900000000001</v>
      </c>
      <c r="F6" s="3665"/>
    </row>
    <row r="7" spans="3:13">
      <c r="C7" s="3456" t="s">
        <v>3770</v>
      </c>
      <c r="D7">
        <f>D6*0.6</f>
        <v>6.54</v>
      </c>
      <c r="E7">
        <f>面积!E3</f>
        <v>672.93999999999994</v>
      </c>
      <c r="F7" s="3665"/>
    </row>
  </sheetData>
  <mergeCells count="1">
    <mergeCell ref="F5:F7"/>
  </mergeCells>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58"/>
  <sheetViews>
    <sheetView topLeftCell="A13" workbookViewId="0">
      <selection activeCell="E3" sqref="E3"/>
    </sheetView>
  </sheetViews>
  <sheetFormatPr defaultRowHeight="13.5"/>
  <cols>
    <col min="4" max="5" width="9" style="3457"/>
    <col min="8" max="8" width="15.625" customWidth="1"/>
  </cols>
  <sheetData>
    <row r="1" spans="1:19" ht="29.25" thickTop="1">
      <c r="A1" s="3456" t="s">
        <v>3384</v>
      </c>
      <c r="H1" s="3523" t="s">
        <v>3563</v>
      </c>
      <c r="I1" s="3524"/>
      <c r="K1" s="3456" t="s">
        <v>3562</v>
      </c>
      <c r="L1" s="3456" t="s">
        <v>3385</v>
      </c>
      <c r="M1" s="3456" t="s">
        <v>3386</v>
      </c>
      <c r="O1" s="3527" t="s">
        <v>3621</v>
      </c>
      <c r="P1" s="3527" t="s">
        <v>3622</v>
      </c>
      <c r="Q1" s="3528" t="s">
        <v>3623</v>
      </c>
      <c r="R1" s="3529" t="s">
        <v>3624</v>
      </c>
      <c r="S1" s="3546" t="s">
        <v>3625</v>
      </c>
    </row>
    <row r="2" spans="1:19" ht="16.5">
      <c r="A2" s="3456" t="s">
        <v>3385</v>
      </c>
      <c r="B2" s="3456" t="s">
        <v>3386</v>
      </c>
      <c r="D2" s="3458" t="s">
        <v>3385</v>
      </c>
      <c r="E2" s="3458" t="s">
        <v>3388</v>
      </c>
      <c r="H2" s="3525" t="s">
        <v>3564</v>
      </c>
      <c r="I2" s="3526">
        <v>285.33</v>
      </c>
      <c r="K2">
        <v>1</v>
      </c>
      <c r="L2" t="s">
        <v>3391</v>
      </c>
      <c r="M2">
        <v>1807.12</v>
      </c>
      <c r="O2" s="3530">
        <v>1</v>
      </c>
      <c r="P2" s="3531" t="s">
        <v>3626</v>
      </c>
      <c r="Q2" s="3532" t="s">
        <v>3626</v>
      </c>
      <c r="R2" s="3532">
        <f>M3</f>
        <v>1026.51</v>
      </c>
      <c r="S2" s="3532">
        <v>734.88</v>
      </c>
    </row>
    <row r="3" spans="1:19" ht="16.5">
      <c r="A3">
        <v>1</v>
      </c>
      <c r="B3">
        <v>421.51</v>
      </c>
      <c r="D3" s="3547" t="s">
        <v>3389</v>
      </c>
      <c r="E3" s="3548">
        <f>129.2+290.65+253.09</f>
        <v>672.93999999999994</v>
      </c>
      <c r="H3" s="3523" t="s">
        <v>3565</v>
      </c>
      <c r="I3" s="3526">
        <v>135.06</v>
      </c>
      <c r="K3">
        <v>2</v>
      </c>
      <c r="L3" t="s">
        <v>3392</v>
      </c>
      <c r="M3">
        <v>1026.51</v>
      </c>
      <c r="O3" s="3533" t="s">
        <v>3627</v>
      </c>
      <c r="P3" s="3531" t="s">
        <v>3563</v>
      </c>
      <c r="Q3" s="3532" t="s">
        <v>3563</v>
      </c>
      <c r="R3" s="3532">
        <f>M2</f>
        <v>1807.12</v>
      </c>
      <c r="S3" s="3532">
        <v>1863.16</v>
      </c>
    </row>
    <row r="4" spans="1:19" ht="16.5">
      <c r="A4">
        <v>2</v>
      </c>
      <c r="B4">
        <v>736.83</v>
      </c>
      <c r="D4" s="3547" t="s">
        <v>3390</v>
      </c>
      <c r="E4" s="3548">
        <f>684.66+126.45+266.98</f>
        <v>1078.0900000000001</v>
      </c>
      <c r="H4" s="3523" t="s">
        <v>3566</v>
      </c>
      <c r="I4" s="3526">
        <v>646.01</v>
      </c>
      <c r="K4">
        <v>3</v>
      </c>
      <c r="L4" t="s">
        <v>3393</v>
      </c>
      <c r="M4">
        <v>1023.34</v>
      </c>
      <c r="O4" s="3530">
        <v>2</v>
      </c>
      <c r="P4" s="3531" t="s">
        <v>3628</v>
      </c>
      <c r="Q4" s="3532" t="s">
        <v>3628</v>
      </c>
      <c r="R4" s="3532">
        <f t="shared" ref="R4:R26" si="0">M4</f>
        <v>1023.34</v>
      </c>
      <c r="S4" s="3532">
        <v>1002.32</v>
      </c>
    </row>
    <row r="5" spans="1:19" ht="16.5">
      <c r="A5">
        <v>3</v>
      </c>
      <c r="B5">
        <v>1004.98</v>
      </c>
      <c r="D5" s="3548">
        <v>1</v>
      </c>
      <c r="E5" s="3548">
        <f>395.39+306.39</f>
        <v>701.78</v>
      </c>
      <c r="H5" s="3523" t="s">
        <v>3567</v>
      </c>
      <c r="I5" s="3526">
        <v>796.76</v>
      </c>
      <c r="K5">
        <v>4</v>
      </c>
      <c r="L5" t="s">
        <v>3394</v>
      </c>
      <c r="M5">
        <v>1270.94</v>
      </c>
      <c r="O5" s="3530">
        <v>3</v>
      </c>
      <c r="P5" s="3531" t="s">
        <v>3629</v>
      </c>
      <c r="Q5" s="3532" t="s">
        <v>3629</v>
      </c>
      <c r="R5" s="3532">
        <f t="shared" si="0"/>
        <v>1270.94</v>
      </c>
      <c r="S5" s="3532">
        <v>1320.97</v>
      </c>
    </row>
    <row r="6" spans="1:19" ht="16.5">
      <c r="A6">
        <v>4</v>
      </c>
      <c r="B6">
        <v>1324.47</v>
      </c>
      <c r="D6" s="3457">
        <v>3</v>
      </c>
      <c r="E6" s="3457">
        <v>1336.34</v>
      </c>
      <c r="H6" s="3523" t="s">
        <v>3568</v>
      </c>
      <c r="I6" s="3526"/>
      <c r="K6">
        <v>5</v>
      </c>
      <c r="L6" t="s">
        <v>3395</v>
      </c>
      <c r="M6">
        <v>1388.11</v>
      </c>
      <c r="O6" s="3530">
        <v>4</v>
      </c>
      <c r="P6" s="3531" t="s">
        <v>3630</v>
      </c>
      <c r="Q6" s="3532" t="s">
        <v>3631</v>
      </c>
      <c r="R6" s="3532">
        <f t="shared" si="0"/>
        <v>1388.11</v>
      </c>
      <c r="S6" s="3532">
        <v>1488.24</v>
      </c>
    </row>
    <row r="7" spans="1:19" ht="16.5">
      <c r="A7">
        <v>5</v>
      </c>
      <c r="B7">
        <v>1492.19</v>
      </c>
      <c r="D7" s="3457">
        <v>5</v>
      </c>
      <c r="E7" s="3457">
        <v>1511.02</v>
      </c>
      <c r="H7" s="3523" t="s">
        <v>3569</v>
      </c>
      <c r="I7" s="3526">
        <v>321.22000000000003</v>
      </c>
      <c r="K7">
        <v>6</v>
      </c>
      <c r="L7" t="s">
        <v>3396</v>
      </c>
      <c r="M7">
        <v>1348.62</v>
      </c>
      <c r="O7" s="3530">
        <v>5</v>
      </c>
      <c r="P7" s="3531" t="s">
        <v>3632</v>
      </c>
      <c r="Q7" s="3532" t="s">
        <v>3633</v>
      </c>
      <c r="R7" s="3532">
        <f t="shared" si="0"/>
        <v>1348.62</v>
      </c>
      <c r="S7" s="3532">
        <v>1435.93</v>
      </c>
    </row>
    <row r="8" spans="1:19" ht="16.5">
      <c r="A8">
        <v>6</v>
      </c>
      <c r="B8">
        <v>1439.73</v>
      </c>
      <c r="D8" s="3457">
        <v>6</v>
      </c>
      <c r="E8" s="3457">
        <v>748.95</v>
      </c>
      <c r="H8" s="3523" t="s">
        <v>3570</v>
      </c>
      <c r="I8" s="3526">
        <v>413.66</v>
      </c>
      <c r="K8">
        <v>7</v>
      </c>
      <c r="L8" t="s">
        <v>3397</v>
      </c>
      <c r="M8">
        <v>1348.62</v>
      </c>
      <c r="O8" s="3530">
        <v>6</v>
      </c>
      <c r="P8" s="3531" t="s">
        <v>3634</v>
      </c>
      <c r="Q8" s="3532" t="s">
        <v>3635</v>
      </c>
      <c r="R8" s="3532">
        <f t="shared" si="0"/>
        <v>1348.62</v>
      </c>
      <c r="S8" s="3532">
        <v>1435.93</v>
      </c>
    </row>
    <row r="9" spans="1:19" ht="16.5">
      <c r="A9">
        <v>7</v>
      </c>
      <c r="B9">
        <v>1439.73</v>
      </c>
      <c r="D9" s="3457">
        <v>7</v>
      </c>
      <c r="E9" s="3457">
        <v>1456.71</v>
      </c>
      <c r="H9" s="3523" t="s">
        <v>3571</v>
      </c>
      <c r="I9" s="3526"/>
      <c r="K9">
        <v>8</v>
      </c>
      <c r="L9" t="s">
        <v>3398</v>
      </c>
      <c r="M9">
        <v>1388.11</v>
      </c>
      <c r="O9" s="3530">
        <v>7</v>
      </c>
      <c r="P9" s="3531" t="s">
        <v>3636</v>
      </c>
      <c r="Q9" s="3532" t="s">
        <v>3637</v>
      </c>
      <c r="R9" s="3532">
        <f t="shared" si="0"/>
        <v>1388.11</v>
      </c>
      <c r="S9" s="3532">
        <v>1488.24</v>
      </c>
    </row>
    <row r="10" spans="1:19" ht="16.5">
      <c r="A10">
        <v>8</v>
      </c>
      <c r="B10">
        <v>1492.19</v>
      </c>
      <c r="D10" s="3457">
        <v>8</v>
      </c>
      <c r="E10" s="3457">
        <f>876.91+635</f>
        <v>1511.9099999999999</v>
      </c>
      <c r="H10" s="3523" t="s">
        <v>3572</v>
      </c>
      <c r="I10" s="3526">
        <v>1002.32</v>
      </c>
      <c r="K10">
        <v>9</v>
      </c>
      <c r="L10" t="s">
        <v>3399</v>
      </c>
      <c r="M10">
        <v>1348.62</v>
      </c>
      <c r="O10" s="3530">
        <v>8</v>
      </c>
      <c r="P10" s="3531" t="s">
        <v>3638</v>
      </c>
      <c r="Q10" s="3532" t="s">
        <v>3639</v>
      </c>
      <c r="R10" s="3532">
        <f t="shared" si="0"/>
        <v>1348.62</v>
      </c>
      <c r="S10" s="3532">
        <v>1435.93</v>
      </c>
    </row>
    <row r="11" spans="1:19" ht="16.5">
      <c r="A11">
        <v>9</v>
      </c>
      <c r="B11">
        <v>1439.73</v>
      </c>
      <c r="D11" s="3457">
        <v>9</v>
      </c>
      <c r="E11" s="3457">
        <v>1456.02</v>
      </c>
      <c r="H11" s="3523" t="s">
        <v>3573</v>
      </c>
      <c r="I11" s="3526"/>
      <c r="K11">
        <v>10</v>
      </c>
      <c r="L11" t="s">
        <v>3400</v>
      </c>
      <c r="M11">
        <v>1348.62</v>
      </c>
      <c r="O11" s="3530">
        <v>9</v>
      </c>
      <c r="P11" s="3531" t="s">
        <v>3640</v>
      </c>
      <c r="Q11" s="3532" t="s">
        <v>3641</v>
      </c>
      <c r="R11" s="3532">
        <f t="shared" si="0"/>
        <v>1348.62</v>
      </c>
      <c r="S11" s="3532">
        <v>1435.93</v>
      </c>
    </row>
    <row r="12" spans="1:19" ht="16.5">
      <c r="A12">
        <v>10</v>
      </c>
      <c r="B12">
        <v>1439.73</v>
      </c>
      <c r="D12" s="3457">
        <v>10</v>
      </c>
      <c r="E12" s="3457">
        <v>1456.02</v>
      </c>
      <c r="H12" s="3523" t="s">
        <v>3574</v>
      </c>
      <c r="I12" s="3526">
        <v>1320.97</v>
      </c>
      <c r="K12">
        <v>11</v>
      </c>
      <c r="L12" t="s">
        <v>3401</v>
      </c>
      <c r="M12">
        <v>1388.11</v>
      </c>
      <c r="O12" s="3530">
        <v>10</v>
      </c>
      <c r="P12" s="3531" t="s">
        <v>3642</v>
      </c>
      <c r="Q12" s="3532" t="s">
        <v>3643</v>
      </c>
      <c r="R12" s="3532">
        <f t="shared" si="0"/>
        <v>1388.11</v>
      </c>
      <c r="S12" s="3532">
        <v>1488.24</v>
      </c>
    </row>
    <row r="13" spans="1:19" ht="16.5">
      <c r="A13">
        <v>11</v>
      </c>
      <c r="B13">
        <v>1492.19</v>
      </c>
      <c r="D13" s="3457">
        <v>11</v>
      </c>
      <c r="E13" s="3457">
        <v>1511</v>
      </c>
      <c r="H13" s="3523" t="s">
        <v>3575</v>
      </c>
      <c r="I13" s="3526"/>
      <c r="K13">
        <v>12</v>
      </c>
      <c r="L13" t="s">
        <v>3402</v>
      </c>
      <c r="M13">
        <v>1348.62</v>
      </c>
      <c r="O13" s="3530">
        <v>11</v>
      </c>
      <c r="P13" s="3531" t="s">
        <v>3644</v>
      </c>
      <c r="Q13" s="3532" t="s">
        <v>3645</v>
      </c>
      <c r="R13" s="3532">
        <f t="shared" si="0"/>
        <v>1348.62</v>
      </c>
      <c r="S13" s="3532">
        <v>1435.93</v>
      </c>
    </row>
    <row r="14" spans="1:19" ht="16.5">
      <c r="A14">
        <v>12</v>
      </c>
      <c r="B14">
        <v>1439.73</v>
      </c>
      <c r="D14" s="3457">
        <v>12</v>
      </c>
      <c r="E14" s="3457">
        <v>728.02</v>
      </c>
      <c r="H14" s="3523" t="s">
        <v>3576</v>
      </c>
      <c r="I14" s="3526">
        <v>1488.24</v>
      </c>
      <c r="K14">
        <v>13</v>
      </c>
      <c r="L14" t="s">
        <v>3403</v>
      </c>
      <c r="M14">
        <v>1348.62</v>
      </c>
      <c r="O14" s="3530">
        <v>12</v>
      </c>
      <c r="P14" s="3531" t="s">
        <v>3646</v>
      </c>
      <c r="Q14" s="3532" t="s">
        <v>3591</v>
      </c>
      <c r="R14" s="3532">
        <f t="shared" si="0"/>
        <v>1348.62</v>
      </c>
      <c r="S14" s="3532">
        <v>1435.93</v>
      </c>
    </row>
    <row r="15" spans="1:19" ht="16.5">
      <c r="A15">
        <v>13</v>
      </c>
      <c r="B15">
        <v>1439.73</v>
      </c>
      <c r="D15" s="3457">
        <v>15</v>
      </c>
      <c r="E15" s="3457">
        <v>1456.04</v>
      </c>
      <c r="H15" s="3523" t="s">
        <v>3577</v>
      </c>
      <c r="I15" s="3526"/>
      <c r="K15">
        <v>14</v>
      </c>
      <c r="L15" t="s">
        <v>3404</v>
      </c>
      <c r="M15">
        <v>1388.11</v>
      </c>
      <c r="O15" s="3530">
        <v>13</v>
      </c>
      <c r="P15" s="3531" t="s">
        <v>3647</v>
      </c>
      <c r="Q15" s="3532" t="s">
        <v>3593</v>
      </c>
      <c r="R15" s="3532">
        <f t="shared" si="0"/>
        <v>1388.11</v>
      </c>
      <c r="S15" s="3532">
        <v>1488.24</v>
      </c>
    </row>
    <row r="16" spans="1:19" ht="16.5">
      <c r="A16">
        <v>14</v>
      </c>
      <c r="B16">
        <v>1492.19</v>
      </c>
      <c r="D16" s="3457">
        <v>16</v>
      </c>
      <c r="E16" s="3457">
        <v>1511.24</v>
      </c>
      <c r="H16" s="3523" t="s">
        <v>3578</v>
      </c>
      <c r="I16" s="3526">
        <v>1435.93</v>
      </c>
      <c r="K16">
        <v>15</v>
      </c>
      <c r="L16" t="s">
        <v>3405</v>
      </c>
      <c r="M16">
        <v>1348.62</v>
      </c>
      <c r="O16" s="3530">
        <v>14</v>
      </c>
      <c r="P16" s="3531" t="s">
        <v>3648</v>
      </c>
      <c r="Q16" s="3532" t="s">
        <v>3649</v>
      </c>
      <c r="R16" s="3532">
        <f t="shared" si="0"/>
        <v>1348.62</v>
      </c>
      <c r="S16" s="3532">
        <v>1435.93</v>
      </c>
    </row>
    <row r="17" spans="1:19" ht="16.5">
      <c r="A17">
        <v>15</v>
      </c>
      <c r="B17">
        <v>1439.73</v>
      </c>
      <c r="D17" s="3457">
        <v>17</v>
      </c>
      <c r="E17" s="3457">
        <v>1456.04</v>
      </c>
      <c r="H17" s="3523" t="s">
        <v>3579</v>
      </c>
      <c r="I17" s="3526"/>
      <c r="K17">
        <v>16</v>
      </c>
      <c r="L17" t="s">
        <v>3406</v>
      </c>
      <c r="M17">
        <v>1348.62</v>
      </c>
      <c r="O17" s="3530">
        <v>15</v>
      </c>
      <c r="P17" s="3531" t="s">
        <v>3406</v>
      </c>
      <c r="Q17" s="3532" t="s">
        <v>3650</v>
      </c>
      <c r="R17" s="3532">
        <f t="shared" si="0"/>
        <v>1348.62</v>
      </c>
      <c r="S17" s="3532">
        <v>1435.93</v>
      </c>
    </row>
    <row r="18" spans="1:19" ht="16.5">
      <c r="A18">
        <v>16</v>
      </c>
      <c r="B18">
        <v>1439.73</v>
      </c>
      <c r="D18" s="3457">
        <v>18</v>
      </c>
      <c r="E18" s="3457">
        <v>1456.04</v>
      </c>
      <c r="H18" s="3523" t="s">
        <v>3580</v>
      </c>
      <c r="I18" s="3526">
        <v>1435.93</v>
      </c>
      <c r="K18">
        <v>17</v>
      </c>
      <c r="L18" t="s">
        <v>3407</v>
      </c>
      <c r="M18">
        <v>1388.11</v>
      </c>
      <c r="O18" s="3530">
        <v>16</v>
      </c>
      <c r="P18" s="3531" t="s">
        <v>3407</v>
      </c>
      <c r="Q18" s="3532" t="s">
        <v>3651</v>
      </c>
      <c r="R18" s="3532">
        <f t="shared" si="0"/>
        <v>1388.11</v>
      </c>
      <c r="S18" s="3532">
        <v>1488.24</v>
      </c>
    </row>
    <row r="19" spans="1:19" ht="16.5">
      <c r="A19">
        <v>17</v>
      </c>
      <c r="B19">
        <v>1492.19</v>
      </c>
      <c r="D19" s="3457">
        <v>19</v>
      </c>
      <c r="E19" s="3457">
        <v>1511.24</v>
      </c>
      <c r="H19" s="3523" t="s">
        <v>3581</v>
      </c>
      <c r="I19" s="3526"/>
      <c r="K19">
        <v>18</v>
      </c>
      <c r="L19" t="s">
        <v>3408</v>
      </c>
      <c r="M19">
        <v>1348.62</v>
      </c>
      <c r="O19" s="3530">
        <v>17</v>
      </c>
      <c r="P19" s="3531" t="s">
        <v>3408</v>
      </c>
      <c r="Q19" s="3532" t="s">
        <v>3652</v>
      </c>
      <c r="R19" s="3532">
        <f t="shared" si="0"/>
        <v>1348.62</v>
      </c>
      <c r="S19" s="3532">
        <v>1435.93</v>
      </c>
    </row>
    <row r="20" spans="1:19" ht="16.5">
      <c r="A20">
        <v>18</v>
      </c>
      <c r="B20">
        <v>1439.73</v>
      </c>
      <c r="D20" s="3457">
        <v>20</v>
      </c>
      <c r="E20" s="3665">
        <v>4423.32</v>
      </c>
      <c r="H20" s="3523" t="s">
        <v>3582</v>
      </c>
      <c r="I20" s="3526">
        <v>1488.24</v>
      </c>
      <c r="K20">
        <v>19</v>
      </c>
      <c r="L20" t="s">
        <v>3409</v>
      </c>
      <c r="M20">
        <v>1348.62</v>
      </c>
      <c r="O20" s="3530">
        <v>18</v>
      </c>
      <c r="P20" s="3531" t="s">
        <v>3409</v>
      </c>
      <c r="Q20" s="3532" t="s">
        <v>3653</v>
      </c>
      <c r="R20" s="3532">
        <f t="shared" si="0"/>
        <v>1348.62</v>
      </c>
      <c r="S20" s="3532">
        <v>1435.93</v>
      </c>
    </row>
    <row r="21" spans="1:19" ht="16.5">
      <c r="A21">
        <v>19</v>
      </c>
      <c r="B21">
        <v>1439.73</v>
      </c>
      <c r="D21" s="3457">
        <v>21</v>
      </c>
      <c r="E21" s="3665"/>
      <c r="H21" s="3523" t="s">
        <v>3583</v>
      </c>
      <c r="I21" s="3526"/>
      <c r="K21">
        <v>20</v>
      </c>
      <c r="L21" t="s">
        <v>3410</v>
      </c>
      <c r="M21">
        <v>1388.11</v>
      </c>
      <c r="O21" s="3530">
        <v>19</v>
      </c>
      <c r="P21" s="3531" t="s">
        <v>3410</v>
      </c>
      <c r="Q21" s="3532" t="s">
        <v>3654</v>
      </c>
      <c r="R21" s="3532">
        <f t="shared" si="0"/>
        <v>1388.11</v>
      </c>
      <c r="S21" s="3532">
        <v>1488.24</v>
      </c>
    </row>
    <row r="22" spans="1:19" ht="16.5">
      <c r="A22">
        <v>20</v>
      </c>
      <c r="B22">
        <v>1492.19</v>
      </c>
      <c r="D22" s="3457">
        <v>22</v>
      </c>
      <c r="E22" s="3665"/>
      <c r="H22" s="3523" t="s">
        <v>3584</v>
      </c>
      <c r="I22" s="3526">
        <v>1435.93</v>
      </c>
      <c r="K22">
        <v>21</v>
      </c>
      <c r="L22" t="s">
        <v>3411</v>
      </c>
      <c r="M22">
        <v>1348.62</v>
      </c>
      <c r="O22" s="3530">
        <v>20</v>
      </c>
      <c r="P22" s="3531" t="s">
        <v>3411</v>
      </c>
      <c r="Q22" s="3532" t="s">
        <v>3655</v>
      </c>
      <c r="R22" s="3532">
        <f t="shared" si="0"/>
        <v>1348.62</v>
      </c>
      <c r="S22" s="3532">
        <v>1435.93</v>
      </c>
    </row>
    <row r="23" spans="1:19" ht="16.5">
      <c r="A23">
        <v>21</v>
      </c>
      <c r="B23">
        <v>1439.73</v>
      </c>
      <c r="D23" s="3457">
        <v>23</v>
      </c>
      <c r="E23" s="3457">
        <v>1456.04</v>
      </c>
      <c r="H23" s="3523" t="s">
        <v>3585</v>
      </c>
      <c r="I23" s="3526"/>
      <c r="K23">
        <v>22</v>
      </c>
      <c r="L23" t="s">
        <v>3412</v>
      </c>
      <c r="M23">
        <v>1348.62</v>
      </c>
      <c r="O23" s="3530">
        <v>21</v>
      </c>
      <c r="P23" s="3531" t="s">
        <v>3656</v>
      </c>
      <c r="Q23" s="3532" t="s">
        <v>3657</v>
      </c>
      <c r="R23" s="3532">
        <f t="shared" si="0"/>
        <v>1348.62</v>
      </c>
      <c r="S23" s="3532">
        <v>1435.93</v>
      </c>
    </row>
    <row r="24" spans="1:19" ht="16.5">
      <c r="A24">
        <v>22</v>
      </c>
      <c r="B24">
        <v>1439.73</v>
      </c>
      <c r="D24" s="3457">
        <v>25</v>
      </c>
      <c r="E24" s="3457">
        <f>1116.3+339.74</f>
        <v>1456.04</v>
      </c>
      <c r="H24" s="3523" t="s">
        <v>3586</v>
      </c>
      <c r="I24" s="3526">
        <v>1435.93</v>
      </c>
      <c r="K24">
        <v>23</v>
      </c>
      <c r="L24" t="s">
        <v>3413</v>
      </c>
      <c r="M24">
        <v>1388.11</v>
      </c>
      <c r="O24" s="3530">
        <v>22</v>
      </c>
      <c r="P24" s="3531" t="s">
        <v>3658</v>
      </c>
      <c r="Q24" s="3532" t="s">
        <v>3611</v>
      </c>
      <c r="R24" s="3532">
        <f t="shared" si="0"/>
        <v>1388.11</v>
      </c>
      <c r="S24" s="3532">
        <v>1488.24</v>
      </c>
    </row>
    <row r="25" spans="1:19" ht="16.5">
      <c r="A25">
        <v>23</v>
      </c>
      <c r="B25">
        <v>1492.19</v>
      </c>
      <c r="D25" s="3457">
        <v>26</v>
      </c>
      <c r="E25" s="3457">
        <v>1511.24</v>
      </c>
      <c r="H25" s="3523" t="s">
        <v>3587</v>
      </c>
      <c r="I25" s="3526"/>
      <c r="K25">
        <v>24</v>
      </c>
      <c r="L25" t="s">
        <v>3414</v>
      </c>
      <c r="M25">
        <v>1348.62</v>
      </c>
      <c r="O25" s="3530">
        <v>23</v>
      </c>
      <c r="P25" s="3531" t="s">
        <v>3414</v>
      </c>
      <c r="Q25" s="3532" t="s">
        <v>3659</v>
      </c>
      <c r="R25" s="3532">
        <f t="shared" si="0"/>
        <v>1348.62</v>
      </c>
      <c r="S25" s="3532">
        <v>1429.77</v>
      </c>
    </row>
    <row r="26" spans="1:19" ht="17.25" thickBot="1">
      <c r="A26">
        <v>24</v>
      </c>
      <c r="B26">
        <v>1433.56</v>
      </c>
      <c r="D26" s="3457">
        <v>27</v>
      </c>
      <c r="E26" s="3457">
        <v>1444.5</v>
      </c>
      <c r="H26" s="3523" t="s">
        <v>3588</v>
      </c>
      <c r="I26" s="3526">
        <v>1488.24</v>
      </c>
      <c r="K26">
        <v>25</v>
      </c>
      <c r="L26" t="s">
        <v>3415</v>
      </c>
      <c r="M26">
        <v>1348.62</v>
      </c>
      <c r="O26" s="3534"/>
      <c r="P26" s="3535" t="s">
        <v>3660</v>
      </c>
      <c r="Q26" s="3536" t="s">
        <v>3661</v>
      </c>
      <c r="R26" s="3532">
        <f t="shared" si="0"/>
        <v>1348.62</v>
      </c>
      <c r="S26" s="3536">
        <v>1429.77</v>
      </c>
    </row>
    <row r="27" spans="1:19" ht="17.25" thickTop="1">
      <c r="A27">
        <v>25</v>
      </c>
      <c r="B27">
        <v>1433.56</v>
      </c>
      <c r="D27" s="3457">
        <v>28</v>
      </c>
      <c r="E27" s="3457">
        <v>1444.5</v>
      </c>
      <c r="H27" s="3523" t="s">
        <v>3589</v>
      </c>
      <c r="I27" s="3526"/>
      <c r="L27" t="s">
        <v>3416</v>
      </c>
      <c r="M27">
        <v>271.14</v>
      </c>
      <c r="O27" s="3537"/>
      <c r="P27" s="3527" t="s">
        <v>3662</v>
      </c>
      <c r="Q27" s="3538"/>
      <c r="R27" s="3539" t="s">
        <v>3663</v>
      </c>
      <c r="S27" s="3540">
        <f>SUM(S2:S26)</f>
        <v>35429.710000000006</v>
      </c>
    </row>
    <row r="28" spans="1:19" ht="28.5">
      <c r="A28">
        <v>26</v>
      </c>
      <c r="B28">
        <v>42.85</v>
      </c>
      <c r="H28" s="3523" t="s">
        <v>3590</v>
      </c>
      <c r="I28" s="3526">
        <v>1435.93</v>
      </c>
      <c r="L28" t="s">
        <v>3417</v>
      </c>
      <c r="M28">
        <v>271.14</v>
      </c>
      <c r="O28" s="3537"/>
      <c r="P28" s="3541" t="s">
        <v>3664</v>
      </c>
      <c r="Q28" s="3538"/>
      <c r="R28" s="3541" t="s">
        <v>3665</v>
      </c>
      <c r="S28" s="3542">
        <v>51.53</v>
      </c>
    </row>
    <row r="29" spans="1:19" ht="28.5">
      <c r="A29" s="3456" t="s">
        <v>3387</v>
      </c>
      <c r="B29">
        <v>11570.68</v>
      </c>
      <c r="H29" s="3523" t="s">
        <v>3591</v>
      </c>
      <c r="I29" s="3526"/>
      <c r="L29" t="s">
        <v>3418</v>
      </c>
      <c r="M29">
        <v>1057.22</v>
      </c>
      <c r="O29" s="3537"/>
      <c r="P29" s="3541" t="s">
        <v>3666</v>
      </c>
      <c r="Q29" s="3538"/>
      <c r="R29" s="3541" t="s">
        <v>3667</v>
      </c>
      <c r="S29" s="3542">
        <f>S27+S28</f>
        <v>35481.240000000005</v>
      </c>
    </row>
    <row r="30" spans="1:19" ht="28.5">
      <c r="B30">
        <f>SUM(B3:B29)</f>
        <v>45690.529999999992</v>
      </c>
      <c r="H30" s="3523" t="s">
        <v>3592</v>
      </c>
      <c r="I30" s="3526">
        <v>1435.93</v>
      </c>
      <c r="L30" t="s">
        <v>3419</v>
      </c>
      <c r="M30">
        <v>289.42</v>
      </c>
      <c r="O30" s="3537"/>
      <c r="P30" s="3543" t="s">
        <v>3668</v>
      </c>
      <c r="Q30" s="3538"/>
      <c r="R30" s="3541" t="s">
        <v>3669</v>
      </c>
      <c r="S30" s="3542">
        <v>10432.68</v>
      </c>
    </row>
    <row r="31" spans="1:19" ht="29.25" thickBot="1">
      <c r="H31" s="3523" t="s">
        <v>3593</v>
      </c>
      <c r="I31" s="3526"/>
      <c r="M31">
        <f>SUM(M2:M30)</f>
        <v>35614.279999999992</v>
      </c>
      <c r="O31" s="3537"/>
      <c r="P31" s="3543" t="s">
        <v>3670</v>
      </c>
      <c r="Q31" s="3538"/>
      <c r="R31" s="3544" t="s">
        <v>3671</v>
      </c>
      <c r="S31" s="3545">
        <f>S29+S30</f>
        <v>45913.920000000006</v>
      </c>
    </row>
    <row r="32" spans="1:19" ht="29.25" thickTop="1">
      <c r="H32" s="3523" t="s">
        <v>3594</v>
      </c>
      <c r="I32" s="3526">
        <v>1488.24</v>
      </c>
      <c r="O32" s="3537"/>
      <c r="P32" s="3543" t="s">
        <v>3672</v>
      </c>
      <c r="Q32" s="3538"/>
      <c r="R32" s="3538"/>
      <c r="S32" s="3537"/>
    </row>
    <row r="33" spans="8:19" ht="28.5">
      <c r="H33" s="3523" t="s">
        <v>3595</v>
      </c>
      <c r="I33" s="3526"/>
      <c r="O33" s="3537"/>
      <c r="P33" s="3541" t="s">
        <v>3673</v>
      </c>
      <c r="Q33" s="3538"/>
      <c r="R33" s="3538"/>
      <c r="S33" s="3537"/>
    </row>
    <row r="34" spans="8:19" ht="29.25" thickBot="1">
      <c r="H34" s="3523" t="s">
        <v>3596</v>
      </c>
      <c r="I34" s="3526">
        <v>1435.93</v>
      </c>
      <c r="O34" s="3537"/>
      <c r="P34" s="3544" t="s">
        <v>3674</v>
      </c>
      <c r="Q34" s="3538"/>
      <c r="R34" s="3538"/>
      <c r="S34" s="3537"/>
    </row>
    <row r="35" spans="8:19" ht="17.25" thickTop="1">
      <c r="H35" s="3523" t="s">
        <v>3597</v>
      </c>
      <c r="I35" s="3526"/>
    </row>
    <row r="36" spans="8:19" ht="16.5">
      <c r="H36" s="3523" t="s">
        <v>3598</v>
      </c>
      <c r="I36" s="3526">
        <v>1435.93</v>
      </c>
    </row>
    <row r="37" spans="8:19" ht="16.5">
      <c r="H37" s="3523" t="s">
        <v>3599</v>
      </c>
      <c r="I37" s="3526"/>
    </row>
    <row r="38" spans="8:19" ht="16.5">
      <c r="H38" s="3523" t="s">
        <v>3600</v>
      </c>
      <c r="I38" s="3526">
        <v>1488.24</v>
      </c>
    </row>
    <row r="39" spans="8:19" ht="16.5">
      <c r="H39" s="3523" t="s">
        <v>3601</v>
      </c>
      <c r="I39" s="3526"/>
    </row>
    <row r="40" spans="8:19" ht="16.5">
      <c r="H40" s="3523" t="s">
        <v>3602</v>
      </c>
      <c r="I40" s="3526">
        <v>1435.93</v>
      </c>
    </row>
    <row r="41" spans="8:19" ht="16.5">
      <c r="H41" s="3523" t="s">
        <v>3603</v>
      </c>
      <c r="I41" s="3526"/>
    </row>
    <row r="42" spans="8:19" ht="16.5">
      <c r="H42" s="3523" t="s">
        <v>3604</v>
      </c>
      <c r="I42" s="3526">
        <v>1435.93</v>
      </c>
    </row>
    <row r="43" spans="8:19" ht="16.5">
      <c r="H43" s="3523" t="s">
        <v>3605</v>
      </c>
      <c r="I43" s="3526"/>
    </row>
    <row r="44" spans="8:19" ht="16.5">
      <c r="H44" s="3523" t="s">
        <v>3606</v>
      </c>
      <c r="I44" s="3526">
        <v>1488.24</v>
      </c>
    </row>
    <row r="45" spans="8:19" ht="16.5">
      <c r="H45" s="3523" t="s">
        <v>3607</v>
      </c>
      <c r="I45" s="3526"/>
    </row>
    <row r="46" spans="8:19" ht="16.5">
      <c r="H46" s="3523" t="s">
        <v>3608</v>
      </c>
      <c r="I46" s="3526">
        <v>1435.93</v>
      </c>
    </row>
    <row r="47" spans="8:19" ht="16.5">
      <c r="H47" s="3523" t="s">
        <v>3609</v>
      </c>
      <c r="I47" s="3526"/>
    </row>
    <row r="48" spans="8:19" ht="16.5">
      <c r="H48" s="3523" t="s">
        <v>3610</v>
      </c>
      <c r="I48" s="3526">
        <v>1435.93</v>
      </c>
    </row>
    <row r="49" spans="8:9" ht="16.5">
      <c r="H49" s="3523" t="s">
        <v>3611</v>
      </c>
      <c r="I49" s="3526"/>
    </row>
    <row r="50" spans="8:9" ht="16.5">
      <c r="H50" s="3523" t="s">
        <v>3612</v>
      </c>
      <c r="I50" s="3526">
        <v>1488.24</v>
      </c>
    </row>
    <row r="51" spans="8:9" ht="16.5">
      <c r="H51" s="3523" t="s">
        <v>3613</v>
      </c>
      <c r="I51" s="3526"/>
    </row>
    <row r="52" spans="8:9" ht="16.5">
      <c r="H52" s="3523" t="s">
        <v>3614</v>
      </c>
      <c r="I52" s="3526">
        <v>1429.77</v>
      </c>
    </row>
    <row r="53" spans="8:9" ht="16.5">
      <c r="H53" s="3523" t="s">
        <v>3615</v>
      </c>
      <c r="I53" s="3526"/>
    </row>
    <row r="54" spans="8:9" ht="16.5">
      <c r="H54" s="3523" t="s">
        <v>3616</v>
      </c>
      <c r="I54" s="3526">
        <v>1429.77</v>
      </c>
    </row>
    <row r="55" spans="8:9" ht="16.5">
      <c r="H55" s="3523" t="s">
        <v>3617</v>
      </c>
      <c r="I55" s="3524"/>
    </row>
    <row r="56" spans="8:9" ht="16.5">
      <c r="H56" s="3523" t="s">
        <v>3618</v>
      </c>
      <c r="I56" s="3524">
        <v>33.299999999999997</v>
      </c>
    </row>
    <row r="57" spans="8:9" ht="16.5">
      <c r="H57" s="3523" t="s">
        <v>3619</v>
      </c>
      <c r="I57" s="3524"/>
    </row>
    <row r="58" spans="8:9" ht="16.5">
      <c r="H58" s="3523" t="s">
        <v>3620</v>
      </c>
      <c r="I58" s="3524">
        <v>18.23</v>
      </c>
    </row>
  </sheetData>
  <mergeCells count="1">
    <mergeCell ref="E20:E22"/>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13" sqref="J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3679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0.04</v>
      </c>
      <c r="I6" s="732">
        <v>5.5E-2</v>
      </c>
      <c r="J6" s="66">
        <v>0.06</v>
      </c>
      <c r="K6" s="1030">
        <f>SUMIF('数据-汇总表'!C$19:C$33,A6,'数据-汇总表'!E$19:E$33)</f>
        <v>1078.0900000000001</v>
      </c>
      <c r="L6" s="733">
        <v>3500</v>
      </c>
      <c r="M6" s="67">
        <f t="shared" ref="M6:M14" si="0">ROUND(K6*L6/10000,0)</f>
        <v>377</v>
      </c>
      <c r="N6" s="731">
        <v>0.7</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f>'数据-汇总表'!F19</f>
        <v>1078.0900000000001</v>
      </c>
      <c r="AI6" s="76">
        <v>365</v>
      </c>
      <c r="AJ6" s="77"/>
      <c r="AK6" s="78">
        <v>0.02</v>
      </c>
      <c r="AL6" s="79">
        <v>2E-3</v>
      </c>
      <c r="AM6" s="80">
        <v>0.02</v>
      </c>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1">IF(A7=0,"","经营性")</f>
        <v>经营性</v>
      </c>
      <c r="C7" s="1714" t="s">
        <v>21</v>
      </c>
      <c r="D7" s="858">
        <f>SUMIF(项目基本情况!C$12:I$12,C7,项目基本情况!C$14:I$14)</f>
        <v>50</v>
      </c>
      <c r="E7" s="857">
        <f>IF(B7="","",SUMIF(项目基本情况!C$12:I$12,C7,项目基本情况!C$13:I$13))</f>
        <v>56227</v>
      </c>
      <c r="F7" s="64">
        <f>SUMIF(项目基本情况!C$12:I$12,C7,项目基本情况!C$15:I$15)</f>
        <v>29.44</v>
      </c>
      <c r="G7" s="65">
        <f t="shared" ref="G7:G11" si="2">IF(ISERROR(ROUND(POWER(1+H7,D7-F7)*(POWER(1+H7,F7)-1)/(POWER(1+H7,D7)-1),3)),0,ROUND(POWER(1+H7,D7-F7)*(POWER(1+H7,F7)-1)/(POWER(1+H7,D7)-1),3))</f>
        <v>0.79700000000000004</v>
      </c>
      <c r="H7" s="732">
        <v>0.04</v>
      </c>
      <c r="I7" s="732">
        <v>5.5E-2</v>
      </c>
      <c r="J7" s="66">
        <v>0.06</v>
      </c>
      <c r="K7" s="1030">
        <f>SUMIF('数据-汇总表'!C$19:C$33,A7,'数据-汇总表'!E$19:E$33)</f>
        <v>1336.34</v>
      </c>
      <c r="L7" s="733">
        <v>3500</v>
      </c>
      <c r="M7" s="67">
        <f t="shared" si="0"/>
        <v>468</v>
      </c>
      <c r="N7" s="731">
        <v>0.7</v>
      </c>
      <c r="O7" s="67" t="str">
        <f t="shared" ref="O7:O14" si="3">IF($N$5="成新度","——",ROUND(M7*N7,0))</f>
        <v>——</v>
      </c>
      <c r="P7" s="68" t="str">
        <f t="shared" ref="P7:P14" si="4">IF($N$5="成新度","——",M7-O7)</f>
        <v>——</v>
      </c>
      <c r="Q7" s="734">
        <v>0.25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f>'数据-汇总表'!F20</f>
        <v>1336.34</v>
      </c>
      <c r="AI7" s="76">
        <v>365</v>
      </c>
      <c r="AJ7" s="77"/>
      <c r="AK7" s="78">
        <v>0.02</v>
      </c>
      <c r="AL7" s="79">
        <v>2E-3</v>
      </c>
      <c r="AM7" s="80">
        <v>0.02</v>
      </c>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0.79700000000000004</v>
      </c>
      <c r="H16" s="90">
        <f>ROUND(SUMPRODUCT(H6:H13,K6:K13)/SUMPRODUCT((H6:H13&gt;0)*(K6:K13)),3)</f>
        <v>0.04</v>
      </c>
      <c r="I16" s="91"/>
      <c r="J16" s="91"/>
      <c r="K16" s="92">
        <f>SUM(K6:K15)</f>
        <v>2414.4300000000003</v>
      </c>
      <c r="L16" s="93">
        <f>ROUND(M16*10000/SUM(K6:K14),0)</f>
        <v>3500</v>
      </c>
      <c r="M16" s="93">
        <f>SUM(M6:M14)</f>
        <v>845</v>
      </c>
      <c r="N16" s="94">
        <f>ROUND(SUMPRODUCT(M6:M14,N6:N14)/M16,3)</f>
        <v>0.7</v>
      </c>
      <c r="O16" s="93">
        <f>SUM(O6:O14)</f>
        <v>0</v>
      </c>
      <c r="P16" s="93">
        <f>SUM(P6:P14)</f>
        <v>0</v>
      </c>
      <c r="Q16" s="95">
        <f>ROUND(SUMPRODUCT(Q6:Q13,K6:K13)/SUMPRODUCT((Q6:Q13&gt;0)*(K6:K13)),2)</f>
        <v>0.27</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v>2024</v>
      </c>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v>2005</v>
      </c>
      <c r="L20" s="2672">
        <f>K19-K20</f>
        <v>19</v>
      </c>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f>L20/60</f>
        <v>0.31666666666666665</v>
      </c>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200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200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18</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296</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f>C54</f>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 t="shared" ref="B55:B59" si="12">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f t="shared" si="12"/>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f t="shared" si="12"/>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 t="shared" si="12"/>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 t="shared" si="12"/>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9" sqref="H9"/>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66" t="s">
        <v>2286</v>
      </c>
      <c r="B1" s="3667"/>
      <c r="C1" s="3667"/>
      <c r="D1" s="3667"/>
      <c r="E1" s="3667"/>
      <c r="F1" s="3667"/>
      <c r="G1" s="366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78" t="str">
        <f>项目基本情况!B1</f>
        <v>预评估</v>
      </c>
      <c r="C37" s="3578"/>
      <c r="D37" s="3578"/>
      <c r="E37" s="3578"/>
      <c r="F37" s="3578"/>
      <c r="G37" s="3578"/>
      <c r="H37" s="3578"/>
      <c r="I37" s="35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F99" sqref="F9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35" t="str">
        <f>项目基本情况!S2</f>
        <v>房地产</v>
      </c>
      <c r="B2" s="3736"/>
      <c r="C2" s="3736"/>
      <c r="D2" s="3736"/>
      <c r="E2" s="3736"/>
      <c r="F2" s="3736"/>
      <c r="G2" s="3736"/>
      <c r="H2" s="3736"/>
      <c r="I2" s="3737"/>
    </row>
    <row r="3" spans="1:12" ht="12.75">
      <c r="A3" s="3739" t="s">
        <v>1264</v>
      </c>
      <c r="B3" s="3740"/>
      <c r="C3" s="3740"/>
      <c r="D3" s="3740"/>
      <c r="E3" s="3740"/>
      <c r="F3" s="3740"/>
      <c r="G3" s="3740"/>
      <c r="H3" s="3740"/>
      <c r="I3" s="3740"/>
    </row>
    <row r="4" spans="1:12" ht="14.25">
      <c r="A4" s="1754" t="s">
        <v>1265</v>
      </c>
      <c r="B4" s="1755" t="s">
        <v>1266</v>
      </c>
      <c r="C4" s="1756"/>
      <c r="D4" s="1756"/>
      <c r="E4" s="3744" t="s">
        <v>1267</v>
      </c>
      <c r="F4" s="3745"/>
      <c r="G4" s="3745"/>
      <c r="H4" s="3745"/>
      <c r="I4" s="374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83" t="s">
        <v>1268</v>
      </c>
      <c r="B5" s="3738">
        <v>25</v>
      </c>
      <c r="C5" s="3741"/>
      <c r="D5" s="3729"/>
      <c r="E5" s="131" t="s">
        <v>1269</v>
      </c>
      <c r="F5" s="1757"/>
      <c r="G5" s="1757"/>
      <c r="H5" s="1757"/>
      <c r="I5" s="1373"/>
    </row>
    <row r="6" spans="1:12" ht="12.75">
      <c r="A6" s="3683"/>
      <c r="B6" s="3738"/>
      <c r="C6" s="3743"/>
      <c r="D6" s="3729"/>
      <c r="E6" s="131" t="s">
        <v>1270</v>
      </c>
      <c r="F6" s="1757"/>
      <c r="G6" s="1757"/>
      <c r="H6" s="1757"/>
      <c r="I6" s="1373"/>
    </row>
    <row r="7" spans="1:12" ht="12.75">
      <c r="A7" s="3683"/>
      <c r="B7" s="3738"/>
      <c r="C7" s="3742"/>
      <c r="D7" s="3729"/>
      <c r="E7" s="131" t="s">
        <v>1271</v>
      </c>
      <c r="F7" s="1757"/>
      <c r="G7" s="1757"/>
      <c r="H7" s="1757"/>
      <c r="I7" s="1373"/>
    </row>
    <row r="8" spans="1:12" ht="12.75">
      <c r="A8" s="3683" t="s">
        <v>1272</v>
      </c>
      <c r="B8" s="3738">
        <v>15</v>
      </c>
      <c r="C8" s="3741"/>
      <c r="D8" s="3729"/>
      <c r="E8" s="131" t="s">
        <v>1273</v>
      </c>
      <c r="F8" s="1757"/>
      <c r="G8" s="1757"/>
      <c r="H8" s="1757"/>
      <c r="I8" s="1373"/>
    </row>
    <row r="9" spans="1:12" ht="12.75">
      <c r="A9" s="3683"/>
      <c r="B9" s="3738"/>
      <c r="C9" s="3742"/>
      <c r="D9" s="3729"/>
      <c r="E9" s="131" t="s">
        <v>1274</v>
      </c>
      <c r="F9" s="1757"/>
      <c r="G9" s="1757"/>
      <c r="H9" s="1757"/>
      <c r="I9" s="1373"/>
    </row>
    <row r="10" spans="1:12" ht="12.75">
      <c r="A10" s="3683" t="s">
        <v>1275</v>
      </c>
      <c r="B10" s="3738">
        <v>15</v>
      </c>
      <c r="C10" s="3741"/>
      <c r="D10" s="3729"/>
      <c r="E10" s="131" t="s">
        <v>1276</v>
      </c>
      <c r="F10" s="1757"/>
      <c r="G10" s="1757"/>
      <c r="H10" s="1757"/>
      <c r="I10" s="1373"/>
    </row>
    <row r="11" spans="1:12" ht="12.75">
      <c r="A11" s="3683"/>
      <c r="B11" s="3738"/>
      <c r="C11" s="3742"/>
      <c r="D11" s="3729"/>
      <c r="E11" s="131" t="s">
        <v>1277</v>
      </c>
      <c r="F11" s="1757"/>
      <c r="G11" s="1757"/>
      <c r="H11" s="1757"/>
      <c r="I11" s="1373"/>
    </row>
    <row r="12" spans="1:12" ht="12.75">
      <c r="A12" s="3683" t="s">
        <v>1278</v>
      </c>
      <c r="B12" s="3738">
        <v>15</v>
      </c>
      <c r="C12" s="3741"/>
      <c r="D12" s="3729"/>
      <c r="E12" s="131" t="s">
        <v>1279</v>
      </c>
      <c r="F12" s="1757"/>
      <c r="G12" s="1757"/>
      <c r="H12" s="1757"/>
      <c r="I12" s="1373"/>
    </row>
    <row r="13" spans="1:12" ht="12.75">
      <c r="A13" s="3683"/>
      <c r="B13" s="3738"/>
      <c r="C13" s="3742"/>
      <c r="D13" s="3729"/>
      <c r="E13" s="131" t="s">
        <v>1280</v>
      </c>
      <c r="F13" s="1757"/>
      <c r="G13" s="1757"/>
      <c r="H13" s="1757"/>
      <c r="I13" s="1373"/>
    </row>
    <row r="14" spans="1:12" ht="12.75">
      <c r="A14" s="3683" t="s">
        <v>1281</v>
      </c>
      <c r="B14" s="3738">
        <v>30</v>
      </c>
      <c r="C14" s="3741"/>
      <c r="D14" s="3729"/>
      <c r="E14" s="131" t="s">
        <v>1282</v>
      </c>
      <c r="F14" s="1757"/>
      <c r="G14" s="1757"/>
      <c r="H14" s="1757"/>
      <c r="I14" s="1373"/>
    </row>
    <row r="15" spans="1:12" ht="12.75">
      <c r="A15" s="3683"/>
      <c r="B15" s="3738"/>
      <c r="C15" s="3743"/>
      <c r="D15" s="3729"/>
      <c r="E15" s="131" t="s">
        <v>1283</v>
      </c>
      <c r="F15" s="1757"/>
      <c r="G15" s="1757"/>
      <c r="H15" s="1757"/>
      <c r="I15" s="1373"/>
    </row>
    <row r="16" spans="1:12" ht="12.75">
      <c r="A16" s="3683"/>
      <c r="B16" s="3738"/>
      <c r="C16" s="3742"/>
      <c r="D16" s="372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760" t="s">
        <v>2131</v>
      </c>
      <c r="F18" s="3761"/>
      <c r="G18" s="3761"/>
      <c r="H18" s="3761"/>
      <c r="I18" s="3761"/>
      <c r="K18" s="302" t="s">
        <v>1289</v>
      </c>
      <c r="L18" s="302">
        <f>IF(C1="",'数据-汇总表'!E3,SUMIF(项目类型,C1,'数据-汇总表'!E17:E26)+SUMIF(项目类型,C1,'数据-汇总表'!I17:I26))</f>
        <v>2414.4300000000003</v>
      </c>
      <c r="M18" s="302">
        <f>IF(C1="",'数据-汇总表'!E3,SUMIF(项目类型,C1,'数据-汇总表'!E17:E26))</f>
        <v>2414.4300000000003</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753" t="s">
        <v>1299</v>
      </c>
      <c r="B24" s="1762" t="s">
        <v>1291</v>
      </c>
      <c r="C24" s="136">
        <f>IF(B30=0,0,D30)</f>
        <v>0</v>
      </c>
      <c r="D24" s="1769"/>
      <c r="E24" s="129"/>
      <c r="F24" s="129"/>
      <c r="G24" s="129"/>
      <c r="H24" s="129"/>
      <c r="I24" s="129"/>
    </row>
    <row r="25" spans="1:36" ht="14.25">
      <c r="A25" s="37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30" t="s">
        <v>1312</v>
      </c>
      <c r="B36" s="1787" t="s">
        <v>1313</v>
      </c>
      <c r="C36" s="145"/>
      <c r="D36" s="1788"/>
      <c r="E36" s="1789"/>
      <c r="F36" s="1790"/>
      <c r="G36" s="129"/>
      <c r="H36" s="129"/>
      <c r="I36" s="129"/>
    </row>
    <row r="37" spans="1:15" ht="15.75" thickBot="1">
      <c r="A37" s="3731"/>
      <c r="B37" s="1674" t="s">
        <v>1314</v>
      </c>
      <c r="C37" s="147"/>
      <c r="D37" s="1139"/>
      <c r="E37" s="1139"/>
      <c r="F37" s="1790"/>
      <c r="G37" s="129"/>
      <c r="H37" s="129"/>
      <c r="I37" s="129"/>
    </row>
    <row r="38" spans="1:15" ht="15.75" thickBot="1">
      <c r="A38" s="373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50" t="s">
        <v>1326</v>
      </c>
      <c r="B45" s="3751"/>
      <c r="C45" s="3752"/>
      <c r="D45" s="155" t="e">
        <f ca="1">ROUND(H101*F45,0)</f>
        <v>#REF!</v>
      </c>
      <c r="E45" s="156" t="s">
        <v>1327</v>
      </c>
      <c r="F45" s="157">
        <v>1</v>
      </c>
      <c r="G45" s="158" t="s">
        <v>1328</v>
      </c>
      <c r="H45" s="129"/>
      <c r="I45" s="129"/>
      <c r="J45" s="3670" t="s">
        <v>1329</v>
      </c>
      <c r="K45" s="3670"/>
      <c r="L45" s="3670"/>
      <c r="M45" s="3670"/>
      <c r="N45" s="3670"/>
      <c r="O45" s="3670"/>
    </row>
    <row r="46" spans="1:15" ht="14.25" customHeight="1">
      <c r="A46" s="3747" t="s">
        <v>1330</v>
      </c>
      <c r="B46" s="3748"/>
      <c r="C46" s="3748"/>
      <c r="D46" s="3748"/>
      <c r="E46" s="3748"/>
      <c r="F46" s="3748"/>
      <c r="G46" s="3749"/>
      <c r="H46" s="1806"/>
      <c r="I46" s="159"/>
      <c r="J46" s="2523">
        <v>1</v>
      </c>
      <c r="K46" s="3671" t="s">
        <v>1331</v>
      </c>
      <c r="L46" s="3671"/>
      <c r="M46" s="3672"/>
      <c r="N46" s="3672"/>
      <c r="O46" s="3672"/>
    </row>
    <row r="47" spans="1:15" ht="12" customHeight="1">
      <c r="A47" s="160" t="s">
        <v>1332</v>
      </c>
      <c r="B47" s="161"/>
      <c r="C47" s="162"/>
      <c r="D47" s="1087" t="s">
        <v>1333</v>
      </c>
      <c r="E47" s="302" t="s">
        <v>1334</v>
      </c>
      <c r="F47" s="163" t="s">
        <v>1335</v>
      </c>
      <c r="G47" s="2546" t="s">
        <v>1336</v>
      </c>
      <c r="H47" s="2547"/>
      <c r="I47" s="159"/>
      <c r="J47" s="2523">
        <v>2</v>
      </c>
      <c r="K47" s="3671" t="s">
        <v>1337</v>
      </c>
      <c r="L47" s="3671"/>
      <c r="M47" s="3673">
        <f>'数据-取费表'!B2</f>
        <v>45478</v>
      </c>
      <c r="N47" s="3673"/>
      <c r="O47" s="3673"/>
    </row>
    <row r="48" spans="1:15" ht="25.5">
      <c r="A48" s="3733" t="s">
        <v>1338</v>
      </c>
      <c r="B48" s="3734"/>
      <c r="C48" s="373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71" t="s">
        <v>1340</v>
      </c>
      <c r="L48" s="3671"/>
      <c r="M48" s="3674" t="e">
        <f ca="1">H101</f>
        <v>#REF!</v>
      </c>
      <c r="N48" s="3674"/>
      <c r="O48" s="3674"/>
    </row>
    <row r="49" spans="1:35" ht="25.5" customHeight="1">
      <c r="A49" s="2333" t="s">
        <v>1341</v>
      </c>
      <c r="B49" s="3719" t="s">
        <v>1342</v>
      </c>
      <c r="C49" s="3719"/>
      <c r="D49" s="1590">
        <v>0</v>
      </c>
      <c r="E49" s="324" t="s">
        <v>1343</v>
      </c>
      <c r="F49" s="2424" t="s">
        <v>28</v>
      </c>
      <c r="G49" s="3702"/>
      <c r="H49" s="2310" t="s">
        <v>2134</v>
      </c>
      <c r="I49" s="2311"/>
      <c r="J49" s="2523">
        <v>4</v>
      </c>
      <c r="K49" s="3671" t="str">
        <f>IF(项目基本情况!E8="房地产抵押价值","房地产抵押价值","抵押担保权已注销时的房地产抵押价值")</f>
        <v>抵押担保权已注销时的房地产抵押价值</v>
      </c>
      <c r="L49" s="3671"/>
      <c r="M49" s="3674" t="str">
        <f>IF(项目基本情况!E8="房地产抵押价值",H107,H109)</f>
        <v>——</v>
      </c>
      <c r="N49" s="3674"/>
      <c r="O49" s="3674"/>
    </row>
    <row r="50" spans="1:35" ht="25.5" customHeight="1">
      <c r="A50" s="2551"/>
      <c r="B50" s="3719" t="s">
        <v>1344</v>
      </c>
      <c r="C50" s="3719"/>
      <c r="D50" s="2552"/>
      <c r="E50" s="332"/>
      <c r="F50" s="2424"/>
      <c r="G50" s="3703"/>
      <c r="H50" s="2312" t="s">
        <v>2135</v>
      </c>
      <c r="I50" s="2311"/>
      <c r="J50" s="3670" t="s">
        <v>1345</v>
      </c>
      <c r="K50" s="3670"/>
      <c r="L50" s="3670"/>
      <c r="M50" s="3670"/>
      <c r="N50" s="3670"/>
      <c r="O50" s="3670"/>
    </row>
    <row r="51" spans="1:35" ht="20.45" customHeight="1">
      <c r="A51" s="2553"/>
      <c r="B51" s="3719" t="s">
        <v>1346</v>
      </c>
      <c r="C51" s="3719"/>
      <c r="D51" s="1087"/>
      <c r="E51" s="327"/>
      <c r="F51" s="2424"/>
      <c r="G51" s="3704"/>
      <c r="H51" s="2312" t="s">
        <v>2136</v>
      </c>
      <c r="I51" s="2311"/>
      <c r="J51" s="2524" t="s">
        <v>1347</v>
      </c>
      <c r="K51" s="3671" t="s">
        <v>1348</v>
      </c>
      <c r="L51" s="3671"/>
      <c r="M51" s="2524" t="s">
        <v>1349</v>
      </c>
      <c r="N51" s="2524" t="s">
        <v>1350</v>
      </c>
      <c r="O51" s="2524" t="s">
        <v>1351</v>
      </c>
    </row>
    <row r="52" spans="1:35" ht="24" customHeight="1">
      <c r="A52" s="2335" t="s">
        <v>1352</v>
      </c>
      <c r="B52" s="3719" t="s">
        <v>1353</v>
      </c>
      <c r="C52" s="3719"/>
      <c r="D52" s="1087" t="e">
        <f ca="1">ROUND(D45*'数据-取费表'!B41/(1+'数据-取费表'!C42),0)</f>
        <v>#REF!</v>
      </c>
      <c r="E52" s="2334" t="s">
        <v>1354</v>
      </c>
      <c r="F52" s="2554">
        <f>'数据-取费表'!B41</f>
        <v>5.6000000000000001E-2</v>
      </c>
      <c r="G52" s="2555"/>
      <c r="H52" s="2544"/>
      <c r="I52" s="1807"/>
      <c r="J52" s="2523">
        <v>1</v>
      </c>
      <c r="K52" s="3696" t="s">
        <v>1355</v>
      </c>
      <c r="L52" s="3696"/>
      <c r="M52" s="2525" t="b">
        <f>D48</f>
        <v>0</v>
      </c>
      <c r="N52" s="2523" t="str">
        <f>E48</f>
        <v>销售额×税（费）率</v>
      </c>
      <c r="O52" s="2526">
        <f>F48</f>
        <v>5.6000000000000001E-2</v>
      </c>
    </row>
    <row r="53" spans="1:35" ht="12" customHeight="1">
      <c r="A53" s="2335" t="s">
        <v>1356</v>
      </c>
      <c r="B53" s="3720" t="s">
        <v>2291</v>
      </c>
      <c r="C53" s="3721"/>
      <c r="D53" s="1087" t="e">
        <f ca="1">ROUND(D45*'数据-取费表'!B41/(1+'数据-取费表'!C42),0)</f>
        <v>#REF!</v>
      </c>
      <c r="E53" s="2334" t="s">
        <v>1354</v>
      </c>
      <c r="F53" s="2554">
        <f>'数据-取费表'!B41</f>
        <v>5.6000000000000001E-2</v>
      </c>
      <c r="G53" s="2555"/>
      <c r="H53" s="2544"/>
      <c r="I53" s="1807"/>
      <c r="J53" s="2523">
        <v>2</v>
      </c>
      <c r="K53" s="3696" t="s">
        <v>1357</v>
      </c>
      <c r="L53" s="3696"/>
      <c r="M53" s="2525" t="e">
        <f t="shared" ref="M53:O54" ca="1" si="0">D55</f>
        <v>#REF!</v>
      </c>
      <c r="N53" s="2523" t="str">
        <f t="shared" si="0"/>
        <v>销售额×税（费）率</v>
      </c>
      <c r="O53" s="2526" t="str">
        <f t="shared" si="0"/>
        <v>免征</v>
      </c>
    </row>
    <row r="54" spans="1:35" ht="12" customHeight="1">
      <c r="A54" s="2335" t="s">
        <v>1358</v>
      </c>
      <c r="B54" s="3720" t="s">
        <v>2292</v>
      </c>
      <c r="C54" s="3721"/>
      <c r="D54" s="1087" t="e">
        <f ca="1">C68</f>
        <v>#REF!</v>
      </c>
      <c r="E54" s="327" t="s">
        <v>1359</v>
      </c>
      <c r="F54" s="2554">
        <f>'数据-取费表'!B41</f>
        <v>5.6000000000000001E-2</v>
      </c>
      <c r="G54" s="2555"/>
      <c r="H54" s="2556"/>
      <c r="I54" s="1807"/>
      <c r="J54" s="2523">
        <v>3</v>
      </c>
      <c r="K54" s="3696" t="s">
        <v>1360</v>
      </c>
      <c r="L54" s="3696"/>
      <c r="M54" s="2525" t="e">
        <f t="shared" ca="1" si="0"/>
        <v>#REF!</v>
      </c>
      <c r="N54" s="2523" t="str">
        <f t="shared" si="0"/>
        <v>增值额×税（费）率</v>
      </c>
      <c r="O54" s="2527" t="str">
        <f t="shared" si="0"/>
        <v>免征</v>
      </c>
    </row>
    <row r="55" spans="1:35" ht="24" customHeight="1">
      <c r="A55" s="3756" t="s">
        <v>1361</v>
      </c>
      <c r="B55" s="3734"/>
      <c r="C55" s="3734"/>
      <c r="D55" s="2324" t="e">
        <f ca="1">IF(H55="个人住宅",0,ROUND(D45*I55,0))</f>
        <v>#REF!</v>
      </c>
      <c r="E55" s="2334" t="s">
        <v>1362</v>
      </c>
      <c r="F55" s="2554" t="str">
        <f>IF(H55="正常",I55,"免征")</f>
        <v>免征</v>
      </c>
      <c r="G55" s="2555"/>
      <c r="H55" s="2550"/>
      <c r="I55" s="165">
        <f>'数据-取费表'!B49</f>
        <v>5.0000000000000001E-4</v>
      </c>
      <c r="J55" s="2523">
        <f>IF(H59="非个人房产","",4)</f>
        <v>4</v>
      </c>
      <c r="K55" s="3696" t="str">
        <f>IF(H59="非个人房产","——","个人所得税")</f>
        <v>个人所得税</v>
      </c>
      <c r="L55" s="3696"/>
      <c r="M55" s="2528" t="e">
        <f ca="1">D59</f>
        <v>#REF!</v>
      </c>
      <c r="N55" s="2040" t="str">
        <f>E59</f>
        <v>差额计税</v>
      </c>
      <c r="O55" s="2529">
        <f>F59</f>
        <v>0.01</v>
      </c>
    </row>
    <row r="56" spans="1:35" ht="24.75">
      <c r="A56" s="3756" t="s">
        <v>1363</v>
      </c>
      <c r="B56" s="3734"/>
      <c r="C56" s="3734"/>
      <c r="D56" s="2324" t="e">
        <f ca="1">IF(H56="个人住宅",D57,D58)</f>
        <v>#REF!</v>
      </c>
      <c r="E56" s="2334" t="s">
        <v>1364</v>
      </c>
      <c r="F56" s="2554" t="str">
        <f>IF(H56="正常",F58,"免征")</f>
        <v>免征</v>
      </c>
      <c r="G56" s="2557" t="s">
        <v>1365</v>
      </c>
      <c r="H56" s="2558"/>
      <c r="I56" s="1808"/>
      <c r="J56" s="2523" t="str">
        <f>IF(项目基本情况!K6="上海银行",IF(J55="",4,J55+1),"")</f>
        <v/>
      </c>
      <c r="K56" s="3677" t="str">
        <f>IF(项目基本情况!K6="上海银行","其他处置费用","")</f>
        <v/>
      </c>
      <c r="L56" s="3678"/>
      <c r="M56" s="2525" t="str">
        <f>IF(项目基本情况!K6="上海银行",M69,"")</f>
        <v/>
      </c>
      <c r="N56" s="3677" t="str">
        <f>IF(项目基本情况!K6="上海银行","包含处置中涉及的律师、诉讼、拍卖、评估等费用","")</f>
        <v/>
      </c>
      <c r="O56" s="3680"/>
    </row>
    <row r="57" spans="1:35" ht="12.75">
      <c r="A57" s="2335" t="s">
        <v>1341</v>
      </c>
      <c r="B57" s="3720" t="s">
        <v>1366</v>
      </c>
      <c r="C57" s="3721"/>
      <c r="D57" s="1590">
        <v>0</v>
      </c>
      <c r="E57" s="324" t="s">
        <v>1343</v>
      </c>
      <c r="F57" s="302"/>
      <c r="G57" s="2555"/>
      <c r="H57" s="2559"/>
      <c r="I57" s="1808"/>
      <c r="J57" s="3696">
        <f>IF(AND(J55="",J56=""),4,IF(项目基本情况!K6="上海银行",结果表!J56+1,结果表!J55+1))</f>
        <v>5</v>
      </c>
      <c r="K57" s="3696" t="s">
        <v>1367</v>
      </c>
      <c r="L57" s="2530" t="s">
        <v>1368</v>
      </c>
      <c r="M57" s="2531"/>
      <c r="N57" s="2532">
        <f ca="1">SUMIF(M52:M56,"&lt;9e307")</f>
        <v>0</v>
      </c>
      <c r="O57" s="2533"/>
      <c r="P57" s="2690" t="e">
        <f ca="1">N57/M49</f>
        <v>#VALUE!</v>
      </c>
    </row>
    <row r="58" spans="1:35" ht="24.75">
      <c r="A58" s="2335" t="s">
        <v>1352</v>
      </c>
      <c r="B58" s="3720" t="s">
        <v>1369</v>
      </c>
      <c r="C58" s="3719"/>
      <c r="D58" s="2324" t="e">
        <f ca="1">IF(H58="转让取得",C81,C97)</f>
        <v>#REF!</v>
      </c>
      <c r="E58" s="2334" t="s">
        <v>1364</v>
      </c>
      <c r="F58" s="302" t="s">
        <v>28</v>
      </c>
      <c r="G58" s="2555"/>
      <c r="H58" s="2558"/>
      <c r="I58" s="1808"/>
      <c r="J58" s="3696"/>
      <c r="K58" s="3696"/>
      <c r="L58" s="2530" t="s">
        <v>1370</v>
      </c>
      <c r="M58" s="2534"/>
      <c r="N58" s="2535" t="str">
        <f ca="1">NUMBERSTRING(INT(N57*10000),2)&amp;"元整"</f>
        <v>零元整</v>
      </c>
      <c r="O58" s="2536"/>
    </row>
    <row r="59" spans="1:35" ht="24.75" thickBot="1">
      <c r="A59" s="3700" t="s">
        <v>1371</v>
      </c>
      <c r="B59" s="3701"/>
      <c r="C59" s="370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98">
        <f>J57+1</f>
        <v>6</v>
      </c>
      <c r="K59" s="3696" t="s">
        <v>1372</v>
      </c>
      <c r="L59" s="2523" t="s">
        <v>1368</v>
      </c>
      <c r="M59" s="2537"/>
      <c r="N59" s="2538" t="e">
        <f ca="1">M49-N57</f>
        <v>#VALUE!</v>
      </c>
      <c r="O59" s="2539"/>
    </row>
    <row r="60" spans="1:35" ht="12" customHeight="1">
      <c r="A60" s="1809"/>
      <c r="B60" s="1747"/>
      <c r="C60" s="1747"/>
      <c r="D60" s="1747"/>
      <c r="E60" s="1578"/>
      <c r="F60" s="1808"/>
      <c r="G60" s="1808"/>
      <c r="H60" s="1810"/>
      <c r="I60" s="129"/>
      <c r="J60" s="3699"/>
      <c r="K60" s="3696"/>
      <c r="L60" s="2530" t="s">
        <v>1370</v>
      </c>
      <c r="M60" s="2534"/>
      <c r="N60" s="2535" t="e">
        <f ca="1">NUMBERSTRING(INT(N59*10000),2)&amp;"元整"</f>
        <v>#VALUE!</v>
      </c>
      <c r="O60" s="2536"/>
    </row>
    <row r="61" spans="1:35" ht="13.5" thickBot="1">
      <c r="A61" s="3755" t="s">
        <v>1373</v>
      </c>
      <c r="B61" s="3755"/>
      <c r="C61" s="3755"/>
      <c r="D61" s="3755"/>
      <c r="E61" s="3755"/>
      <c r="F61" s="1808"/>
      <c r="G61" s="1808"/>
      <c r="H61" s="1810"/>
      <c r="I61" s="129"/>
      <c r="J61" s="2523">
        <f>J59+1</f>
        <v>7</v>
      </c>
      <c r="K61" s="3696" t="s">
        <v>1374</v>
      </c>
      <c r="L61" s="3696"/>
      <c r="M61" s="2540"/>
      <c r="N61" s="2541" t="e">
        <f ca="1">ROUND(N59*10000/'数据-汇总表'!E3,0)</f>
        <v>#VALUE!</v>
      </c>
      <c r="O61" s="2542"/>
    </row>
    <row r="62" spans="1:35" ht="12.75">
      <c r="A62" s="3715" t="s">
        <v>1375</v>
      </c>
      <c r="B62" s="371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7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7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7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7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7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7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7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23" t="s">
        <v>1394</v>
      </c>
      <c r="B70" s="3724"/>
      <c r="C70" s="3724"/>
      <c r="D70" s="3724"/>
      <c r="E70" s="3724"/>
      <c r="F70" s="3724"/>
      <c r="G70" s="3724"/>
      <c r="H70" s="372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15" t="s">
        <v>1375</v>
      </c>
      <c r="B71" s="371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20" t="s">
        <v>1402</v>
      </c>
      <c r="F76" s="3719"/>
      <c r="G76" s="3719"/>
      <c r="H76" s="37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12" t="s">
        <v>1406</v>
      </c>
      <c r="F78" s="3713"/>
      <c r="G78" s="3713"/>
      <c r="H78" s="371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23" t="s">
        <v>1410</v>
      </c>
      <c r="B83" s="3724"/>
      <c r="C83" s="3724"/>
      <c r="D83" s="3724"/>
      <c r="E83" s="3724"/>
      <c r="F83" s="3724"/>
      <c r="G83" s="3724"/>
      <c r="H83" s="37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15" t="s">
        <v>1375</v>
      </c>
      <c r="B84" s="371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81" t="s">
        <v>2129</v>
      </c>
      <c r="H90" s="368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12" t="s">
        <v>1419</v>
      </c>
      <c r="F91" s="3713"/>
      <c r="G91" s="37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12" t="s">
        <v>1422</v>
      </c>
      <c r="F92" s="3713"/>
      <c r="G92" s="3713"/>
      <c r="H92" s="371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12" t="s">
        <v>1406</v>
      </c>
      <c r="F93" s="3713"/>
      <c r="G93" s="3713"/>
      <c r="H93" s="371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57" t="s">
        <v>1426</v>
      </c>
      <c r="F94" s="3758"/>
      <c r="G94" s="3758"/>
      <c r="H94" s="37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61" t="s">
        <v>1428</v>
      </c>
      <c r="B100" s="3662"/>
      <c r="C100" s="3662"/>
      <c r="D100" s="3697"/>
      <c r="E100" s="3662" t="s">
        <v>1429</v>
      </c>
      <c r="F100" s="3662"/>
      <c r="G100" s="3662"/>
      <c r="H100" s="3697"/>
      <c r="I100" s="129"/>
    </row>
    <row r="101" spans="1:35" ht="18.75" customHeight="1">
      <c r="A101" s="3705" t="s">
        <v>1430</v>
      </c>
      <c r="B101" s="3706"/>
      <c r="C101" s="2585">
        <f>C4</f>
        <v>0</v>
      </c>
      <c r="D101" s="2586">
        <f>D4</f>
        <v>0</v>
      </c>
      <c r="E101" s="3675" t="s">
        <v>1431</v>
      </c>
      <c r="F101" s="3676"/>
      <c r="G101" s="1827" t="s">
        <v>1432</v>
      </c>
      <c r="H101" s="2595" t="e">
        <f ca="1">H118</f>
        <v>#REF!</v>
      </c>
      <c r="I101" s="129"/>
    </row>
    <row r="102" spans="1:35" ht="18.75" customHeight="1">
      <c r="A102" s="3707" t="s">
        <v>1433</v>
      </c>
      <c r="B102" s="2584" t="s">
        <v>1432</v>
      </c>
      <c r="C102" s="2585" t="e">
        <f ca="1">IF(D32="楼面单价",ROUND(C19,0),C19)</f>
        <v>#REF!</v>
      </c>
      <c r="D102" s="2586" t="e">
        <f ca="1">IF(D32="楼面单价",ROUND(D19,0),D19)</f>
        <v>#REF!</v>
      </c>
      <c r="E102" s="3675"/>
      <c r="F102" s="3676"/>
      <c r="G102" s="1827" t="s">
        <v>1434</v>
      </c>
      <c r="H102" s="2555" t="e">
        <f ca="1">I118</f>
        <v>#REF!</v>
      </c>
      <c r="I102" s="129"/>
    </row>
    <row r="103" spans="1:35" ht="42.75" customHeight="1">
      <c r="A103" s="3707"/>
      <c r="B103" s="2584" t="s">
        <v>1434</v>
      </c>
      <c r="C103" s="2587" t="e">
        <f ca="1">C20</f>
        <v>#REF!</v>
      </c>
      <c r="D103" s="2588" t="e">
        <f ca="1">D20</f>
        <v>#REF!</v>
      </c>
      <c r="E103" s="3668" t="s">
        <v>1435</v>
      </c>
      <c r="F103" s="3669"/>
      <c r="G103" s="1828" t="s">
        <v>1436</v>
      </c>
      <c r="H103" s="2595">
        <f>IF(D36="正常操作",H104+H105+H106,H105+H106)</f>
        <v>0</v>
      </c>
      <c r="I103" s="129"/>
    </row>
    <row r="104" spans="1:35" ht="18.75" customHeight="1">
      <c r="A104" s="370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1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08" t="str">
        <f>IF(项目基本情况!E8="已注销","——","3.房地产抵押价值")</f>
        <v>3.房地产抵押价值</v>
      </c>
      <c r="F107" s="3676"/>
      <c r="G107" s="1827" t="s">
        <v>1432</v>
      </c>
      <c r="H107" s="2595" t="e">
        <f ca="1">IF(E107="——","——",H101-H103)</f>
        <v>#REF!</v>
      </c>
      <c r="I107" s="129"/>
    </row>
    <row r="108" spans="1:35" ht="18.75" customHeight="1">
      <c r="A108" s="129"/>
      <c r="B108" s="129"/>
      <c r="C108" s="129"/>
      <c r="D108" s="129"/>
      <c r="E108" s="3708"/>
      <c r="F108" s="3676"/>
      <c r="G108" s="1827" t="s">
        <v>1434</v>
      </c>
      <c r="H108" s="2555">
        <f ca="1">IF(H107=H101,H102,ROUND(H107*10000/'数据-汇总表'!E3,0))</f>
        <v>0</v>
      </c>
      <c r="I108" s="129"/>
    </row>
    <row r="109" spans="1:35" ht="18.75" customHeight="1">
      <c r="A109" s="129"/>
      <c r="B109" s="129"/>
      <c r="C109" s="129"/>
      <c r="D109" s="129"/>
      <c r="E109" s="3708" t="str">
        <f>IF(项目基本情况!E8="已注销及未注销","4.抵押担保权已注销时的房地产抵押价值",IF(项目基本情况!E8="已注销","3.抵押担保权已注销时的房地产抵押价值","——"))</f>
        <v>——</v>
      </c>
      <c r="F109" s="3676"/>
      <c r="G109" s="1827" t="s">
        <v>1432</v>
      </c>
      <c r="H109" s="2598" t="str">
        <f>IF(E109="——","——",H101-H105-H106)</f>
        <v>——</v>
      </c>
      <c r="I109" s="129"/>
    </row>
    <row r="110" spans="1:35" ht="18.75" customHeight="1">
      <c r="A110" s="129"/>
      <c r="B110" s="129"/>
      <c r="C110" s="129"/>
      <c r="D110" s="129"/>
      <c r="E110" s="3708"/>
      <c r="F110" s="3676"/>
      <c r="G110" s="1827" t="s">
        <v>1434</v>
      </c>
      <c r="H110" s="2555" t="str">
        <f>IF(H109="——","——",ROUND(H109*10000/'数据-汇总表'!E3,0))</f>
        <v>——</v>
      </c>
      <c r="I110" s="129"/>
    </row>
    <row r="111" spans="1:35" ht="18.75" customHeight="1">
      <c r="A111" s="129"/>
      <c r="B111" s="129"/>
      <c r="C111" s="129"/>
      <c r="D111" s="129"/>
      <c r="E111" s="3709" t="str">
        <f>IF(项目基本情况!E9="抵押净值",IF(OR(项目基本情况!E8="已注销",项目基本情况!E8="房地产抵押价值"),"4.抵押净值","5.抵押净值"),"——")</f>
        <v>——</v>
      </c>
      <c r="F111" s="3695"/>
      <c r="G111" s="1827" t="s">
        <v>1432</v>
      </c>
      <c r="H111" s="2595" t="str">
        <f>IF(E111="——","——",N59)</f>
        <v>——</v>
      </c>
      <c r="I111" s="129"/>
    </row>
    <row r="112" spans="1:35" ht="18.75" customHeight="1" thickBot="1">
      <c r="A112" s="129"/>
      <c r="B112" s="129"/>
      <c r="C112" s="129"/>
      <c r="D112" s="129"/>
      <c r="E112" s="3710"/>
      <c r="F112" s="3711"/>
      <c r="G112" s="1830" t="s">
        <v>1434</v>
      </c>
      <c r="H112" s="2599" t="str">
        <f>IF(E111="——","——",N61)</f>
        <v>——</v>
      </c>
      <c r="I112" s="129"/>
    </row>
    <row r="113" spans="1:27" ht="18.75" customHeight="1">
      <c r="A113" s="129"/>
      <c r="B113" s="129"/>
      <c r="C113" s="129"/>
      <c r="D113" s="129"/>
      <c r="E113" s="3718" t="s">
        <v>1440</v>
      </c>
      <c r="F113" s="3718"/>
      <c r="G113" s="3718"/>
      <c r="H113" s="3718"/>
      <c r="I113" s="129"/>
    </row>
    <row r="114" spans="1:27" ht="3.75" customHeight="1">
      <c r="A114" s="1747"/>
      <c r="B114" s="1747"/>
      <c r="C114" s="1747"/>
      <c r="D114" s="1747"/>
      <c r="E114" s="1809"/>
      <c r="F114" s="1809"/>
      <c r="G114" s="1809"/>
      <c r="H114" s="1809"/>
      <c r="I114" s="1747"/>
    </row>
    <row r="115" spans="1:27" ht="18.75" customHeight="1">
      <c r="A115" s="3726" t="s">
        <v>1442</v>
      </c>
      <c r="B115" s="3727"/>
      <c r="C115" s="3727"/>
      <c r="D115" s="3727"/>
      <c r="E115" s="3727"/>
      <c r="F115" s="3727"/>
      <c r="G115" s="3727"/>
      <c r="H115" s="3727"/>
      <c r="I115" s="3728"/>
    </row>
    <row r="116" spans="1:27" ht="27" customHeight="1">
      <c r="A116" s="3683" t="s">
        <v>1443</v>
      </c>
      <c r="B116" s="3687" t="s">
        <v>1444</v>
      </c>
      <c r="C116" s="3687" t="s">
        <v>1445</v>
      </c>
      <c r="D116" s="3693" t="s">
        <v>1446</v>
      </c>
      <c r="E116" s="3694"/>
      <c r="F116" s="3725" t="s">
        <v>1447</v>
      </c>
      <c r="G116" s="3725"/>
      <c r="H116" s="3683" t="s">
        <v>1448</v>
      </c>
      <c r="I116" s="3683"/>
    </row>
    <row r="117" spans="1:27" ht="18.75" customHeight="1">
      <c r="A117" s="3683"/>
      <c r="B117" s="3688"/>
      <c r="C117" s="3688"/>
      <c r="D117" s="2329" t="s">
        <v>1449</v>
      </c>
      <c r="E117" s="2329" t="s">
        <v>1450</v>
      </c>
      <c r="F117" s="2329" t="s">
        <v>1449</v>
      </c>
      <c r="G117" s="2329" t="s">
        <v>1451</v>
      </c>
      <c r="H117" s="2329" t="s">
        <v>1449</v>
      </c>
      <c r="I117" s="2329" t="s">
        <v>1451</v>
      </c>
    </row>
    <row r="118" spans="1:27" ht="24.75" customHeight="1">
      <c r="A118" s="2600" t="str">
        <f>项目基本情况!S2</f>
        <v>房地产</v>
      </c>
      <c r="B118" s="2329">
        <f>M18</f>
        <v>2414.4300000000003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83" t="s">
        <v>1452</v>
      </c>
      <c r="B119" s="3683"/>
      <c r="C119" s="3683"/>
      <c r="D119" s="3689" t="e">
        <f ca="1">NUMBERSTRING(INT(D118*10000),2)&amp;"元整"</f>
        <v>#REF!</v>
      </c>
      <c r="E119" s="3690"/>
      <c r="F119" s="3689" t="e">
        <f ca="1">NUMBERSTRING(INT(F118*10000),2)&amp;"元整"</f>
        <v>#REF!</v>
      </c>
      <c r="G119" s="3690"/>
      <c r="H119" s="3689" t="e">
        <f ca="1">NUMBERSTRING(INT(H118*10000),2)&amp;"元整"</f>
        <v>#REF!</v>
      </c>
      <c r="I119" s="3690"/>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89" t="s">
        <v>1452</v>
      </c>
      <c r="B121" s="3691"/>
      <c r="C121" s="3690"/>
      <c r="D121" s="3689" t="str">
        <f>IF(D120=0,"零元整",NUMBERSTRING(INT(D120*10000),2)&amp;"元整")</f>
        <v>零元整</v>
      </c>
      <c r="E121" s="3691"/>
      <c r="F121" s="3691"/>
      <c r="G121" s="3691"/>
      <c r="H121" s="3691"/>
      <c r="I121" s="3690"/>
      <c r="AA121" s="725"/>
    </row>
    <row r="122" spans="1:27" ht="18.75" customHeight="1">
      <c r="A122" s="3695" t="str">
        <f>IF(项目基本情况!B9="房地产市场价值","",MID(E107,3,LEN(E107)-2))</f>
        <v>房地产抵押价值</v>
      </c>
      <c r="B122" s="3695"/>
      <c r="C122" s="3695"/>
      <c r="D122" s="3684" t="e">
        <f ca="1">H107</f>
        <v>#REF!</v>
      </c>
      <c r="E122" s="3685"/>
      <c r="F122" s="3685"/>
      <c r="G122" s="3685"/>
      <c r="H122" s="3685"/>
      <c r="I122" s="3686"/>
      <c r="AA122" s="725"/>
    </row>
    <row r="123" spans="1:27" ht="18.75" customHeight="1">
      <c r="A123" s="3683" t="s">
        <v>1452</v>
      </c>
      <c r="B123" s="3683"/>
      <c r="C123" s="3683"/>
      <c r="D123" s="3689" t="e">
        <f ca="1">NUMBERSTRING(INT(D122*10000),2)&amp;"元整"</f>
        <v>#REF!</v>
      </c>
      <c r="E123" s="3691"/>
      <c r="F123" s="3691"/>
      <c r="G123" s="3691"/>
      <c r="H123" s="3691"/>
      <c r="I123" s="3690"/>
      <c r="AA123" s="725"/>
    </row>
    <row r="124" spans="1:27" ht="18.75" customHeight="1">
      <c r="A124" s="3695" t="str">
        <f>IF(项目基本情况!B9="房地产市场价值","",MID(E109,3,LEN(E109)-2))</f>
        <v/>
      </c>
      <c r="B124" s="3695"/>
      <c r="C124" s="3695"/>
      <c r="D124" s="3684" t="str">
        <f>H109</f>
        <v>——</v>
      </c>
      <c r="E124" s="3685"/>
      <c r="F124" s="3685"/>
      <c r="G124" s="3685"/>
      <c r="H124" s="3685"/>
      <c r="I124" s="3686"/>
      <c r="AA124" s="725"/>
    </row>
    <row r="125" spans="1:27" ht="18.75" customHeight="1">
      <c r="A125" s="3683" t="s">
        <v>1452</v>
      </c>
      <c r="B125" s="3683"/>
      <c r="C125" s="3683"/>
      <c r="D125" s="3689" t="e">
        <f>NUMBERSTRING(INT(D124*10000),2)&amp;"元整"</f>
        <v>#VALUE!</v>
      </c>
      <c r="E125" s="3691"/>
      <c r="F125" s="3691"/>
      <c r="G125" s="3691"/>
      <c r="H125" s="3691"/>
      <c r="I125" s="3690"/>
      <c r="AA125" s="725"/>
    </row>
    <row r="126" spans="1:27" ht="18.75" customHeight="1">
      <c r="A126" s="3695" t="str">
        <f>IF(项目基本情况!B9="房地产市场价值","",MID(E111,3,LEN(E111)-2))</f>
        <v/>
      </c>
      <c r="B126" s="3695"/>
      <c r="C126" s="3695"/>
      <c r="D126" s="3684" t="str">
        <f>H111</f>
        <v>——</v>
      </c>
      <c r="E126" s="3685"/>
      <c r="F126" s="3685"/>
      <c r="G126" s="3685"/>
      <c r="H126" s="3685"/>
      <c r="I126" s="3686"/>
      <c r="AA126" s="725"/>
    </row>
    <row r="127" spans="1:27" ht="18.75" customHeight="1">
      <c r="A127" s="3683" t="s">
        <v>1452</v>
      </c>
      <c r="B127" s="3683"/>
      <c r="C127" s="3683"/>
      <c r="D127" s="3689" t="e">
        <f>NUMBERSTRING(INT(D126*10000),2)&amp;"元整"</f>
        <v>#VALUE!</v>
      </c>
      <c r="E127" s="3691"/>
      <c r="F127" s="3691"/>
      <c r="G127" s="3691"/>
      <c r="H127" s="3691"/>
      <c r="I127" s="3690"/>
      <c r="AA127" s="725"/>
    </row>
    <row r="128" spans="1:27" ht="21.75" customHeight="1">
      <c r="A128" s="3692" t="s">
        <v>1453</v>
      </c>
      <c r="B128" s="3692"/>
      <c r="C128" s="3692"/>
      <c r="D128" s="3692"/>
      <c r="E128" s="3692"/>
      <c r="F128" s="3692"/>
      <c r="G128" s="3692"/>
      <c r="H128" s="3692"/>
      <c r="I128" s="369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P47"/>
  <sheetViews>
    <sheetView view="pageBreakPreview" zoomScaleSheetLayoutView="100" workbookViewId="0">
      <selection activeCell="I6" sqref="I6"/>
    </sheetView>
  </sheetViews>
  <sheetFormatPr defaultColWidth="9" defaultRowHeight="13.5"/>
  <cols>
    <col min="1" max="1" width="6.375" style="3463" customWidth="1"/>
    <col min="2" max="2" width="19.375" style="3507" customWidth="1"/>
    <col min="3" max="3" width="10.375" style="3463" customWidth="1"/>
    <col min="4" max="4" width="9" style="3463" customWidth="1"/>
    <col min="5" max="5" width="8.625" style="3463" customWidth="1"/>
    <col min="6" max="6" width="4.75" style="3463" customWidth="1"/>
    <col min="7" max="7" width="19.375" style="3508" customWidth="1"/>
    <col min="8" max="8" width="18" style="3463" customWidth="1"/>
    <col min="9" max="9" width="6.875" style="3463" customWidth="1"/>
    <col min="10" max="10" width="10.5" style="3459" customWidth="1"/>
    <col min="11" max="11" width="4.875" style="3459" customWidth="1"/>
    <col min="12" max="12" width="16.375" style="3459" customWidth="1"/>
    <col min="13" max="16" width="8.125" style="3463" customWidth="1"/>
    <col min="17" max="16384" width="9" style="3463"/>
  </cols>
  <sheetData>
    <row r="1" spans="1:16">
      <c r="A1" s="3799" t="s">
        <v>3420</v>
      </c>
      <c r="B1" s="3799"/>
      <c r="C1" s="3799"/>
      <c r="D1" s="3799"/>
      <c r="E1" s="3799"/>
      <c r="F1" s="3799"/>
      <c r="G1" s="3799"/>
      <c r="H1" s="3799"/>
      <c r="I1" s="3799"/>
      <c r="K1" s="3800" t="s">
        <v>3421</v>
      </c>
      <c r="L1" s="3460" t="s">
        <v>3422</v>
      </c>
      <c r="M1" s="3461">
        <v>0</v>
      </c>
      <c r="N1" s="3462"/>
      <c r="O1" s="3462"/>
    </row>
    <row r="2" spans="1:16" ht="15.75" customHeight="1">
      <c r="A2" s="3464" t="s">
        <v>3423</v>
      </c>
      <c r="B2" s="3465" t="s">
        <v>3424</v>
      </c>
      <c r="C2" s="3767" t="s">
        <v>3425</v>
      </c>
      <c r="D2" s="3768"/>
      <c r="E2" s="3768"/>
      <c r="F2" s="3769"/>
      <c r="G2" s="3466" t="s">
        <v>3426</v>
      </c>
      <c r="H2" s="3770" t="s">
        <v>3427</v>
      </c>
      <c r="I2" s="3770"/>
      <c r="K2" s="3800"/>
      <c r="L2" s="3460" t="s">
        <v>3428</v>
      </c>
      <c r="M2" s="3467" t="s">
        <v>3429</v>
      </c>
      <c r="N2" s="3468"/>
      <c r="O2" s="3468"/>
    </row>
    <row r="3" spans="1:16" ht="27">
      <c r="A3" s="3466" t="s">
        <v>3430</v>
      </c>
      <c r="B3" s="3469" t="s">
        <v>3431</v>
      </c>
      <c r="C3" s="3801">
        <f>ROUND('售价比较法-商业'!C48*I3,0)</f>
        <v>40585561</v>
      </c>
      <c r="D3" s="3802"/>
      <c r="E3" s="3802"/>
      <c r="F3" s="3803"/>
      <c r="G3" s="3466" t="s">
        <v>3432</v>
      </c>
      <c r="H3" s="3469" t="s">
        <v>3433</v>
      </c>
      <c r="I3" s="3470">
        <f>'数据-汇总表'!E19</f>
        <v>1078.0900000000001</v>
      </c>
      <c r="K3" s="3800"/>
      <c r="L3" s="3460" t="s">
        <v>3434</v>
      </c>
      <c r="M3" s="3467" t="s">
        <v>3435</v>
      </c>
      <c r="N3" s="3468"/>
      <c r="O3" s="3468"/>
    </row>
    <row r="4" spans="1:16">
      <c r="A4" s="3770" t="s">
        <v>3436</v>
      </c>
      <c r="B4" s="3771" t="s">
        <v>3437</v>
      </c>
      <c r="C4" s="3804">
        <f>ROUND(C3*(I4-I6)/(1-((1+I6)/(1+I4))^I5),0)</f>
        <v>2389090</v>
      </c>
      <c r="D4" s="3805"/>
      <c r="E4" s="3805"/>
      <c r="F4" s="3806"/>
      <c r="G4" s="3770" t="s">
        <v>3438</v>
      </c>
      <c r="H4" s="3471" t="s">
        <v>3439</v>
      </c>
      <c r="I4" s="3472">
        <v>5.5E-2</v>
      </c>
      <c r="K4" s="3800"/>
      <c r="L4" s="3460" t="s">
        <v>3440</v>
      </c>
      <c r="M4" s="3473">
        <f>ROUND(1-(1-M1)*M2/M3,2)</f>
        <v>0.55000000000000004</v>
      </c>
      <c r="N4" s="3468"/>
      <c r="O4" s="3468"/>
    </row>
    <row r="5" spans="1:16" s="3477" customFormat="1" ht="18" customHeight="1">
      <c r="A5" s="3770"/>
      <c r="B5" s="3771"/>
      <c r="C5" s="3807"/>
      <c r="D5" s="3808"/>
      <c r="E5" s="3808"/>
      <c r="F5" s="3809"/>
      <c r="G5" s="3770"/>
      <c r="H5" s="3469" t="s">
        <v>3441</v>
      </c>
      <c r="I5" s="3474">
        <f>项目基本情况!E15</f>
        <v>29.44</v>
      </c>
      <c r="J5" s="3475"/>
      <c r="K5" s="3800"/>
      <c r="L5" s="3460" t="s">
        <v>3442</v>
      </c>
      <c r="M5" s="3476">
        <v>0.5</v>
      </c>
      <c r="N5" s="3468"/>
      <c r="O5" s="3468"/>
    </row>
    <row r="6" spans="1:16" s="3477" customFormat="1" ht="18" customHeight="1">
      <c r="A6" s="3770"/>
      <c r="B6" s="3771"/>
      <c r="C6" s="3810"/>
      <c r="D6" s="3811"/>
      <c r="E6" s="3811"/>
      <c r="F6" s="3812"/>
      <c r="G6" s="3770"/>
      <c r="H6" s="3469" t="s">
        <v>3443</v>
      </c>
      <c r="I6" s="3478">
        <v>1.4999999999999999E-2</v>
      </c>
      <c r="J6" s="3479"/>
      <c r="K6" s="3770" t="s">
        <v>3444</v>
      </c>
      <c r="L6" s="3480" t="s">
        <v>3445</v>
      </c>
      <c r="M6" s="3481" t="s">
        <v>3446</v>
      </c>
      <c r="N6" s="3481" t="s">
        <v>3447</v>
      </c>
      <c r="O6" s="3481" t="s">
        <v>3448</v>
      </c>
      <c r="P6" s="3481" t="s">
        <v>3449</v>
      </c>
    </row>
    <row r="7" spans="1:16" s="3477" customFormat="1" ht="17.25" customHeight="1">
      <c r="A7" s="3466" t="s">
        <v>3450</v>
      </c>
      <c r="B7" s="3469" t="s">
        <v>3451</v>
      </c>
      <c r="C7" s="3767">
        <f>ROUND(C23*I7,0)</f>
        <v>4141227</v>
      </c>
      <c r="D7" s="3768"/>
      <c r="E7" s="3768"/>
      <c r="F7" s="3769"/>
      <c r="G7" s="3466" t="s">
        <v>3452</v>
      </c>
      <c r="H7" s="3469" t="s">
        <v>3453</v>
      </c>
      <c r="I7" s="3482">
        <v>0.7</v>
      </c>
      <c r="K7" s="3770"/>
      <c r="L7" s="3480" t="s">
        <v>3454</v>
      </c>
      <c r="M7" s="3481">
        <v>100</v>
      </c>
      <c r="N7" s="3481" t="s">
        <v>3455</v>
      </c>
      <c r="O7" s="3481">
        <v>80</v>
      </c>
      <c r="P7" s="3483">
        <v>0.3</v>
      </c>
    </row>
    <row r="8" spans="1:16" s="3477" customFormat="1" ht="29.25" customHeight="1">
      <c r="A8" s="3464" t="s">
        <v>3456</v>
      </c>
      <c r="B8" s="3469" t="s">
        <v>3457</v>
      </c>
      <c r="C8" s="3767">
        <f>ROUND(I8*I3,0)</f>
        <v>3773315</v>
      </c>
      <c r="D8" s="3768"/>
      <c r="E8" s="3768"/>
      <c r="F8" s="3769"/>
      <c r="G8" s="3466" t="s">
        <v>3458</v>
      </c>
      <c r="H8" s="3469" t="s">
        <v>3561</v>
      </c>
      <c r="I8" s="3466">
        <v>3500</v>
      </c>
      <c r="J8" s="3484">
        <f>D36</f>
        <v>12.5</v>
      </c>
      <c r="K8" s="3770"/>
      <c r="L8" s="3480" t="s">
        <v>3459</v>
      </c>
      <c r="M8" s="3481">
        <v>100</v>
      </c>
      <c r="N8" s="3481" t="s">
        <v>3460</v>
      </c>
      <c r="O8" s="3481">
        <v>80</v>
      </c>
      <c r="P8" s="3483">
        <v>0.5</v>
      </c>
    </row>
    <row r="9" spans="1:16" s="3477" customFormat="1" ht="18" customHeight="1">
      <c r="A9" s="3464" t="s">
        <v>3461</v>
      </c>
      <c r="B9" s="3469" t="s">
        <v>3462</v>
      </c>
      <c r="C9" s="3767">
        <f>ROUND(C8*H9,0)</f>
        <v>113199</v>
      </c>
      <c r="D9" s="3768"/>
      <c r="E9" s="3768"/>
      <c r="F9" s="3769"/>
      <c r="G9" s="3466" t="s">
        <v>3463</v>
      </c>
      <c r="H9" s="3795">
        <f>'[1]数据-取费表'!B33</f>
        <v>0.03</v>
      </c>
      <c r="I9" s="3795"/>
      <c r="J9" s="3484">
        <f>D37</f>
        <v>9.35</v>
      </c>
      <c r="K9" s="3770"/>
      <c r="L9" s="3480" t="s">
        <v>3464</v>
      </c>
      <c r="M9" s="3481">
        <v>100</v>
      </c>
      <c r="N9" s="3481" t="s">
        <v>3460</v>
      </c>
      <c r="O9" s="3481">
        <v>80</v>
      </c>
      <c r="P9" s="3483">
        <f>1-P7-P8</f>
        <v>0.19999999999999996</v>
      </c>
    </row>
    <row r="10" spans="1:16" s="3477" customFormat="1" ht="18" customHeight="1">
      <c r="A10" s="3464" t="s">
        <v>3465</v>
      </c>
      <c r="B10" s="3469" t="s">
        <v>3466</v>
      </c>
      <c r="C10" s="3767">
        <f>ROUND(C8*H10,0)</f>
        <v>0</v>
      </c>
      <c r="D10" s="3768"/>
      <c r="E10" s="3768"/>
      <c r="F10" s="3769"/>
      <c r="G10" s="3466" t="s">
        <v>3463</v>
      </c>
      <c r="H10" s="3795">
        <v>0</v>
      </c>
      <c r="I10" s="3795"/>
      <c r="J10" s="3484">
        <f>D38</f>
        <v>10.9</v>
      </c>
      <c r="K10" s="3770"/>
      <c r="L10" s="3485" t="s">
        <v>3467</v>
      </c>
      <c r="M10" s="3486">
        <f>1-M5</f>
        <v>0.5</v>
      </c>
      <c r="N10" s="3481" t="s">
        <v>3440</v>
      </c>
      <c r="O10" s="3487">
        <f>ROUND((O7*P7+O8*P8+O9*P9)/100,2)</f>
        <v>0.8</v>
      </c>
      <c r="P10" s="3488"/>
    </row>
    <row r="11" spans="1:16" s="3477" customFormat="1" ht="29.25" customHeight="1">
      <c r="A11" s="3464" t="s">
        <v>3468</v>
      </c>
      <c r="B11" s="3469" t="s">
        <v>3469</v>
      </c>
      <c r="C11" s="3767">
        <f>ROUND(I11*I3,0)</f>
        <v>215618</v>
      </c>
      <c r="D11" s="3768"/>
      <c r="E11" s="3768"/>
      <c r="F11" s="3769"/>
      <c r="G11" s="3466" t="s">
        <v>3470</v>
      </c>
      <c r="H11" s="3469" t="s">
        <v>3471</v>
      </c>
      <c r="I11" s="3466">
        <f>'[1]数据-取费表'!B35</f>
        <v>200</v>
      </c>
      <c r="J11" s="3475"/>
      <c r="K11" s="3459"/>
      <c r="L11" s="3459"/>
    </row>
    <row r="12" spans="1:16" s="3477" customFormat="1" ht="18" customHeight="1">
      <c r="A12" s="3464" t="s">
        <v>3472</v>
      </c>
      <c r="B12" s="3469" t="s">
        <v>3473</v>
      </c>
      <c r="C12" s="3767">
        <f>ROUND(C8*H12,0)</f>
        <v>56600</v>
      </c>
      <c r="D12" s="3768"/>
      <c r="E12" s="3768"/>
      <c r="F12" s="3769"/>
      <c r="G12" s="3466" t="s">
        <v>3463</v>
      </c>
      <c r="H12" s="3795">
        <f>'[1]数据-取费表'!B36</f>
        <v>1.4999999999999999E-2</v>
      </c>
      <c r="I12" s="3795"/>
      <c r="J12" s="3489" t="s">
        <v>3474</v>
      </c>
      <c r="L12" s="3490"/>
    </row>
    <row r="13" spans="1:16" s="3477" customFormat="1" ht="18" customHeight="1">
      <c r="A13" s="3464" t="s">
        <v>3475</v>
      </c>
      <c r="B13" s="3469" t="s">
        <v>3476</v>
      </c>
      <c r="C13" s="3767">
        <f>SUM(C8:F12)</f>
        <v>4158732</v>
      </c>
      <c r="D13" s="3768"/>
      <c r="E13" s="3768"/>
      <c r="F13" s="3769"/>
      <c r="G13" s="3770" t="s">
        <v>3477</v>
      </c>
      <c r="H13" s="3770"/>
      <c r="I13" s="3770"/>
      <c r="J13" s="3489" t="s">
        <v>3478</v>
      </c>
      <c r="L13" s="3490"/>
    </row>
    <row r="14" spans="1:16" s="3477" customFormat="1" ht="18" customHeight="1">
      <c r="A14" s="3464" t="s">
        <v>3479</v>
      </c>
      <c r="B14" s="3469" t="s">
        <v>3480</v>
      </c>
      <c r="C14" s="3767">
        <f>ROUND(C13*H14,0)</f>
        <v>83175</v>
      </c>
      <c r="D14" s="3768"/>
      <c r="E14" s="3768"/>
      <c r="F14" s="3769"/>
      <c r="G14" s="3466" t="s">
        <v>3481</v>
      </c>
      <c r="H14" s="3798">
        <v>0.02</v>
      </c>
      <c r="I14" s="3798"/>
      <c r="J14" s="3475"/>
      <c r="L14" s="3490"/>
    </row>
    <row r="15" spans="1:16" s="3477" customFormat="1" ht="18" customHeight="1">
      <c r="A15" s="3464" t="s">
        <v>3482</v>
      </c>
      <c r="B15" s="3469" t="s">
        <v>3483</v>
      </c>
      <c r="C15" s="3780">
        <f>H15</f>
        <v>0.02</v>
      </c>
      <c r="D15" s="3781"/>
      <c r="E15" s="3793" t="str">
        <f>E18</f>
        <v>V</v>
      </c>
      <c r="F15" s="3794"/>
      <c r="G15" s="3466" t="s">
        <v>3484</v>
      </c>
      <c r="H15" s="3798">
        <v>0.02</v>
      </c>
      <c r="I15" s="3798"/>
      <c r="J15" s="3491"/>
      <c r="K15" s="3484"/>
    </row>
    <row r="16" spans="1:16" s="3477" customFormat="1" ht="18" customHeight="1">
      <c r="A16" s="3492" t="s">
        <v>3485</v>
      </c>
      <c r="B16" s="3493" t="s">
        <v>3486</v>
      </c>
      <c r="C16" s="3494">
        <f>C17</f>
        <v>146346</v>
      </c>
      <c r="D16" s="3495" t="s">
        <v>3487</v>
      </c>
      <c r="E16" s="3496">
        <f>C18</f>
        <v>6.9000000000000008E-4</v>
      </c>
      <c r="F16" s="3497" t="str">
        <f>E18</f>
        <v>V</v>
      </c>
      <c r="G16" s="3767" t="s">
        <v>3488</v>
      </c>
      <c r="H16" s="3768"/>
      <c r="I16" s="3769"/>
      <c r="J16" s="3475"/>
      <c r="K16" s="3459"/>
    </row>
    <row r="17" spans="1:12" s="3477" customFormat="1" ht="18" customHeight="1">
      <c r="A17" s="3464" t="s">
        <v>3489</v>
      </c>
      <c r="B17" s="3469" t="s">
        <v>3490</v>
      </c>
      <c r="C17" s="3767">
        <f>ROUND((C13+C14)*I18*(I17/2),0)</f>
        <v>146346</v>
      </c>
      <c r="D17" s="3768"/>
      <c r="E17" s="3768"/>
      <c r="F17" s="3769"/>
      <c r="G17" s="3494" t="s">
        <v>3491</v>
      </c>
      <c r="H17" s="3469" t="s">
        <v>3492</v>
      </c>
      <c r="I17" s="3498">
        <v>2</v>
      </c>
      <c r="J17" s="3489" t="s">
        <v>3493</v>
      </c>
      <c r="K17" s="3459"/>
      <c r="L17" s="3459"/>
    </row>
    <row r="18" spans="1:12" s="3477" customFormat="1" ht="18" customHeight="1">
      <c r="A18" s="3464" t="s">
        <v>3494</v>
      </c>
      <c r="B18" s="3469" t="s">
        <v>3495</v>
      </c>
      <c r="C18" s="3796">
        <f>H15*I18*I17/2</f>
        <v>6.9000000000000008E-4</v>
      </c>
      <c r="D18" s="3797"/>
      <c r="E18" s="3793" t="s">
        <v>3496</v>
      </c>
      <c r="F18" s="3794"/>
      <c r="G18" s="3494" t="s">
        <v>3497</v>
      </c>
      <c r="H18" s="3469" t="s">
        <v>3498</v>
      </c>
      <c r="I18" s="3499">
        <v>3.4500000000000003E-2</v>
      </c>
      <c r="J18" s="3489" t="s">
        <v>3499</v>
      </c>
      <c r="K18" s="3459"/>
      <c r="L18" s="3459"/>
    </row>
    <row r="19" spans="1:12" s="3477" customFormat="1" ht="27" customHeight="1">
      <c r="A19" s="3464" t="s">
        <v>3500</v>
      </c>
      <c r="B19" s="3469" t="s">
        <v>3501</v>
      </c>
      <c r="C19" s="3494">
        <f>C20</f>
        <v>1060477</v>
      </c>
      <c r="D19" s="3495" t="s">
        <v>3487</v>
      </c>
      <c r="E19" s="3495">
        <f>C21</f>
        <v>5.0000000000000001E-3</v>
      </c>
      <c r="F19" s="3497" t="str">
        <f>E21</f>
        <v>V</v>
      </c>
      <c r="G19" s="3767" t="s">
        <v>3502</v>
      </c>
      <c r="H19" s="3768"/>
      <c r="I19" s="3769"/>
      <c r="J19" s="3475"/>
      <c r="K19" s="3459"/>
      <c r="L19" s="3459"/>
    </row>
    <row r="20" spans="1:12" s="3477" customFormat="1" ht="26.25" customHeight="1">
      <c r="A20" s="3464" t="s">
        <v>3503</v>
      </c>
      <c r="B20" s="3469" t="s">
        <v>3504</v>
      </c>
      <c r="C20" s="3767">
        <f>ROUND((C13+C14)*I20,0)</f>
        <v>1060477</v>
      </c>
      <c r="D20" s="3768"/>
      <c r="E20" s="3768"/>
      <c r="F20" s="3769"/>
      <c r="G20" s="3466" t="s">
        <v>3505</v>
      </c>
      <c r="H20" s="3790" t="s">
        <v>3506</v>
      </c>
      <c r="I20" s="3792">
        <v>0.25</v>
      </c>
      <c r="J20" s="3489" t="s">
        <v>3507</v>
      </c>
      <c r="K20" s="3459"/>
      <c r="L20" s="3459"/>
    </row>
    <row r="21" spans="1:12" s="3477" customFormat="1" ht="27" customHeight="1">
      <c r="A21" s="3464" t="s">
        <v>3503</v>
      </c>
      <c r="B21" s="3469" t="s">
        <v>3508</v>
      </c>
      <c r="C21" s="3780">
        <f>H15*I20</f>
        <v>5.0000000000000001E-3</v>
      </c>
      <c r="D21" s="3781"/>
      <c r="E21" s="3793" t="s">
        <v>3496</v>
      </c>
      <c r="F21" s="3794"/>
      <c r="G21" s="3466" t="s">
        <v>3509</v>
      </c>
      <c r="H21" s="3791"/>
      <c r="I21" s="3792"/>
      <c r="J21" s="3475"/>
      <c r="K21" s="3459"/>
      <c r="L21" s="3459"/>
    </row>
    <row r="22" spans="1:12" s="3477" customFormat="1" ht="18" customHeight="1">
      <c r="A22" s="3464" t="s">
        <v>3510</v>
      </c>
      <c r="B22" s="3469" t="s">
        <v>3511</v>
      </c>
      <c r="C22" s="3780">
        <f>ROUND(H22/1.05,4)</f>
        <v>5.33E-2</v>
      </c>
      <c r="D22" s="3781"/>
      <c r="E22" s="3793" t="s">
        <v>3496</v>
      </c>
      <c r="F22" s="3794"/>
      <c r="G22" s="3466" t="s">
        <v>3512</v>
      </c>
      <c r="H22" s="3795">
        <v>5.6000000000000001E-2</v>
      </c>
      <c r="I22" s="3795"/>
      <c r="J22" s="3500"/>
      <c r="K22" s="3459"/>
      <c r="L22" s="3459"/>
    </row>
    <row r="23" spans="1:12" s="3477" customFormat="1" ht="18" customHeight="1">
      <c r="A23" s="3464" t="s">
        <v>3513</v>
      </c>
      <c r="B23" s="3469" t="s">
        <v>3514</v>
      </c>
      <c r="C23" s="3767">
        <f>ROUND((C13+C14+C17+C20)/(1-H15-C18-C21-C22),0)</f>
        <v>5916038</v>
      </c>
      <c r="D23" s="3768"/>
      <c r="E23" s="3768"/>
      <c r="F23" s="3769"/>
      <c r="G23" s="3767" t="s">
        <v>3515</v>
      </c>
      <c r="H23" s="3768"/>
      <c r="I23" s="3769"/>
      <c r="J23" s="3500"/>
      <c r="K23" s="3459"/>
      <c r="L23" s="3459"/>
    </row>
    <row r="24" spans="1:12" s="3477" customFormat="1" ht="18" customHeight="1">
      <c r="A24" s="3464" t="s">
        <v>3516</v>
      </c>
      <c r="B24" s="3469" t="s">
        <v>3517</v>
      </c>
      <c r="C24" s="3501">
        <f>C27+C28</f>
        <v>126603</v>
      </c>
      <c r="D24" s="3502" t="s">
        <v>3518</v>
      </c>
      <c r="E24" s="3789">
        <f>H29+E26+H25</f>
        <v>0.19599999999999998</v>
      </c>
      <c r="F24" s="3783"/>
      <c r="G24" s="3770" t="s">
        <v>3519</v>
      </c>
      <c r="H24" s="3770"/>
      <c r="I24" s="3770"/>
      <c r="J24" s="3500"/>
      <c r="K24" s="3459"/>
      <c r="L24" s="3459"/>
    </row>
    <row r="25" spans="1:12" s="3477" customFormat="1" ht="18" customHeight="1">
      <c r="A25" s="3464" t="s">
        <v>3475</v>
      </c>
      <c r="B25" s="3469" t="s">
        <v>3520</v>
      </c>
      <c r="C25" s="3780" t="s">
        <v>3521</v>
      </c>
      <c r="D25" s="3781"/>
      <c r="E25" s="3784">
        <f>ROUND(H25/1.05,4)</f>
        <v>5.33E-2</v>
      </c>
      <c r="F25" s="3785"/>
      <c r="G25" s="3466" t="s">
        <v>3522</v>
      </c>
      <c r="H25" s="3786">
        <f>H22</f>
        <v>5.6000000000000001E-2</v>
      </c>
      <c r="I25" s="3786"/>
      <c r="J25" s="3491"/>
      <c r="K25" s="3459"/>
      <c r="L25" s="3459"/>
    </row>
    <row r="26" spans="1:12" s="3477" customFormat="1" ht="18" customHeight="1">
      <c r="A26" s="3464" t="s">
        <v>3479</v>
      </c>
      <c r="B26" s="3469" t="s">
        <v>3523</v>
      </c>
      <c r="C26" s="3780" t="s">
        <v>3521</v>
      </c>
      <c r="D26" s="3781"/>
      <c r="E26" s="3782">
        <v>0.12</v>
      </c>
      <c r="F26" s="3783"/>
      <c r="G26" s="3466"/>
      <c r="H26" s="3787">
        <f>'[1]数据-取费表'!B51</f>
        <v>0.12</v>
      </c>
      <c r="I26" s="3788"/>
      <c r="J26" s="3503"/>
      <c r="K26" s="3459"/>
      <c r="L26" s="3459"/>
    </row>
    <row r="27" spans="1:12" s="3477" customFormat="1" ht="18" customHeight="1">
      <c r="A27" s="3464" t="s">
        <v>3482</v>
      </c>
      <c r="B27" s="3469" t="s">
        <v>3524</v>
      </c>
      <c r="C27" s="3767">
        <f>ROUND(C23*H27,0)</f>
        <v>118321</v>
      </c>
      <c r="D27" s="3768"/>
      <c r="E27" s="3768"/>
      <c r="F27" s="3769"/>
      <c r="G27" s="3466" t="s">
        <v>3525</v>
      </c>
      <c r="H27" s="3778">
        <v>0.02</v>
      </c>
      <c r="I27" s="3778"/>
      <c r="J27" s="3459" t="s">
        <v>3526</v>
      </c>
      <c r="K27" s="3459"/>
      <c r="L27" s="3459"/>
    </row>
    <row r="28" spans="1:12" s="3477" customFormat="1" ht="18" customHeight="1">
      <c r="A28" s="3464" t="s">
        <v>3485</v>
      </c>
      <c r="B28" s="3469" t="s">
        <v>3527</v>
      </c>
      <c r="C28" s="3767">
        <f>ROUND(C7*H28,0)</f>
        <v>8282</v>
      </c>
      <c r="D28" s="3768"/>
      <c r="E28" s="3768"/>
      <c r="F28" s="3769"/>
      <c r="G28" s="3466" t="s">
        <v>3528</v>
      </c>
      <c r="H28" s="3779">
        <v>2E-3</v>
      </c>
      <c r="I28" s="3779"/>
      <c r="J28" s="3504"/>
      <c r="K28" s="3459"/>
      <c r="L28" s="3459"/>
    </row>
    <row r="29" spans="1:12" s="3477" customFormat="1" ht="18" customHeight="1">
      <c r="A29" s="3464" t="s">
        <v>3500</v>
      </c>
      <c r="B29" s="3469" t="s">
        <v>3529</v>
      </c>
      <c r="C29" s="3780" t="s">
        <v>3521</v>
      </c>
      <c r="D29" s="3781"/>
      <c r="E29" s="3782">
        <f>H29</f>
        <v>0.02</v>
      </c>
      <c r="F29" s="3783"/>
      <c r="G29" s="3466" t="s">
        <v>3530</v>
      </c>
      <c r="H29" s="3778">
        <v>0.02</v>
      </c>
      <c r="I29" s="3778"/>
      <c r="J29" s="3505"/>
      <c r="K29" s="3459"/>
      <c r="L29" s="3459"/>
    </row>
    <row r="30" spans="1:12" s="3477" customFormat="1" ht="18" customHeight="1">
      <c r="A30" s="3466" t="s">
        <v>3531</v>
      </c>
      <c r="B30" s="3469" t="s">
        <v>3532</v>
      </c>
      <c r="C30" s="3767">
        <f>ROUND((C4+C24)/(1-E24),0)</f>
        <v>3128971</v>
      </c>
      <c r="D30" s="3768"/>
      <c r="E30" s="3768"/>
      <c r="F30" s="3769"/>
      <c r="G30" s="3770" t="s">
        <v>3533</v>
      </c>
      <c r="H30" s="3770"/>
      <c r="I30" s="3770"/>
      <c r="J30" s="3475"/>
      <c r="K30" s="3459"/>
      <c r="L30" s="3459"/>
    </row>
    <row r="31" spans="1:12" s="3477" customFormat="1" ht="18" customHeight="1">
      <c r="A31" s="3770" t="s">
        <v>3534</v>
      </c>
      <c r="B31" s="3771" t="s">
        <v>3535</v>
      </c>
      <c r="C31" s="3772">
        <f>ROUND(C30/I31/I32/I3,2)</f>
        <v>9.35</v>
      </c>
      <c r="D31" s="3773"/>
      <c r="E31" s="3773"/>
      <c r="F31" s="3774"/>
      <c r="G31" s="3770" t="s">
        <v>3536</v>
      </c>
      <c r="H31" s="3469" t="s">
        <v>3537</v>
      </c>
      <c r="I31" s="3466">
        <v>365</v>
      </c>
      <c r="J31" s="3475"/>
      <c r="K31" s="3459"/>
      <c r="L31" s="3459"/>
    </row>
    <row r="32" spans="1:12" s="3477" customFormat="1" ht="18" customHeight="1">
      <c r="A32" s="3770"/>
      <c r="B32" s="3771"/>
      <c r="C32" s="3775"/>
      <c r="D32" s="3776"/>
      <c r="E32" s="3776"/>
      <c r="F32" s="3777"/>
      <c r="G32" s="3770"/>
      <c r="H32" s="3469" t="s">
        <v>3538</v>
      </c>
      <c r="I32" s="3506">
        <v>0.85</v>
      </c>
      <c r="J32" s="3500"/>
      <c r="K32" s="3463"/>
      <c r="L32" s="3463"/>
    </row>
    <row r="33" spans="1:13" s="3477" customFormat="1" ht="18" customHeight="1">
      <c r="A33" s="3463"/>
      <c r="B33" s="3507"/>
      <c r="C33" s="3463"/>
      <c r="D33" s="3463"/>
      <c r="E33" s="3463"/>
      <c r="F33" s="3463"/>
      <c r="G33" s="3508"/>
      <c r="H33" s="3463"/>
      <c r="I33" s="3463"/>
      <c r="J33" s="3459"/>
      <c r="K33" s="3463"/>
      <c r="L33" s="3463"/>
    </row>
    <row r="34" spans="1:13" s="3477" customFormat="1" ht="18" customHeight="1">
      <c r="A34" s="3463"/>
      <c r="B34" s="3764" t="s">
        <v>3539</v>
      </c>
      <c r="C34" s="3764"/>
      <c r="D34" s="3764"/>
      <c r="E34" s="3764"/>
      <c r="F34" s="3764"/>
      <c r="G34" s="3508"/>
      <c r="H34" s="3463"/>
      <c r="I34" s="3463"/>
      <c r="J34" s="3509">
        <f>C31*0.5</f>
        <v>4.6749999999999998</v>
      </c>
      <c r="K34" s="3463"/>
      <c r="L34" s="3463"/>
      <c r="M34" s="3463"/>
    </row>
    <row r="35" spans="1:13" s="3477" customFormat="1" ht="18" customHeight="1">
      <c r="A35" s="3463"/>
      <c r="B35" s="3510" t="s">
        <v>3540</v>
      </c>
      <c r="C35" s="3510" t="s">
        <v>3449</v>
      </c>
      <c r="D35" s="3765" t="s">
        <v>3541</v>
      </c>
      <c r="E35" s="3765"/>
      <c r="F35" s="3765"/>
      <c r="G35" s="3508"/>
      <c r="H35" s="3511" t="s">
        <v>3542</v>
      </c>
      <c r="I35" s="3512"/>
      <c r="J35" s="3509">
        <f>C31*0.4</f>
        <v>3.74</v>
      </c>
      <c r="K35" s="3463"/>
      <c r="L35" s="3463"/>
      <c r="M35" s="3463"/>
    </row>
    <row r="36" spans="1:13">
      <c r="B36" s="3510" t="s">
        <v>3543</v>
      </c>
      <c r="C36" s="3513">
        <v>0.5</v>
      </c>
      <c r="D36" s="3766">
        <f>'租金比较法-商业'!C48</f>
        <v>12.5</v>
      </c>
      <c r="E36" s="3766"/>
      <c r="F36" s="3766"/>
      <c r="G36" s="3508">
        <f>(D36-D37)/D37</f>
        <v>0.3368983957219252</v>
      </c>
      <c r="H36" s="3511"/>
      <c r="I36" s="3511"/>
      <c r="J36" s="3463"/>
      <c r="K36" s="3463"/>
      <c r="L36" s="3463"/>
    </row>
    <row r="37" spans="1:13" ht="20.100000000000001" customHeight="1">
      <c r="B37" s="3510" t="s">
        <v>3544</v>
      </c>
      <c r="C37" s="3513">
        <f>1-C36</f>
        <v>0.5</v>
      </c>
      <c r="D37" s="3766">
        <f>C31</f>
        <v>9.35</v>
      </c>
      <c r="E37" s="3766"/>
      <c r="F37" s="3766"/>
      <c r="J37" s="3463"/>
      <c r="K37" s="3463"/>
      <c r="L37" s="3463"/>
    </row>
    <row r="38" spans="1:13" ht="22.5" customHeight="1">
      <c r="B38" s="3765" t="s">
        <v>3545</v>
      </c>
      <c r="C38" s="3765"/>
      <c r="D38" s="3762">
        <f>ROUND(C36*D36+C37*D37,1)</f>
        <v>10.9</v>
      </c>
      <c r="E38" s="3762"/>
      <c r="F38" s="3762"/>
      <c r="J38" s="3463"/>
    </row>
    <row r="39" spans="1:13" ht="22.5" customHeight="1">
      <c r="B39" s="3510" t="s">
        <v>3546</v>
      </c>
      <c r="C39" s="3510">
        <f>ROUND(D38*0.9,1)</f>
        <v>9.8000000000000007</v>
      </c>
      <c r="D39" s="3514" t="s">
        <v>3547</v>
      </c>
      <c r="E39" s="3762">
        <f>ROUND(D38*1.1,1)</f>
        <v>12</v>
      </c>
      <c r="F39" s="3762"/>
      <c r="G39" s="3508" t="s">
        <v>3548</v>
      </c>
      <c r="H39" s="3515">
        <v>11.48</v>
      </c>
      <c r="J39" s="3463"/>
    </row>
    <row r="40" spans="1:13" ht="18" customHeight="1">
      <c r="B40" s="3510" t="s">
        <v>3549</v>
      </c>
      <c r="C40" s="3510">
        <f>ROUND(C39+H40,1)</f>
        <v>9.8000000000000007</v>
      </c>
      <c r="D40" s="3514" t="s">
        <v>3547</v>
      </c>
      <c r="E40" s="3762">
        <f>ROUND(E39+H40,1)</f>
        <v>12</v>
      </c>
      <c r="F40" s="3762"/>
      <c r="G40" s="3481" t="s">
        <v>3550</v>
      </c>
      <c r="H40" s="3481"/>
    </row>
    <row r="41" spans="1:13" ht="18" customHeight="1">
      <c r="C41" s="3516"/>
    </row>
    <row r="42" spans="1:13" ht="18" customHeight="1">
      <c r="B42" s="3508" t="s">
        <v>3551</v>
      </c>
      <c r="E42" s="3508" t="s">
        <v>3552</v>
      </c>
      <c r="H42" s="3508" t="s">
        <v>3553</v>
      </c>
    </row>
    <row r="43" spans="1:13" ht="29.25" customHeight="1"/>
    <row r="44" spans="1:13">
      <c r="B44" s="3763" t="s">
        <v>3554</v>
      </c>
      <c r="C44" s="3763"/>
      <c r="D44" s="3763"/>
      <c r="E44" s="3517"/>
      <c r="F44" s="3518" t="s">
        <v>3555</v>
      </c>
      <c r="G44" s="3475"/>
    </row>
    <row r="45" spans="1:13">
      <c r="B45" s="3519" t="s">
        <v>3556</v>
      </c>
      <c r="C45" s="3520" t="s">
        <v>3557</v>
      </c>
      <c r="D45" s="3520" t="s">
        <v>3558</v>
      </c>
      <c r="E45" s="3517" t="s">
        <v>3559</v>
      </c>
      <c r="F45" s="3518"/>
      <c r="G45" s="3475"/>
    </row>
    <row r="46" spans="1:13">
      <c r="B46" s="3520">
        <v>0.5</v>
      </c>
      <c r="C46" s="3520">
        <v>0.8</v>
      </c>
      <c r="D46" s="3520">
        <v>0.8</v>
      </c>
      <c r="E46" s="3517">
        <v>0.25</v>
      </c>
      <c r="F46" s="3520">
        <f>[2]结果表!G20*'收益法倒推租金-商业'!C46*'收益法倒推租金-商业'!B46*'收益法倒推租金-商业'!D46-[2]结果表!G20*'收益法倒推租金-商业'!E46</f>
        <v>1577.5200000000004</v>
      </c>
      <c r="G46" s="3475" t="s">
        <v>3560</v>
      </c>
    </row>
    <row r="47" spans="1:13">
      <c r="B47" s="3475"/>
      <c r="C47" s="3475"/>
      <c r="D47" s="3475"/>
      <c r="E47" s="3521"/>
      <c r="F47" s="3520"/>
      <c r="G47" s="3522"/>
    </row>
  </sheetData>
  <mergeCells count="71">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44:D44"/>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90" zoomScaleNormal="70" zoomScaleSheetLayoutView="90" workbookViewId="0">
      <selection activeCell="I48" sqref="I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2414.4300000000003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841" t="s">
        <v>1770</v>
      </c>
      <c r="D4" s="3842"/>
      <c r="E4" s="3843" t="s">
        <v>1771</v>
      </c>
      <c r="F4" s="3844"/>
      <c r="G4" s="3841" t="s">
        <v>1772</v>
      </c>
      <c r="H4" s="3842"/>
      <c r="I4" s="3841" t="s">
        <v>1773</v>
      </c>
      <c r="J4" s="3842"/>
      <c r="K4" s="559" t="s">
        <v>1774</v>
      </c>
      <c r="L4" s="2715"/>
      <c r="M4" s="2716"/>
      <c r="N4" s="2716"/>
      <c r="O4" s="2716"/>
      <c r="P4" s="3845" t="s">
        <v>1775</v>
      </c>
      <c r="Q4" s="3846"/>
      <c r="R4" s="3831" t="s">
        <v>1771</v>
      </c>
      <c r="S4" s="3832"/>
      <c r="T4" s="3831" t="s">
        <v>1772</v>
      </c>
      <c r="U4" s="3832"/>
      <c r="V4" s="3827" t="s">
        <v>1773</v>
      </c>
      <c r="W4" s="3827"/>
      <c r="X4" s="3451"/>
      <c r="Y4" s="3831" t="s">
        <v>1775</v>
      </c>
      <c r="Z4" s="3832"/>
      <c r="AA4" s="3837" t="s">
        <v>1771</v>
      </c>
      <c r="AB4" s="3827" t="s">
        <v>1772</v>
      </c>
      <c r="AC4" s="3837" t="s">
        <v>1773</v>
      </c>
    </row>
    <row r="5" spans="1:29" ht="15">
      <c r="A5" s="358"/>
      <c r="B5" s="359"/>
      <c r="C5" s="3851" t="s">
        <v>3680</v>
      </c>
      <c r="D5" s="3852"/>
      <c r="E5" s="3853" t="s">
        <v>3767</v>
      </c>
      <c r="F5" s="3854"/>
      <c r="G5" s="3851" t="s">
        <v>3765</v>
      </c>
      <c r="H5" s="3852"/>
      <c r="I5" s="3851" t="s">
        <v>3766</v>
      </c>
      <c r="J5" s="3852"/>
      <c r="K5" s="559"/>
      <c r="L5" s="2715"/>
      <c r="M5" s="2716"/>
      <c r="N5" s="2716"/>
      <c r="O5" s="2716"/>
      <c r="P5" s="3847"/>
      <c r="Q5" s="3848"/>
      <c r="R5" s="3833"/>
      <c r="S5" s="3834"/>
      <c r="T5" s="3833"/>
      <c r="U5" s="3834"/>
      <c r="V5" s="3827"/>
      <c r="W5" s="3827"/>
      <c r="X5" s="3451"/>
      <c r="Y5" s="3833"/>
      <c r="Z5" s="3834"/>
      <c r="AA5" s="3838"/>
      <c r="AB5" s="3827"/>
      <c r="AC5" s="3838"/>
    </row>
    <row r="6" spans="1:29" ht="15.75" thickBot="1">
      <c r="A6" s="360"/>
      <c r="B6" s="361"/>
      <c r="C6" s="3855" t="s">
        <v>1677</v>
      </c>
      <c r="D6" s="3856"/>
      <c r="E6" s="3857" t="s">
        <v>1677</v>
      </c>
      <c r="F6" s="3858"/>
      <c r="G6" s="3855" t="s">
        <v>1677</v>
      </c>
      <c r="H6" s="3856"/>
      <c r="I6" s="3855" t="s">
        <v>1677</v>
      </c>
      <c r="J6" s="3856"/>
      <c r="K6" s="559" t="s">
        <v>1678</v>
      </c>
      <c r="L6" s="2715"/>
      <c r="M6" s="2716"/>
      <c r="N6" s="2716"/>
      <c r="O6" s="2716"/>
      <c r="P6" s="3849"/>
      <c r="Q6" s="3850"/>
      <c r="R6" s="3833"/>
      <c r="S6" s="3834"/>
      <c r="T6" s="3835"/>
      <c r="U6" s="3836"/>
      <c r="V6" s="3827"/>
      <c r="W6" s="3827"/>
      <c r="X6" s="3451"/>
      <c r="Y6" s="3835"/>
      <c r="Z6" s="3836"/>
      <c r="AA6" s="3839"/>
      <c r="AB6" s="3827"/>
      <c r="AC6" s="3839"/>
    </row>
    <row r="7" spans="1:29" s="108" customFormat="1" ht="15.75" thickBot="1">
      <c r="A7" s="362" t="s">
        <v>1679</v>
      </c>
      <c r="B7" s="363"/>
      <c r="C7" s="364">
        <f>'数据-取费表'!B2</f>
        <v>45478</v>
      </c>
      <c r="D7" s="365">
        <v>100</v>
      </c>
      <c r="E7" s="366">
        <f>C7</f>
        <v>45478</v>
      </c>
      <c r="F7" s="367">
        <f>SUMIF(58:58,YEAR(E7)&amp;"-"&amp;MONTH(E7),59:59)</f>
        <v>100</v>
      </c>
      <c r="G7" s="366">
        <f>C7</f>
        <v>45478</v>
      </c>
      <c r="H7" s="365">
        <f>SUMIF(58:58,YEAR(G7)&amp;"-"&amp;MONTH(G7),59:59)</f>
        <v>100</v>
      </c>
      <c r="I7" s="366">
        <f>C7</f>
        <v>45478</v>
      </c>
      <c r="J7" s="365">
        <f>SUMIF(58:58,YEAR(I7)&amp;"-"&amp;MONTH(I7),59:59)</f>
        <v>100</v>
      </c>
      <c r="K7" s="560"/>
      <c r="L7" s="2717"/>
      <c r="M7" s="2718"/>
      <c r="N7" s="2718"/>
      <c r="O7" s="2718"/>
      <c r="P7" s="3828" t="s">
        <v>1680</v>
      </c>
      <c r="Q7" s="3840"/>
      <c r="R7" s="701" t="s">
        <v>14</v>
      </c>
      <c r="S7" s="702">
        <f t="shared" ref="S7:S15" si="0">F7</f>
        <v>100</v>
      </c>
      <c r="T7" s="701" t="s">
        <v>14</v>
      </c>
      <c r="U7" s="702">
        <f t="shared" ref="U7:U15" si="1">H7</f>
        <v>100</v>
      </c>
      <c r="V7" s="701" t="s">
        <v>14</v>
      </c>
      <c r="W7" s="702">
        <f t="shared" ref="W7:W15" si="2">J7</f>
        <v>100</v>
      </c>
      <c r="X7" s="703"/>
      <c r="Y7" s="3828" t="s">
        <v>1680</v>
      </c>
      <c r="Z7" s="3829"/>
      <c r="AA7" s="704">
        <f>D7/F7</f>
        <v>1</v>
      </c>
      <c r="AB7" s="704">
        <f>D7/H7</f>
        <v>1</v>
      </c>
      <c r="AC7" s="704">
        <f>D7/J7</f>
        <v>1</v>
      </c>
    </row>
    <row r="8" spans="1:29" s="108" customFormat="1" ht="15.75" thickBot="1">
      <c r="A8" s="362" t="s">
        <v>1681</v>
      </c>
      <c r="B8" s="363"/>
      <c r="C8" s="368" t="s">
        <v>3681</v>
      </c>
      <c r="D8" s="365">
        <v>100</v>
      </c>
      <c r="E8" s="368" t="s">
        <v>3681</v>
      </c>
      <c r="F8" s="367">
        <f>SUMIF(61:61,E8,62:62)-SUMIF(61:61,C8,62:62)+100</f>
        <v>100</v>
      </c>
      <c r="G8" s="368" t="s">
        <v>3681</v>
      </c>
      <c r="H8" s="365">
        <f>SUMIF(61:61,G8,62:62)-SUMIF(61:61,C8,62:62)+100</f>
        <v>100</v>
      </c>
      <c r="I8" s="368" t="s">
        <v>3681</v>
      </c>
      <c r="J8" s="365">
        <f>SUMIF(61:61,I8,62:62)-SUMIF(61:61,C8,62:62)+100</f>
        <v>100</v>
      </c>
      <c r="K8" s="560"/>
      <c r="L8" s="2717"/>
      <c r="M8" s="2718"/>
      <c r="N8" s="2718"/>
      <c r="O8" s="2718"/>
      <c r="P8" s="3828" t="s">
        <v>1683</v>
      </c>
      <c r="Q8" s="3829"/>
      <c r="R8" s="701" t="s">
        <v>14</v>
      </c>
      <c r="S8" s="702">
        <f t="shared" si="0"/>
        <v>100</v>
      </c>
      <c r="T8" s="701" t="s">
        <v>14</v>
      </c>
      <c r="U8" s="702">
        <f t="shared" si="1"/>
        <v>100</v>
      </c>
      <c r="V8" s="701" t="s">
        <v>14</v>
      </c>
      <c r="W8" s="702">
        <f t="shared" si="2"/>
        <v>100</v>
      </c>
      <c r="X8" s="703"/>
      <c r="Y8" s="3828" t="s">
        <v>1683</v>
      </c>
      <c r="Z8" s="3829"/>
      <c r="AA8" s="704">
        <f t="shared" ref="AA8:AA46" si="3">D8/F8</f>
        <v>1</v>
      </c>
      <c r="AB8" s="704">
        <f t="shared" ref="AB8:AB46" si="4">D8/H8</f>
        <v>1</v>
      </c>
      <c r="AC8" s="704">
        <f t="shared" ref="AC8:AC46" si="5">D8/J8</f>
        <v>1</v>
      </c>
    </row>
    <row r="9" spans="1:29" s="108" customFormat="1" ht="15" thickBot="1">
      <c r="A9" s="369" t="s">
        <v>1684</v>
      </c>
      <c r="B9" s="63" t="s">
        <v>1685</v>
      </c>
      <c r="C9" s="3549" t="s">
        <v>3682</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830" t="s">
        <v>1686</v>
      </c>
      <c r="Q9" s="3450" t="str">
        <f t="shared" ref="Q9:Q15" si="6">B9</f>
        <v>用途</v>
      </c>
      <c r="R9" s="701" t="s">
        <v>14</v>
      </c>
      <c r="S9" s="702">
        <f t="shared" si="0"/>
        <v>100</v>
      </c>
      <c r="T9" s="701" t="s">
        <v>14</v>
      </c>
      <c r="U9" s="702">
        <f t="shared" si="1"/>
        <v>100</v>
      </c>
      <c r="V9" s="701" t="s">
        <v>14</v>
      </c>
      <c r="W9" s="702">
        <f t="shared" si="2"/>
        <v>100</v>
      </c>
      <c r="X9" s="703"/>
      <c r="Y9" s="3738" t="s">
        <v>1687</v>
      </c>
      <c r="Z9" s="3449" t="str">
        <f t="shared" ref="Z9:Z15" si="7">Q9</f>
        <v>用途</v>
      </c>
      <c r="AA9" s="704">
        <f t="shared" si="3"/>
        <v>1</v>
      </c>
      <c r="AB9" s="704">
        <f t="shared" si="4"/>
        <v>1</v>
      </c>
      <c r="AC9" s="704">
        <f t="shared" si="5"/>
        <v>1</v>
      </c>
    </row>
    <row r="10" spans="1:29" s="378" customFormat="1" ht="27" hidden="1">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30"/>
      <c r="Q10" s="3450" t="str">
        <f t="shared" si="6"/>
        <v>土地使用年限（年）</v>
      </c>
      <c r="R10" s="701" t="s">
        <v>14</v>
      </c>
      <c r="S10" s="702">
        <f t="shared" si="0"/>
        <v>100</v>
      </c>
      <c r="T10" s="701" t="s">
        <v>14</v>
      </c>
      <c r="U10" s="702">
        <f t="shared" si="1"/>
        <v>100</v>
      </c>
      <c r="V10" s="701" t="s">
        <v>14</v>
      </c>
      <c r="W10" s="702">
        <f t="shared" si="2"/>
        <v>100</v>
      </c>
      <c r="X10" s="703"/>
      <c r="Y10" s="3738"/>
      <c r="Z10" s="3449"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v>2</v>
      </c>
      <c r="L11" s="2721"/>
      <c r="M11" s="2716"/>
      <c r="N11" s="2716"/>
      <c r="O11" s="2716"/>
      <c r="P11" s="3830"/>
      <c r="Q11" s="3450" t="str">
        <f t="shared" si="6"/>
        <v>容积率</v>
      </c>
      <c r="R11" s="701" t="s">
        <v>14</v>
      </c>
      <c r="S11" s="702">
        <f t="shared" si="0"/>
        <v>100</v>
      </c>
      <c r="T11" s="701" t="s">
        <v>14</v>
      </c>
      <c r="U11" s="702">
        <f t="shared" si="1"/>
        <v>100</v>
      </c>
      <c r="V11" s="701" t="s">
        <v>14</v>
      </c>
      <c r="W11" s="702">
        <f t="shared" si="2"/>
        <v>100</v>
      </c>
      <c r="X11" s="703"/>
      <c r="Y11" s="3738"/>
      <c r="Z11" s="3449"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30"/>
      <c r="Q12" s="3450">
        <f t="shared" si="6"/>
        <v>111</v>
      </c>
      <c r="R12" s="701" t="s">
        <v>14</v>
      </c>
      <c r="S12" s="702">
        <f t="shared" si="0"/>
        <v>100</v>
      </c>
      <c r="T12" s="701" t="s">
        <v>14</v>
      </c>
      <c r="U12" s="702">
        <f t="shared" si="1"/>
        <v>100</v>
      </c>
      <c r="V12" s="701" t="s">
        <v>14</v>
      </c>
      <c r="W12" s="702">
        <f t="shared" si="2"/>
        <v>100</v>
      </c>
      <c r="X12" s="703"/>
      <c r="Y12" s="3738"/>
      <c r="Z12" s="3449">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30"/>
      <c r="Q13" s="3450">
        <f t="shared" si="6"/>
        <v>111</v>
      </c>
      <c r="R13" s="701" t="s">
        <v>14</v>
      </c>
      <c r="S13" s="702">
        <f t="shared" si="0"/>
        <v>100</v>
      </c>
      <c r="T13" s="701" t="s">
        <v>14</v>
      </c>
      <c r="U13" s="702">
        <f t="shared" si="1"/>
        <v>100</v>
      </c>
      <c r="V13" s="701" t="s">
        <v>14</v>
      </c>
      <c r="W13" s="702">
        <f t="shared" si="2"/>
        <v>100</v>
      </c>
      <c r="X13" s="703"/>
      <c r="Y13" s="3738"/>
      <c r="Z13" s="3449">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30"/>
      <c r="Q14" s="3450">
        <f t="shared" si="6"/>
        <v>111</v>
      </c>
      <c r="R14" s="701" t="s">
        <v>14</v>
      </c>
      <c r="S14" s="702">
        <f t="shared" si="0"/>
        <v>100</v>
      </c>
      <c r="T14" s="701" t="s">
        <v>14</v>
      </c>
      <c r="U14" s="702">
        <f t="shared" si="1"/>
        <v>100</v>
      </c>
      <c r="V14" s="701" t="s">
        <v>14</v>
      </c>
      <c r="W14" s="702">
        <f t="shared" si="2"/>
        <v>100</v>
      </c>
      <c r="X14" s="703"/>
      <c r="Y14" s="3738"/>
      <c r="Z14" s="3449">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2"/>
      <c r="M15" s="2716"/>
      <c r="N15" s="2716"/>
      <c r="O15" s="2716"/>
      <c r="P15" s="3818" t="s">
        <v>1691</v>
      </c>
      <c r="Q15" s="3454" t="str">
        <f t="shared" si="6"/>
        <v>商业繁华度</v>
      </c>
      <c r="R15" s="705" t="s">
        <v>14</v>
      </c>
      <c r="S15" s="706">
        <f t="shared" si="0"/>
        <v>100</v>
      </c>
      <c r="T15" s="705" t="s">
        <v>14</v>
      </c>
      <c r="U15" s="706">
        <f t="shared" si="1"/>
        <v>100</v>
      </c>
      <c r="V15" s="705" t="s">
        <v>14</v>
      </c>
      <c r="W15" s="706">
        <f t="shared" si="2"/>
        <v>100</v>
      </c>
      <c r="X15" s="3451"/>
      <c r="Y15" s="3820" t="s">
        <v>1691</v>
      </c>
      <c r="Z15" s="3452" t="str">
        <f t="shared" si="7"/>
        <v>商业繁华度</v>
      </c>
      <c r="AA15" s="3455">
        <f t="shared" si="3"/>
        <v>1</v>
      </c>
      <c r="AB15" s="3455">
        <f t="shared" si="4"/>
        <v>1</v>
      </c>
      <c r="AC15" s="3455">
        <f t="shared" si="5"/>
        <v>1</v>
      </c>
    </row>
    <row r="16" spans="1:29" ht="15">
      <c r="A16" s="379"/>
      <c r="B16" s="397"/>
      <c r="C16" s="398" t="s">
        <v>3683</v>
      </c>
      <c r="D16" s="399"/>
      <c r="E16" s="398" t="s">
        <v>3683</v>
      </c>
      <c r="F16" s="400"/>
      <c r="G16" s="398" t="s">
        <v>3683</v>
      </c>
      <c r="H16" s="401"/>
      <c r="I16" s="398" t="s">
        <v>3683</v>
      </c>
      <c r="J16" s="399"/>
      <c r="K16" s="564"/>
      <c r="L16" s="2722"/>
      <c r="M16" s="2716"/>
      <c r="N16" s="2716"/>
      <c r="O16" s="2716"/>
      <c r="P16" s="3819"/>
      <c r="Q16" s="3454"/>
      <c r="R16" s="705"/>
      <c r="S16" s="706"/>
      <c r="T16" s="705"/>
      <c r="U16" s="706"/>
      <c r="V16" s="705"/>
      <c r="W16" s="706"/>
      <c r="X16" s="3451"/>
      <c r="Y16" s="3821"/>
      <c r="Z16" s="3452"/>
      <c r="AA16" s="3455">
        <v>1</v>
      </c>
      <c r="AB16" s="3455">
        <v>1</v>
      </c>
      <c r="AC16" s="3455">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819"/>
      <c r="Q17" s="3454" t="str">
        <f>B17</f>
        <v>交通便捷度</v>
      </c>
      <c r="R17" s="705" t="s">
        <v>14</v>
      </c>
      <c r="S17" s="706">
        <f>F17</f>
        <v>100</v>
      </c>
      <c r="T17" s="705" t="s">
        <v>14</v>
      </c>
      <c r="U17" s="706">
        <f>H17</f>
        <v>100</v>
      </c>
      <c r="V17" s="705" t="s">
        <v>14</v>
      </c>
      <c r="W17" s="706">
        <f>J17</f>
        <v>100</v>
      </c>
      <c r="X17" s="3451"/>
      <c r="Y17" s="3821"/>
      <c r="Z17" s="3452" t="str">
        <f>Q17</f>
        <v>交通便捷度</v>
      </c>
      <c r="AA17" s="3455">
        <f t="shared" si="3"/>
        <v>1</v>
      </c>
      <c r="AB17" s="3455">
        <f t="shared" si="4"/>
        <v>1</v>
      </c>
      <c r="AC17" s="3455">
        <f t="shared" si="5"/>
        <v>1</v>
      </c>
    </row>
    <row r="18" spans="1:29" ht="15">
      <c r="A18" s="379"/>
      <c r="B18" s="407"/>
      <c r="C18" s="398" t="s">
        <v>3683</v>
      </c>
      <c r="D18" s="401"/>
      <c r="E18" s="398" t="s">
        <v>3683</v>
      </c>
      <c r="F18" s="404"/>
      <c r="G18" s="398" t="s">
        <v>3683</v>
      </c>
      <c r="H18" s="399"/>
      <c r="I18" s="398" t="s">
        <v>3683</v>
      </c>
      <c r="J18" s="399"/>
      <c r="K18" s="564"/>
      <c r="L18" s="2722"/>
      <c r="M18" s="2716"/>
      <c r="N18" s="2716"/>
      <c r="O18" s="2716"/>
      <c r="P18" s="3819"/>
      <c r="Q18" s="3454"/>
      <c r="R18" s="705"/>
      <c r="S18" s="706"/>
      <c r="T18" s="705"/>
      <c r="U18" s="706"/>
      <c r="V18" s="705"/>
      <c r="W18" s="706"/>
      <c r="X18" s="3451"/>
      <c r="Y18" s="3821"/>
      <c r="Z18" s="3452"/>
      <c r="AA18" s="3455">
        <v>1</v>
      </c>
      <c r="AB18" s="3455">
        <v>1</v>
      </c>
      <c r="AC18" s="3455">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819"/>
      <c r="Q19" s="3454" t="str">
        <f>B19</f>
        <v>公共配套设施</v>
      </c>
      <c r="R19" s="705" t="s">
        <v>14</v>
      </c>
      <c r="S19" s="706">
        <f>F19</f>
        <v>100</v>
      </c>
      <c r="T19" s="705" t="s">
        <v>14</v>
      </c>
      <c r="U19" s="706">
        <f>H19</f>
        <v>100</v>
      </c>
      <c r="V19" s="705" t="s">
        <v>14</v>
      </c>
      <c r="W19" s="706">
        <f>J19</f>
        <v>100</v>
      </c>
      <c r="X19" s="3451"/>
      <c r="Y19" s="3821"/>
      <c r="Z19" s="3452" t="str">
        <f>Q19</f>
        <v>公共配套设施</v>
      </c>
      <c r="AA19" s="3455">
        <f t="shared" si="3"/>
        <v>1</v>
      </c>
      <c r="AB19" s="3455">
        <f t="shared" si="4"/>
        <v>1</v>
      </c>
      <c r="AC19" s="3455">
        <f t="shared" si="5"/>
        <v>1</v>
      </c>
    </row>
    <row r="20" spans="1:29" ht="15">
      <c r="A20" s="379"/>
      <c r="B20" s="407"/>
      <c r="C20" s="398" t="s">
        <v>3683</v>
      </c>
      <c r="D20" s="399"/>
      <c r="E20" s="398" t="s">
        <v>3683</v>
      </c>
      <c r="F20" s="400"/>
      <c r="G20" s="398" t="s">
        <v>3683</v>
      </c>
      <c r="H20" s="399"/>
      <c r="I20" s="398" t="s">
        <v>3683</v>
      </c>
      <c r="J20" s="399"/>
      <c r="K20" s="564"/>
      <c r="L20" s="2722"/>
      <c r="M20" s="2716"/>
      <c r="N20" s="2716"/>
      <c r="O20" s="2716"/>
      <c r="P20" s="3819"/>
      <c r="Q20" s="3454"/>
      <c r="R20" s="705"/>
      <c r="S20" s="706"/>
      <c r="T20" s="705"/>
      <c r="U20" s="706"/>
      <c r="V20" s="705"/>
      <c r="W20" s="706"/>
      <c r="X20" s="3451"/>
      <c r="Y20" s="3821"/>
      <c r="Z20" s="3452"/>
      <c r="AA20" s="3455">
        <v>1</v>
      </c>
      <c r="AB20" s="3455">
        <v>1</v>
      </c>
      <c r="AC20" s="3455">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819"/>
      <c r="Q21" s="3454" t="str">
        <f>B21</f>
        <v>基础设施水平</v>
      </c>
      <c r="R21" s="705" t="s">
        <v>14</v>
      </c>
      <c r="S21" s="706">
        <f>F21</f>
        <v>100</v>
      </c>
      <c r="T21" s="705" t="s">
        <v>14</v>
      </c>
      <c r="U21" s="706">
        <f>H21</f>
        <v>100</v>
      </c>
      <c r="V21" s="705" t="s">
        <v>14</v>
      </c>
      <c r="W21" s="706">
        <f>J21</f>
        <v>100</v>
      </c>
      <c r="X21" s="3451"/>
      <c r="Y21" s="3821"/>
      <c r="Z21" s="3452" t="str">
        <f>Q21</f>
        <v>基础设施水平</v>
      </c>
      <c r="AA21" s="3455">
        <f t="shared" ref="AA21" si="8">D21/F21</f>
        <v>1</v>
      </c>
      <c r="AB21" s="3455">
        <f t="shared" ref="AB21" si="9">D21/H21</f>
        <v>1</v>
      </c>
      <c r="AC21" s="3455">
        <f t="shared" ref="AC21" si="10">D21/J21</f>
        <v>1</v>
      </c>
    </row>
    <row r="22" spans="1:29" ht="15">
      <c r="A22" s="379"/>
      <c r="B22" s="1131"/>
      <c r="C22" s="1901" t="s">
        <v>3684</v>
      </c>
      <c r="D22" s="399"/>
      <c r="E22" s="1901" t="s">
        <v>3684</v>
      </c>
      <c r="F22" s="400"/>
      <c r="G22" s="1901" t="s">
        <v>3684</v>
      </c>
      <c r="H22" s="399"/>
      <c r="I22" s="1901" t="s">
        <v>3684</v>
      </c>
      <c r="J22" s="399"/>
      <c r="K22" s="1130"/>
      <c r="L22" s="2722"/>
      <c r="M22" s="2716"/>
      <c r="N22" s="2716"/>
      <c r="O22" s="2716"/>
      <c r="P22" s="3819"/>
      <c r="Q22" s="3454"/>
      <c r="R22" s="705"/>
      <c r="S22" s="706"/>
      <c r="T22" s="705"/>
      <c r="U22" s="706"/>
      <c r="V22" s="705"/>
      <c r="W22" s="706"/>
      <c r="X22" s="3451"/>
      <c r="Y22" s="3821"/>
      <c r="Z22" s="3452"/>
      <c r="AA22" s="3455">
        <v>1</v>
      </c>
      <c r="AB22" s="3455">
        <v>1</v>
      </c>
      <c r="AC22" s="3455">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819"/>
      <c r="Q23" s="3454" t="str">
        <f>B23</f>
        <v>自然及人文环境</v>
      </c>
      <c r="R23" s="705" t="s">
        <v>14</v>
      </c>
      <c r="S23" s="706">
        <f>F23</f>
        <v>100</v>
      </c>
      <c r="T23" s="705" t="s">
        <v>14</v>
      </c>
      <c r="U23" s="706">
        <f>H23</f>
        <v>100</v>
      </c>
      <c r="V23" s="705" t="s">
        <v>14</v>
      </c>
      <c r="W23" s="706">
        <f>J23</f>
        <v>100</v>
      </c>
      <c r="X23" s="3451"/>
      <c r="Y23" s="3821"/>
      <c r="Z23" s="3452" t="str">
        <f>Q23</f>
        <v>自然及人文环境</v>
      </c>
      <c r="AA23" s="3455">
        <f t="shared" si="3"/>
        <v>1</v>
      </c>
      <c r="AB23" s="3455">
        <f t="shared" si="4"/>
        <v>1</v>
      </c>
      <c r="AC23" s="3455">
        <f t="shared" si="5"/>
        <v>1</v>
      </c>
    </row>
    <row r="24" spans="1:29" ht="15">
      <c r="A24" s="379"/>
      <c r="B24" s="407"/>
      <c r="C24" s="398" t="s">
        <v>3683</v>
      </c>
      <c r="D24" s="399"/>
      <c r="E24" s="398" t="s">
        <v>3683</v>
      </c>
      <c r="F24" s="400"/>
      <c r="G24" s="398" t="s">
        <v>3683</v>
      </c>
      <c r="H24" s="399"/>
      <c r="I24" s="398" t="s">
        <v>3683</v>
      </c>
      <c r="J24" s="399"/>
      <c r="K24" s="564"/>
      <c r="L24" s="2722"/>
      <c r="M24" s="2716"/>
      <c r="N24" s="2716"/>
      <c r="O24" s="2716"/>
      <c r="P24" s="3819"/>
      <c r="Q24" s="3454"/>
      <c r="R24" s="705"/>
      <c r="S24" s="706"/>
      <c r="T24" s="705"/>
      <c r="U24" s="706"/>
      <c r="V24" s="705"/>
      <c r="W24" s="706"/>
      <c r="X24" s="3451"/>
      <c r="Y24" s="3821"/>
      <c r="Z24" s="3452"/>
      <c r="AA24" s="3455">
        <v>1</v>
      </c>
      <c r="AB24" s="3455">
        <v>1</v>
      </c>
      <c r="AC24" s="3455">
        <v>1</v>
      </c>
    </row>
    <row r="25" spans="1:29" ht="15">
      <c r="A25" s="379"/>
      <c r="B25" s="375" t="s">
        <v>1780</v>
      </c>
      <c r="C25" s="565" t="s">
        <v>3752</v>
      </c>
      <c r="D25" s="386">
        <v>100</v>
      </c>
      <c r="E25" s="565" t="s">
        <v>3738</v>
      </c>
      <c r="F25" s="412">
        <f>SUMIF(86:86,E25,87:87)-SUMIF(86:86,C25,87:87)+100</f>
        <v>103</v>
      </c>
      <c r="G25" s="565" t="s">
        <v>3738</v>
      </c>
      <c r="H25" s="386">
        <f>SUMIF(86:86,G25,87:87)-SUMIF(86:86,C25,87:87)+100</f>
        <v>103</v>
      </c>
      <c r="I25" s="565" t="s">
        <v>3738</v>
      </c>
      <c r="J25" s="386">
        <f>SUMIF(86:86,I25,87:87)-SUMIF(86:86,C25,87:87)+100</f>
        <v>103</v>
      </c>
      <c r="K25" s="3972">
        <v>3</v>
      </c>
      <c r="L25" s="2722"/>
      <c r="M25" s="2716"/>
      <c r="N25" s="2716"/>
      <c r="O25" s="2716"/>
      <c r="P25" s="3819"/>
      <c r="Q25" s="3454" t="str">
        <f t="shared" ref="Q25:Q46" si="11">B25</f>
        <v>临街状况</v>
      </c>
      <c r="R25" s="705" t="s">
        <v>14</v>
      </c>
      <c r="S25" s="706">
        <f>F25</f>
        <v>103</v>
      </c>
      <c r="T25" s="705" t="s">
        <v>14</v>
      </c>
      <c r="U25" s="706">
        <f>H25</f>
        <v>103</v>
      </c>
      <c r="V25" s="705" t="s">
        <v>14</v>
      </c>
      <c r="W25" s="706">
        <f>J25</f>
        <v>103</v>
      </c>
      <c r="X25" s="3451"/>
      <c r="Y25" s="3821"/>
      <c r="Z25" s="3452" t="str">
        <f>Q25</f>
        <v>临街状况</v>
      </c>
      <c r="AA25" s="3455">
        <f t="shared" si="3"/>
        <v>0.970873786407767</v>
      </c>
      <c r="AB25" s="3455">
        <f t="shared" si="4"/>
        <v>0.970873786407767</v>
      </c>
      <c r="AC25" s="3455">
        <f t="shared" si="5"/>
        <v>0.970873786407767</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19"/>
      <c r="Q26" s="3454" t="str">
        <f t="shared" si="11"/>
        <v>平面位置/可视性</v>
      </c>
      <c r="R26" s="705" t="s">
        <v>14</v>
      </c>
      <c r="S26" s="706">
        <f>F26</f>
        <v>100</v>
      </c>
      <c r="T26" s="705" t="s">
        <v>14</v>
      </c>
      <c r="U26" s="706">
        <f>H26</f>
        <v>100</v>
      </c>
      <c r="V26" s="705" t="s">
        <v>14</v>
      </c>
      <c r="W26" s="706">
        <f>J26</f>
        <v>100</v>
      </c>
      <c r="X26" s="3451"/>
      <c r="Y26" s="3821"/>
      <c r="Z26" s="3452" t="str">
        <f>Q26</f>
        <v>平面位置/可视性</v>
      </c>
      <c r="AA26" s="3455">
        <f t="shared" si="3"/>
        <v>1</v>
      </c>
      <c r="AB26" s="3455">
        <f t="shared" si="4"/>
        <v>1</v>
      </c>
      <c r="AC26" s="3455">
        <f t="shared" si="5"/>
        <v>1</v>
      </c>
    </row>
    <row r="27" spans="1:29" s="108" customFormat="1" ht="15">
      <c r="A27" s="382"/>
      <c r="B27" s="402" t="s">
        <v>1782</v>
      </c>
      <c r="C27" s="1956" t="s">
        <v>3741</v>
      </c>
      <c r="D27" s="413">
        <v>100</v>
      </c>
      <c r="E27" s="1956" t="s">
        <v>3741</v>
      </c>
      <c r="F27" s="415">
        <f>SUMIF(90:90,E27,91:91)-SUMIF(90:90,C27,91:91)+100</f>
        <v>100</v>
      </c>
      <c r="G27" s="1956" t="s">
        <v>3741</v>
      </c>
      <c r="H27" s="413">
        <f>SUMIF(90:90,G27,91:91)-SUMIF(90:90,C27,91:91)+100</f>
        <v>100</v>
      </c>
      <c r="I27" s="1956" t="s">
        <v>3741</v>
      </c>
      <c r="J27" s="413">
        <f>SUMIF(90:90,I27,91:91)-SUMIF(90:90,C27,91:91)+100</f>
        <v>100</v>
      </c>
      <c r="K27" s="561">
        <v>2</v>
      </c>
      <c r="L27" s="2717"/>
      <c r="M27" s="2718"/>
      <c r="N27" s="2718"/>
      <c r="O27" s="2718"/>
      <c r="P27" s="3819"/>
      <c r="Q27" s="3450" t="str">
        <f t="shared" si="11"/>
        <v>人流量</v>
      </c>
      <c r="R27" s="701" t="s">
        <v>14</v>
      </c>
      <c r="S27" s="702">
        <f>F27</f>
        <v>100</v>
      </c>
      <c r="T27" s="701" t="s">
        <v>14</v>
      </c>
      <c r="U27" s="702">
        <f>H27</f>
        <v>100</v>
      </c>
      <c r="V27" s="701" t="s">
        <v>14</v>
      </c>
      <c r="W27" s="702">
        <f>J27</f>
        <v>100</v>
      </c>
      <c r="X27" s="703"/>
      <c r="Y27" s="3821"/>
      <c r="Z27" s="3449" t="str">
        <f>Q27</f>
        <v>人流量</v>
      </c>
      <c r="AA27" s="3455">
        <f>D27/F27</f>
        <v>1</v>
      </c>
      <c r="AB27" s="3455">
        <f>D27/H27</f>
        <v>1</v>
      </c>
      <c r="AC27" s="3455">
        <f>D27/J27</f>
        <v>1</v>
      </c>
    </row>
    <row r="28" spans="1:29" ht="15.75" thickBot="1">
      <c r="A28" s="379"/>
      <c r="B28" s="375" t="s">
        <v>1783</v>
      </c>
      <c r="C28" s="565" t="s">
        <v>3754</v>
      </c>
      <c r="D28" s="386">
        <v>100</v>
      </c>
      <c r="E28" s="565" t="s">
        <v>3754</v>
      </c>
      <c r="F28" s="412">
        <f>SUMIF(92:92,E28,93:93)-SUMIF(92:92,C28,93:93)+100</f>
        <v>100</v>
      </c>
      <c r="G28" s="565" t="s">
        <v>3754</v>
      </c>
      <c r="H28" s="386">
        <f>SUMIF(92:92,G28,93:93)-SUMIF(92:92,C28,93:93)+100</f>
        <v>100</v>
      </c>
      <c r="I28" s="565" t="s">
        <v>3754</v>
      </c>
      <c r="J28" s="386">
        <f>SUMIF(92:92,I28,93:93)-SUMIF(92:92,C28,93:93)+100</f>
        <v>100</v>
      </c>
      <c r="K28" s="562"/>
      <c r="L28" s="2722"/>
      <c r="M28" s="2716"/>
      <c r="N28" s="2716"/>
      <c r="O28" s="2716"/>
      <c r="P28" s="3819"/>
      <c r="Q28" s="3454" t="str">
        <f t="shared" si="11"/>
        <v>楼层</v>
      </c>
      <c r="R28" s="705" t="s">
        <v>14</v>
      </c>
      <c r="S28" s="706">
        <f t="shared" ref="S28:S46" si="12">F28</f>
        <v>100</v>
      </c>
      <c r="T28" s="705" t="s">
        <v>14</v>
      </c>
      <c r="U28" s="706">
        <f t="shared" ref="U28:U46" si="13">H28</f>
        <v>100</v>
      </c>
      <c r="V28" s="705" t="s">
        <v>14</v>
      </c>
      <c r="W28" s="706">
        <f t="shared" ref="W28:W46" si="14">J28</f>
        <v>100</v>
      </c>
      <c r="X28" s="3451"/>
      <c r="Y28" s="3821"/>
      <c r="Z28" s="3452" t="str">
        <f t="shared" ref="Z28:Z46" si="15">Q28</f>
        <v>楼层</v>
      </c>
      <c r="AA28" s="3455">
        <f t="shared" si="3"/>
        <v>1</v>
      </c>
      <c r="AB28" s="3455">
        <f t="shared" si="4"/>
        <v>1</v>
      </c>
      <c r="AC28" s="3455">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19"/>
      <c r="Q29" s="3454">
        <f t="shared" si="11"/>
        <v>111</v>
      </c>
      <c r="R29" s="705" t="s">
        <v>14</v>
      </c>
      <c r="S29" s="706">
        <f t="shared" si="12"/>
        <v>100</v>
      </c>
      <c r="T29" s="705" t="s">
        <v>14</v>
      </c>
      <c r="U29" s="706">
        <f t="shared" si="13"/>
        <v>100</v>
      </c>
      <c r="V29" s="705" t="s">
        <v>14</v>
      </c>
      <c r="W29" s="706">
        <f t="shared" si="14"/>
        <v>100</v>
      </c>
      <c r="X29" s="3451"/>
      <c r="Y29" s="3821"/>
      <c r="Z29" s="3452">
        <f t="shared" si="15"/>
        <v>111</v>
      </c>
      <c r="AA29" s="3455">
        <f t="shared" si="3"/>
        <v>1</v>
      </c>
      <c r="AB29" s="3455">
        <f t="shared" si="4"/>
        <v>1</v>
      </c>
      <c r="AC29" s="3455">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19"/>
      <c r="Q30" s="3454">
        <f t="shared" si="11"/>
        <v>111</v>
      </c>
      <c r="R30" s="705" t="s">
        <v>14</v>
      </c>
      <c r="S30" s="706">
        <f t="shared" si="12"/>
        <v>100</v>
      </c>
      <c r="T30" s="705" t="s">
        <v>14</v>
      </c>
      <c r="U30" s="706">
        <f t="shared" si="13"/>
        <v>100</v>
      </c>
      <c r="V30" s="705" t="s">
        <v>14</v>
      </c>
      <c r="W30" s="706">
        <f t="shared" si="14"/>
        <v>100</v>
      </c>
      <c r="X30" s="3451"/>
      <c r="Y30" s="3821"/>
      <c r="Z30" s="3452">
        <f t="shared" si="15"/>
        <v>111</v>
      </c>
      <c r="AA30" s="3455">
        <f t="shared" si="3"/>
        <v>1</v>
      </c>
      <c r="AB30" s="3455">
        <f t="shared" si="4"/>
        <v>1</v>
      </c>
      <c r="AC30" s="3455">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19"/>
      <c r="Q31" s="3454">
        <f t="shared" si="11"/>
        <v>111</v>
      </c>
      <c r="R31" s="705" t="s">
        <v>14</v>
      </c>
      <c r="S31" s="706">
        <f t="shared" si="12"/>
        <v>100</v>
      </c>
      <c r="T31" s="705" t="s">
        <v>14</v>
      </c>
      <c r="U31" s="706">
        <f t="shared" si="13"/>
        <v>100</v>
      </c>
      <c r="V31" s="705" t="s">
        <v>14</v>
      </c>
      <c r="W31" s="706">
        <f t="shared" si="14"/>
        <v>100</v>
      </c>
      <c r="X31" s="3451"/>
      <c r="Y31" s="3821"/>
      <c r="Z31" s="3452">
        <f t="shared" si="15"/>
        <v>111</v>
      </c>
      <c r="AA31" s="3455">
        <f t="shared" si="3"/>
        <v>1</v>
      </c>
      <c r="AB31" s="3455">
        <f t="shared" si="4"/>
        <v>1</v>
      </c>
      <c r="AC31" s="3455">
        <f t="shared" si="5"/>
        <v>1</v>
      </c>
    </row>
    <row r="32" spans="1:29" ht="15">
      <c r="A32" s="391" t="s">
        <v>1694</v>
      </c>
      <c r="B32" s="63" t="s">
        <v>1784</v>
      </c>
      <c r="C32" s="1910" t="s">
        <v>3730</v>
      </c>
      <c r="D32" s="418">
        <v>100</v>
      </c>
      <c r="E32" s="1910" t="s">
        <v>3727</v>
      </c>
      <c r="F32" s="412">
        <f>SUMIF(100:100,E32,101:101)-SUMIF(100:100,C32,101:101)+100</f>
        <v>103</v>
      </c>
      <c r="G32" s="1910" t="s">
        <v>3727</v>
      </c>
      <c r="H32" s="386">
        <f>SUMIF(100:100,G32,101:101)-SUMIF(100:100,C32,101:101)+100</f>
        <v>103</v>
      </c>
      <c r="I32" s="1910" t="s">
        <v>3730</v>
      </c>
      <c r="J32" s="418">
        <f>SUMIF(100:100,I32,101:101)-SUMIF(100:100,C32,101:101)+100</f>
        <v>100</v>
      </c>
      <c r="K32" s="561">
        <v>3</v>
      </c>
      <c r="L32" s="2722"/>
      <c r="M32" s="2716"/>
      <c r="N32" s="2716"/>
      <c r="O32" s="2716"/>
      <c r="P32" s="3822" t="s">
        <v>1696</v>
      </c>
      <c r="Q32" s="3454" t="str">
        <f t="shared" si="11"/>
        <v>商业类型</v>
      </c>
      <c r="R32" s="705" t="s">
        <v>14</v>
      </c>
      <c r="S32" s="706">
        <f t="shared" si="12"/>
        <v>103</v>
      </c>
      <c r="T32" s="705" t="s">
        <v>14</v>
      </c>
      <c r="U32" s="706">
        <f t="shared" si="13"/>
        <v>103</v>
      </c>
      <c r="V32" s="705" t="s">
        <v>14</v>
      </c>
      <c r="W32" s="706">
        <f t="shared" si="14"/>
        <v>100</v>
      </c>
      <c r="X32" s="3451"/>
      <c r="Y32" s="3825" t="s">
        <v>1696</v>
      </c>
      <c r="Z32" s="3452" t="str">
        <f t="shared" si="15"/>
        <v>商业类型</v>
      </c>
      <c r="AA32" s="3455">
        <f t="shared" si="3"/>
        <v>0.970873786407767</v>
      </c>
      <c r="AB32" s="3455">
        <f t="shared" si="4"/>
        <v>0.970873786407767</v>
      </c>
      <c r="AC32" s="3455">
        <f t="shared" si="5"/>
        <v>1</v>
      </c>
    </row>
    <row r="33" spans="1:29" s="422" customFormat="1" ht="15">
      <c r="A33" s="419"/>
      <c r="B33" s="375" t="s">
        <v>1697</v>
      </c>
      <c r="C33" s="420">
        <f>'数据-汇总表'!E19</f>
        <v>1078.0900000000001</v>
      </c>
      <c r="D33" s="127">
        <v>100</v>
      </c>
      <c r="E33" s="381">
        <v>128</v>
      </c>
      <c r="F33" s="376">
        <f>LOOKUP(E33,103:103,104:104)-LOOKUP(C33,103:103,104:104)+100</f>
        <v>104</v>
      </c>
      <c r="G33" s="380">
        <v>64.58</v>
      </c>
      <c r="H33" s="127">
        <f>LOOKUP(G33,103:103,104:104)-LOOKUP(C33,103:103,104:104)+100</f>
        <v>104</v>
      </c>
      <c r="I33" s="380">
        <v>666</v>
      </c>
      <c r="J33" s="127">
        <f>LOOKUP(I33,103:103,104:104)-LOOKUP(C33,103:103,104:104)+100</f>
        <v>102</v>
      </c>
      <c r="K33" s="562"/>
      <c r="L33" s="2721"/>
      <c r="M33" s="2723"/>
      <c r="N33" s="2723"/>
      <c r="O33" s="2723"/>
      <c r="P33" s="3823"/>
      <c r="Q33" s="707" t="str">
        <f t="shared" si="11"/>
        <v>项目建筑规模</v>
      </c>
      <c r="R33" s="708" t="s">
        <v>14</v>
      </c>
      <c r="S33" s="709">
        <f t="shared" si="12"/>
        <v>104</v>
      </c>
      <c r="T33" s="708" t="s">
        <v>14</v>
      </c>
      <c r="U33" s="709">
        <f t="shared" si="13"/>
        <v>104</v>
      </c>
      <c r="V33" s="708" t="s">
        <v>14</v>
      </c>
      <c r="W33" s="709">
        <f t="shared" si="14"/>
        <v>102</v>
      </c>
      <c r="X33" s="710"/>
      <c r="Y33" s="3825"/>
      <c r="Z33" s="711" t="str">
        <f t="shared" si="15"/>
        <v>项目建筑规模</v>
      </c>
      <c r="AA33" s="3455">
        <f t="shared" si="3"/>
        <v>0.96153846153846156</v>
      </c>
      <c r="AB33" s="3455">
        <f t="shared" si="4"/>
        <v>0.96153846153846156</v>
      </c>
      <c r="AC33" s="3455">
        <f t="shared" si="5"/>
        <v>0.98039215686274506</v>
      </c>
    </row>
    <row r="34" spans="1:29" ht="15">
      <c r="A34" s="423"/>
      <c r="B34" s="375" t="s">
        <v>1698</v>
      </c>
      <c r="C34" s="1912" t="s">
        <v>3706</v>
      </c>
      <c r="D34" s="386">
        <v>100</v>
      </c>
      <c r="E34" s="1912" t="s">
        <v>3706</v>
      </c>
      <c r="F34" s="412">
        <f>SUMIF(105:105,E34,106:106)-SUMIF(105:105,C34,106:106)+100</f>
        <v>100</v>
      </c>
      <c r="G34" s="1912" t="s">
        <v>3706</v>
      </c>
      <c r="H34" s="386">
        <f>SUMIF(105:105,G34,106:106)-SUMIF(105:105,C34,106:106)+100</f>
        <v>100</v>
      </c>
      <c r="I34" s="1912" t="s">
        <v>3706</v>
      </c>
      <c r="J34" s="386">
        <f>SUMIF(105:105,I34,106:106)-SUMIF(105:105,C34,106:106)+100</f>
        <v>100</v>
      </c>
      <c r="K34" s="561">
        <v>2</v>
      </c>
      <c r="L34" s="2722"/>
      <c r="M34" s="2716"/>
      <c r="N34" s="2716"/>
      <c r="O34" s="2716"/>
      <c r="P34" s="3823"/>
      <c r="Q34" s="3454" t="str">
        <f t="shared" si="11"/>
        <v>建筑结构</v>
      </c>
      <c r="R34" s="705" t="s">
        <v>14</v>
      </c>
      <c r="S34" s="706">
        <f t="shared" si="12"/>
        <v>100</v>
      </c>
      <c r="T34" s="705" t="s">
        <v>14</v>
      </c>
      <c r="U34" s="706">
        <f t="shared" si="13"/>
        <v>100</v>
      </c>
      <c r="V34" s="705" t="s">
        <v>14</v>
      </c>
      <c r="W34" s="706">
        <f t="shared" si="14"/>
        <v>100</v>
      </c>
      <c r="X34" s="3451"/>
      <c r="Y34" s="3825"/>
      <c r="Z34" s="3452" t="str">
        <f t="shared" si="15"/>
        <v>建筑结构</v>
      </c>
      <c r="AA34" s="3455">
        <f t="shared" si="3"/>
        <v>1</v>
      </c>
      <c r="AB34" s="3455">
        <f t="shared" si="4"/>
        <v>1</v>
      </c>
      <c r="AC34" s="3455">
        <f t="shared" si="5"/>
        <v>1</v>
      </c>
    </row>
    <row r="35" spans="1:29" ht="15">
      <c r="A35" s="423"/>
      <c r="B35" s="375" t="s">
        <v>1785</v>
      </c>
      <c r="C35" s="1912" t="s">
        <v>3708</v>
      </c>
      <c r="D35" s="386">
        <v>100</v>
      </c>
      <c r="E35" s="1912" t="s">
        <v>3708</v>
      </c>
      <c r="F35" s="412">
        <f>SUMIF(107:107,E35,108:108)-SUMIF(107:107,C35,108:108)+100</f>
        <v>100</v>
      </c>
      <c r="G35" s="1912" t="s">
        <v>3708</v>
      </c>
      <c r="H35" s="386">
        <f>SUMIF(107:107,G35,108:108)-SUMIF(107:107,C35,108:108)+100</f>
        <v>100</v>
      </c>
      <c r="I35" s="1912" t="s">
        <v>3708</v>
      </c>
      <c r="J35" s="386">
        <f>SUMIF(107:107,I35,108:108)-SUMIF(107:107,C35,108:108)+100</f>
        <v>100</v>
      </c>
      <c r="K35" s="561">
        <v>2</v>
      </c>
      <c r="L35" s="2722"/>
      <c r="M35" s="2716"/>
      <c r="N35" s="2716"/>
      <c r="O35" s="2716"/>
      <c r="P35" s="3823"/>
      <c r="Q35" s="3454" t="str">
        <f t="shared" si="11"/>
        <v>公共部分装修</v>
      </c>
      <c r="R35" s="705" t="s">
        <v>14</v>
      </c>
      <c r="S35" s="706">
        <f t="shared" si="12"/>
        <v>100</v>
      </c>
      <c r="T35" s="705" t="s">
        <v>14</v>
      </c>
      <c r="U35" s="706">
        <f t="shared" si="13"/>
        <v>100</v>
      </c>
      <c r="V35" s="705" t="s">
        <v>14</v>
      </c>
      <c r="W35" s="706">
        <f t="shared" si="14"/>
        <v>100</v>
      </c>
      <c r="X35" s="3451"/>
      <c r="Y35" s="3825"/>
      <c r="Z35" s="3452" t="str">
        <f t="shared" si="15"/>
        <v>公共部分装修</v>
      </c>
      <c r="AA35" s="3455">
        <f t="shared" si="3"/>
        <v>1</v>
      </c>
      <c r="AB35" s="3455">
        <f t="shared" si="4"/>
        <v>1</v>
      </c>
      <c r="AC35" s="3455">
        <f t="shared" si="5"/>
        <v>1</v>
      </c>
    </row>
    <row r="36" spans="1:29" ht="15">
      <c r="A36" s="423"/>
      <c r="B36" s="375" t="s">
        <v>1786</v>
      </c>
      <c r="C36" s="425">
        <v>0.7</v>
      </c>
      <c r="D36" s="386">
        <v>100</v>
      </c>
      <c r="E36" s="425">
        <v>0.7</v>
      </c>
      <c r="F36" s="412">
        <f>LOOKUP(E36,110:110,111:111)-LOOKUP(C36,110:110,111:111)+100</f>
        <v>100</v>
      </c>
      <c r="G36" s="425">
        <v>0.7</v>
      </c>
      <c r="H36" s="412">
        <f>LOOKUP(G36,110:110,111:111)-LOOKUP(C36,110:110,111:111)+100</f>
        <v>100</v>
      </c>
      <c r="I36" s="425">
        <v>0.7</v>
      </c>
      <c r="J36" s="386">
        <f>LOOKUP(I36,110:110,111:111)-LOOKUP(C36,110:110,111:111)+100</f>
        <v>100</v>
      </c>
      <c r="K36" s="561">
        <v>1</v>
      </c>
      <c r="L36" s="2722"/>
      <c r="M36" s="2716"/>
      <c r="N36" s="2716"/>
      <c r="O36" s="2716"/>
      <c r="P36" s="3823"/>
      <c r="Q36" s="3454" t="str">
        <f t="shared" si="11"/>
        <v>成新度</v>
      </c>
      <c r="R36" s="705" t="s">
        <v>14</v>
      </c>
      <c r="S36" s="706">
        <f t="shared" si="12"/>
        <v>100</v>
      </c>
      <c r="T36" s="705" t="s">
        <v>14</v>
      </c>
      <c r="U36" s="706">
        <f t="shared" si="13"/>
        <v>100</v>
      </c>
      <c r="V36" s="705" t="s">
        <v>14</v>
      </c>
      <c r="W36" s="706">
        <f t="shared" si="14"/>
        <v>100</v>
      </c>
      <c r="X36" s="3451"/>
      <c r="Y36" s="3825"/>
      <c r="Z36" s="3452" t="str">
        <f t="shared" si="15"/>
        <v>成新度</v>
      </c>
      <c r="AA36" s="3455">
        <f t="shared" si="3"/>
        <v>1</v>
      </c>
      <c r="AB36" s="3455">
        <f t="shared" si="4"/>
        <v>1</v>
      </c>
      <c r="AC36" s="3455">
        <f t="shared" si="5"/>
        <v>1</v>
      </c>
    </row>
    <row r="37" spans="1:29" s="108" customFormat="1" ht="15">
      <c r="A37" s="424"/>
      <c r="B37" s="375" t="s">
        <v>1787</v>
      </c>
      <c r="C37" s="1906" t="s">
        <v>3763</v>
      </c>
      <c r="D37" s="127">
        <v>100</v>
      </c>
      <c r="E37" s="1906" t="s">
        <v>3736</v>
      </c>
      <c r="F37" s="412">
        <f>SUMIF(112:112,E37,113:113)-SUMIF(112:112,C37,113:113)+100</f>
        <v>101</v>
      </c>
      <c r="G37" s="1906" t="s">
        <v>3736</v>
      </c>
      <c r="H37" s="386">
        <f>SUMIF(112:112,G37,113:113)-SUMIF(112:112,C37,113:113)+100</f>
        <v>101</v>
      </c>
      <c r="I37" s="1906" t="s">
        <v>3763</v>
      </c>
      <c r="J37" s="386">
        <f>SUMIF(112:112,I37,113:113)-SUMIF(112:112,C37,113:113)+100</f>
        <v>100</v>
      </c>
      <c r="K37" s="561">
        <v>1</v>
      </c>
      <c r="L37" s="2717"/>
      <c r="M37" s="2718"/>
      <c r="N37" s="2718"/>
      <c r="O37" s="2718"/>
      <c r="P37" s="3823"/>
      <c r="Q37" s="3450" t="str">
        <f t="shared" si="11"/>
        <v>市政基础设施</v>
      </c>
      <c r="R37" s="701" t="s">
        <v>14</v>
      </c>
      <c r="S37" s="702">
        <f t="shared" si="12"/>
        <v>101</v>
      </c>
      <c r="T37" s="701" t="s">
        <v>14</v>
      </c>
      <c r="U37" s="702">
        <f t="shared" si="13"/>
        <v>101</v>
      </c>
      <c r="V37" s="701" t="s">
        <v>14</v>
      </c>
      <c r="W37" s="702">
        <f t="shared" si="14"/>
        <v>100</v>
      </c>
      <c r="X37" s="703"/>
      <c r="Y37" s="3825"/>
      <c r="Z37" s="3449" t="str">
        <f t="shared" si="15"/>
        <v>市政基础设施</v>
      </c>
      <c r="AA37" s="704">
        <f t="shared" si="3"/>
        <v>0.99009900990099009</v>
      </c>
      <c r="AB37" s="704">
        <f t="shared" si="4"/>
        <v>0.99009900990099009</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23" t="s">
        <v>1696</v>
      </c>
      <c r="Q38" s="3454" t="str">
        <f t="shared" si="11"/>
        <v>业态</v>
      </c>
      <c r="R38" s="705" t="s">
        <v>14</v>
      </c>
      <c r="S38" s="706">
        <f t="shared" si="12"/>
        <v>100</v>
      </c>
      <c r="T38" s="705" t="s">
        <v>14</v>
      </c>
      <c r="U38" s="706">
        <f t="shared" si="13"/>
        <v>100</v>
      </c>
      <c r="V38" s="705" t="s">
        <v>14</v>
      </c>
      <c r="W38" s="706">
        <f t="shared" si="14"/>
        <v>100</v>
      </c>
      <c r="X38" s="3451"/>
      <c r="Y38" s="3825" t="s">
        <v>1696</v>
      </c>
      <c r="Z38" s="3452" t="str">
        <f t="shared" si="15"/>
        <v>业态</v>
      </c>
      <c r="AA38" s="3455">
        <f t="shared" si="3"/>
        <v>1</v>
      </c>
      <c r="AB38" s="3455">
        <f t="shared" si="4"/>
        <v>1</v>
      </c>
      <c r="AC38" s="3455">
        <f t="shared" si="5"/>
        <v>1</v>
      </c>
    </row>
    <row r="39" spans="1:29" ht="15">
      <c r="A39" s="423"/>
      <c r="B39" s="375" t="s">
        <v>1789</v>
      </c>
      <c r="C39" s="1906" t="s">
        <v>3758</v>
      </c>
      <c r="D39" s="386">
        <v>100</v>
      </c>
      <c r="E39" s="1906" t="s">
        <v>3758</v>
      </c>
      <c r="F39" s="412">
        <f>SUMIF(116:116,E39,117:117)-SUMIF(116:116,C39,117:117)+100</f>
        <v>100</v>
      </c>
      <c r="G39" s="1906" t="s">
        <v>3758</v>
      </c>
      <c r="H39" s="386">
        <f>SUMIF(116:116,G39,117:117)-SUMIF(116:116,C39,117:117)+100</f>
        <v>100</v>
      </c>
      <c r="I39" s="1906" t="s">
        <v>3758</v>
      </c>
      <c r="J39" s="386">
        <f>SUMIF(116:116,I39,117:117)-SUMIF(116:116,C39,117:117)+100</f>
        <v>100</v>
      </c>
      <c r="K39" s="561">
        <v>1</v>
      </c>
      <c r="L39" s="2722"/>
      <c r="M39" s="2716"/>
      <c r="N39" s="2716"/>
      <c r="O39" s="2716"/>
      <c r="P39" s="3823"/>
      <c r="Q39" s="3454" t="str">
        <f t="shared" si="11"/>
        <v>层高</v>
      </c>
      <c r="R39" s="705" t="s">
        <v>14</v>
      </c>
      <c r="S39" s="706">
        <f t="shared" si="12"/>
        <v>100</v>
      </c>
      <c r="T39" s="705" t="s">
        <v>14</v>
      </c>
      <c r="U39" s="706">
        <f t="shared" si="13"/>
        <v>100</v>
      </c>
      <c r="V39" s="705" t="s">
        <v>14</v>
      </c>
      <c r="W39" s="706">
        <f t="shared" si="14"/>
        <v>100</v>
      </c>
      <c r="X39" s="3451"/>
      <c r="Y39" s="3825"/>
      <c r="Z39" s="3452" t="str">
        <f t="shared" si="15"/>
        <v>层高</v>
      </c>
      <c r="AA39" s="3455">
        <f t="shared" si="3"/>
        <v>1</v>
      </c>
      <c r="AB39" s="3455">
        <f t="shared" si="4"/>
        <v>1</v>
      </c>
      <c r="AC39" s="3455">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23"/>
      <c r="Q40" s="3454" t="str">
        <f t="shared" si="11"/>
        <v>单套建筑面积</v>
      </c>
      <c r="R40" s="705" t="s">
        <v>14</v>
      </c>
      <c r="S40" s="706">
        <f t="shared" si="12"/>
        <v>100</v>
      </c>
      <c r="T40" s="705" t="s">
        <v>14</v>
      </c>
      <c r="U40" s="706">
        <f t="shared" si="13"/>
        <v>100</v>
      </c>
      <c r="V40" s="705" t="s">
        <v>14</v>
      </c>
      <c r="W40" s="706">
        <f t="shared" si="14"/>
        <v>100</v>
      </c>
      <c r="X40" s="3451"/>
      <c r="Y40" s="3825"/>
      <c r="Z40" s="3452" t="str">
        <f t="shared" si="15"/>
        <v>单套建筑面积</v>
      </c>
      <c r="AA40" s="3455">
        <f t="shared" si="3"/>
        <v>1</v>
      </c>
      <c r="AB40" s="3455">
        <f t="shared" si="4"/>
        <v>1</v>
      </c>
      <c r="AC40" s="3455">
        <f t="shared" si="5"/>
        <v>1</v>
      </c>
    </row>
    <row r="41" spans="1:29" s="422" customFormat="1" ht="15.75" thickBot="1">
      <c r="A41" s="419"/>
      <c r="B41" s="3453" t="s">
        <v>1791</v>
      </c>
      <c r="C41" s="565" t="s">
        <v>3681</v>
      </c>
      <c r="D41" s="386">
        <v>100</v>
      </c>
      <c r="E41" s="565" t="s">
        <v>3681</v>
      </c>
      <c r="F41" s="412">
        <f>SUMIF(120:120,E41,121:121)-SUMIF(120:120,C41,121:121)+100</f>
        <v>100</v>
      </c>
      <c r="G41" s="565" t="s">
        <v>3681</v>
      </c>
      <c r="H41" s="386">
        <f>SUMIF(120:120,G41,121:121)-SUMIF(120:120,C41,121:121)+100</f>
        <v>100</v>
      </c>
      <c r="I41" s="565" t="s">
        <v>3681</v>
      </c>
      <c r="J41" s="386">
        <f>SUMIF(120:120,I41,121:121)-SUMIF(120:120,C41,121:121)+100</f>
        <v>100</v>
      </c>
      <c r="K41" s="561">
        <v>1</v>
      </c>
      <c r="L41" s="2721"/>
      <c r="M41" s="2723"/>
      <c r="N41" s="2723"/>
      <c r="O41" s="2723"/>
      <c r="P41" s="3823"/>
      <c r="Q41" s="707" t="str">
        <f t="shared" si="11"/>
        <v>进深比</v>
      </c>
      <c r="R41" s="708" t="s">
        <v>14</v>
      </c>
      <c r="S41" s="709">
        <f t="shared" si="12"/>
        <v>100</v>
      </c>
      <c r="T41" s="708" t="s">
        <v>14</v>
      </c>
      <c r="U41" s="709">
        <f t="shared" si="13"/>
        <v>100</v>
      </c>
      <c r="V41" s="708" t="s">
        <v>14</v>
      </c>
      <c r="W41" s="709">
        <f t="shared" si="14"/>
        <v>100</v>
      </c>
      <c r="X41" s="710"/>
      <c r="Y41" s="3825"/>
      <c r="Z41" s="711" t="str">
        <f t="shared" si="15"/>
        <v>进深比</v>
      </c>
      <c r="AA41" s="3455">
        <f t="shared" si="3"/>
        <v>1</v>
      </c>
      <c r="AB41" s="3455">
        <f t="shared" si="4"/>
        <v>1</v>
      </c>
      <c r="AC41" s="3455">
        <f t="shared" si="5"/>
        <v>1</v>
      </c>
    </row>
    <row r="42" spans="1:29" ht="15" hidden="1">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23"/>
      <c r="Q42" s="3454" t="str">
        <f t="shared" si="11"/>
        <v>内部装修</v>
      </c>
      <c r="R42" s="705" t="s">
        <v>14</v>
      </c>
      <c r="S42" s="706">
        <f t="shared" si="12"/>
        <v>100</v>
      </c>
      <c r="T42" s="705" t="s">
        <v>14</v>
      </c>
      <c r="U42" s="706">
        <f t="shared" si="13"/>
        <v>100</v>
      </c>
      <c r="V42" s="705" t="s">
        <v>14</v>
      </c>
      <c r="W42" s="706">
        <f t="shared" si="14"/>
        <v>100</v>
      </c>
      <c r="X42" s="3451"/>
      <c r="Y42" s="3825"/>
      <c r="Z42" s="3452" t="str">
        <f t="shared" si="15"/>
        <v>内部装修</v>
      </c>
      <c r="AA42" s="3455">
        <f t="shared" si="3"/>
        <v>1</v>
      </c>
      <c r="AB42" s="3455">
        <f t="shared" si="4"/>
        <v>1</v>
      </c>
      <c r="AC42" s="3455">
        <f t="shared" si="5"/>
        <v>1</v>
      </c>
    </row>
    <row r="43" spans="1:29" ht="15.75" hidden="1" thickBot="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23"/>
      <c r="Q43" s="3454" t="str">
        <f t="shared" si="11"/>
        <v>内部装修维护情况</v>
      </c>
      <c r="R43" s="705" t="s">
        <v>14</v>
      </c>
      <c r="S43" s="706">
        <f t="shared" si="12"/>
        <v>100</v>
      </c>
      <c r="T43" s="705" t="s">
        <v>14</v>
      </c>
      <c r="U43" s="706">
        <f t="shared" si="13"/>
        <v>100</v>
      </c>
      <c r="V43" s="705" t="s">
        <v>14</v>
      </c>
      <c r="W43" s="706">
        <f t="shared" si="14"/>
        <v>100</v>
      </c>
      <c r="X43" s="3451"/>
      <c r="Y43" s="3825"/>
      <c r="Z43" s="3452" t="str">
        <f t="shared" si="15"/>
        <v>内部装修维护情况</v>
      </c>
      <c r="AA43" s="3455">
        <f t="shared" si="3"/>
        <v>1</v>
      </c>
      <c r="AB43" s="3455">
        <f t="shared" si="4"/>
        <v>1</v>
      </c>
      <c r="AC43" s="3455">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23"/>
      <c r="Q44" s="3450">
        <f t="shared" si="11"/>
        <v>111</v>
      </c>
      <c r="R44" s="701" t="s">
        <v>14</v>
      </c>
      <c r="S44" s="702">
        <f t="shared" si="12"/>
        <v>100</v>
      </c>
      <c r="T44" s="701" t="s">
        <v>14</v>
      </c>
      <c r="U44" s="702">
        <f t="shared" si="13"/>
        <v>100</v>
      </c>
      <c r="V44" s="701" t="s">
        <v>14</v>
      </c>
      <c r="W44" s="702">
        <f t="shared" si="14"/>
        <v>100</v>
      </c>
      <c r="X44" s="703"/>
      <c r="Y44" s="3825"/>
      <c r="Z44" s="3449">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23"/>
      <c r="Q45" s="3454">
        <f t="shared" si="11"/>
        <v>111</v>
      </c>
      <c r="R45" s="705" t="s">
        <v>14</v>
      </c>
      <c r="S45" s="706">
        <f t="shared" si="12"/>
        <v>100</v>
      </c>
      <c r="T45" s="705" t="s">
        <v>14</v>
      </c>
      <c r="U45" s="706">
        <f t="shared" si="13"/>
        <v>100</v>
      </c>
      <c r="V45" s="705" t="s">
        <v>14</v>
      </c>
      <c r="W45" s="706">
        <f t="shared" si="14"/>
        <v>100</v>
      </c>
      <c r="X45" s="3451"/>
      <c r="Y45" s="3825"/>
      <c r="Z45" s="3452">
        <f t="shared" si="15"/>
        <v>111</v>
      </c>
      <c r="AA45" s="3455">
        <f t="shared" si="3"/>
        <v>1</v>
      </c>
      <c r="AB45" s="3455">
        <f t="shared" si="4"/>
        <v>1</v>
      </c>
      <c r="AC45" s="3455">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24"/>
      <c r="Q46" s="3454">
        <f t="shared" si="11"/>
        <v>111</v>
      </c>
      <c r="R46" s="705" t="s">
        <v>14</v>
      </c>
      <c r="S46" s="706">
        <f t="shared" si="12"/>
        <v>100</v>
      </c>
      <c r="T46" s="705" t="s">
        <v>14</v>
      </c>
      <c r="U46" s="706">
        <f t="shared" si="13"/>
        <v>100</v>
      </c>
      <c r="V46" s="705" t="s">
        <v>14</v>
      </c>
      <c r="W46" s="706">
        <f t="shared" si="14"/>
        <v>100</v>
      </c>
      <c r="X46" s="3451"/>
      <c r="Y46" s="3826"/>
      <c r="Z46" s="3452">
        <f t="shared" si="15"/>
        <v>111</v>
      </c>
      <c r="AA46" s="3455">
        <f t="shared" si="3"/>
        <v>1</v>
      </c>
      <c r="AB46" s="3455">
        <f t="shared" si="4"/>
        <v>1</v>
      </c>
      <c r="AC46" s="3455">
        <f t="shared" si="5"/>
        <v>1</v>
      </c>
    </row>
    <row r="47" spans="1:29" ht="15">
      <c r="A47" s="430" t="s">
        <v>1708</v>
      </c>
      <c r="B47" s="431"/>
      <c r="C47" s="1154" t="s">
        <v>0</v>
      </c>
      <c r="D47" s="1155"/>
      <c r="E47" s="1156">
        <v>39050</v>
      </c>
      <c r="F47" s="1157"/>
      <c r="G47" s="1158">
        <v>41000</v>
      </c>
      <c r="H47" s="1159"/>
      <c r="I47" s="1156">
        <v>43183</v>
      </c>
      <c r="J47" s="1159"/>
      <c r="K47" s="714"/>
      <c r="L47" s="2724"/>
      <c r="M47" s="2725"/>
      <c r="N47" s="2716"/>
      <c r="O47" s="2725"/>
      <c r="P47" s="3813" t="str">
        <f>A47</f>
        <v>成交单价（元/平方米）</v>
      </c>
      <c r="Q47" s="3813"/>
      <c r="R47" s="3827">
        <f>E47</f>
        <v>39050</v>
      </c>
      <c r="S47" s="3827"/>
      <c r="T47" s="3827">
        <f>G47</f>
        <v>41000</v>
      </c>
      <c r="U47" s="3827"/>
      <c r="V47" s="3827">
        <f>I47</f>
        <v>43183</v>
      </c>
      <c r="W47" s="3827"/>
      <c r="X47" s="690"/>
      <c r="Y47" s="712"/>
      <c r="Z47" s="690"/>
      <c r="AA47" s="690"/>
      <c r="AB47" s="690"/>
      <c r="AC47" s="690"/>
    </row>
    <row r="48" spans="1:29" ht="15.75" thickBot="1">
      <c r="A48" s="437" t="s">
        <v>1793</v>
      </c>
      <c r="B48" s="438"/>
      <c r="C48" s="1160">
        <f>R49</f>
        <v>37645.800000000003</v>
      </c>
      <c r="D48" s="2317" t="s">
        <v>2138</v>
      </c>
      <c r="E48" s="1161">
        <f>R48</f>
        <v>35042.199999999997</v>
      </c>
      <c r="F48" s="2318"/>
      <c r="G48" s="1160">
        <f>T48</f>
        <v>36792.1</v>
      </c>
      <c r="H48" s="2318"/>
      <c r="I48" s="1161">
        <f>V48</f>
        <v>41103.199999999997</v>
      </c>
      <c r="J48" s="2318"/>
      <c r="K48" s="2320">
        <f>F48+H48+J48</f>
        <v>0</v>
      </c>
      <c r="L48" s="2724"/>
      <c r="M48" s="2725"/>
      <c r="N48" s="2716"/>
      <c r="O48" s="2725"/>
      <c r="P48" s="3813" t="str">
        <f>A48</f>
        <v>比较价值（元/平方米）</v>
      </c>
      <c r="Q48" s="3813"/>
      <c r="R48" s="3814">
        <f>IF(F1="售价",ROUND(PRODUCT(R47,AA7:AA46),0),ROUND(PRODUCT(R47,AA7:AA46),1))</f>
        <v>35042.199999999997</v>
      </c>
      <c r="S48" s="3814"/>
      <c r="T48" s="3814">
        <f>IF(F1="售价",ROUND(PRODUCT(T47,AB7:AB46),0),ROUND(PRODUCT(T47,AB7:AB46),1))</f>
        <v>36792.1</v>
      </c>
      <c r="U48" s="3814"/>
      <c r="V48" s="3814">
        <f>IF(F1="售价",ROUND(PRODUCT(V47,AC7:AC46),0),ROUND(PRODUCT(V47,AC7:AC46),1))</f>
        <v>41103.199999999997</v>
      </c>
      <c r="W48" s="3814"/>
      <c r="X48" s="690"/>
      <c r="Y48" s="690"/>
      <c r="Z48" s="690"/>
      <c r="AA48" s="690"/>
      <c r="AB48" s="690"/>
      <c r="AC48" s="690"/>
    </row>
    <row r="49" spans="1:29" ht="15.75" thickBot="1">
      <c r="A49" s="441" t="s">
        <v>1794</v>
      </c>
      <c r="B49" s="442"/>
      <c r="C49" s="1163">
        <f>R49</f>
        <v>37645.800000000003</v>
      </c>
      <c r="D49" s="1163"/>
      <c r="E49" s="1163"/>
      <c r="F49" s="1163"/>
      <c r="G49" s="1163"/>
      <c r="H49" s="1163"/>
      <c r="I49" s="1163"/>
      <c r="J49" s="1163"/>
      <c r="K49" s="715"/>
      <c r="L49" s="2724"/>
      <c r="M49" s="2725"/>
      <c r="N49" s="2716"/>
      <c r="O49" s="2725"/>
      <c r="P49" s="3815" t="str">
        <f>A49</f>
        <v>估价对象XX用房的比较价值（楼面单价，元/平方米）</v>
      </c>
      <c r="Q49" s="3816"/>
      <c r="R49" s="3817">
        <f>IF(F1="售价",ROUND(IF(D48="简单平均",AVERAGE(R48:V48),R48*F48+T48*H48+V48*J48),0),ROUND(IF(D48="简单平均",AVERAGE(R48:V48),R48*F48+T48*H48+V48*J48),1))</f>
        <v>37645.800000000003</v>
      </c>
      <c r="S49" s="3817"/>
      <c r="T49" s="3817"/>
      <c r="U49" s="3817"/>
      <c r="V49" s="3817"/>
      <c r="W49" s="38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0.11437067307417914</v>
      </c>
      <c r="F52" s="449" t="str">
        <f>IF(OR(E52&gt;=0.3,E52&lt;=-0.3),"超过30%","")</f>
        <v/>
      </c>
      <c r="G52" s="448">
        <f>IF(G47&lt;G48,G48/G47-1,G47/G48-1)</f>
        <v>0.11436966087828648</v>
      </c>
      <c r="H52" s="449" t="str">
        <f>IF(OR(G52&gt;=0.3,G52&lt;=-0.3),"超过30%","")</f>
        <v/>
      </c>
      <c r="I52" s="448">
        <f>IF(I47&lt;I48,I48/I47-1,I47/I48-1)</f>
        <v>5.0599466708188157E-2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4.9936933183418963E-2</v>
      </c>
      <c r="F53" s="449" t="str">
        <f>IF(OR(E53&gt;=0.2,E53&lt;=-0.2),"超过20%","")</f>
        <v/>
      </c>
      <c r="G53" s="448">
        <f>IF(G48&lt;I48,I48/G48-1,G48/I48-1)</f>
        <v>0.11717461085396041</v>
      </c>
      <c r="H53" s="449" t="str">
        <f>IF(OR(G53&gt;=0.2,G53&lt;=-0.2),"超过20%","")</f>
        <v/>
      </c>
      <c r="I53" s="448">
        <f>IF(I48&lt;E48,E48/I48-1,I48/E48-1)</f>
        <v>0.17296288475038679</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4.9935979513444195E-2</v>
      </c>
      <c r="F54" s="449" t="str">
        <f>IF(OR(E54&gt;=0.3,E54&lt;=-0.3),"超过30%","")</f>
        <v/>
      </c>
      <c r="G54" s="448">
        <f>IF(G47&lt;I47,I47/G47-1,G47/I47-1)</f>
        <v>5.3243902439024327E-2</v>
      </c>
      <c r="H54" s="449" t="str">
        <f>IF(OR(G54&gt;=0.3,G54&lt;=-0.3),"超过30%","")</f>
        <v/>
      </c>
      <c r="I54" s="448">
        <f>IF(I47&lt;E47,E47/I47-1,I47/E47-1)</f>
        <v>0.10583866837387967</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98</v>
      </c>
      <c r="E69" s="493">
        <f t="shared" si="18"/>
        <v>96</v>
      </c>
      <c r="F69" s="493">
        <f t="shared" si="18"/>
        <v>94</v>
      </c>
      <c r="G69" s="493">
        <f t="shared" si="18"/>
        <v>92</v>
      </c>
      <c r="H69" s="493">
        <f t="shared" si="18"/>
        <v>90</v>
      </c>
      <c r="I69" s="493">
        <f t="shared" si="18"/>
        <v>88</v>
      </c>
      <c r="J69" s="493">
        <f t="shared" si="18"/>
        <v>86</v>
      </c>
      <c r="K69" s="493">
        <f t="shared" si="18"/>
        <v>84</v>
      </c>
      <c r="L69" s="493">
        <f t="shared" si="18"/>
        <v>82</v>
      </c>
      <c r="M69" s="494">
        <f t="shared" si="18"/>
        <v>80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98</v>
      </c>
      <c r="E77" s="493">
        <f>D77-$K15</f>
        <v>96</v>
      </c>
      <c r="F77" s="493">
        <f>E77-$K15</f>
        <v>94</v>
      </c>
      <c r="G77" s="493">
        <f>F77-$K15</f>
        <v>92</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571" t="s">
        <v>3737</v>
      </c>
      <c r="D86" s="3571" t="s">
        <v>3739</v>
      </c>
      <c r="E86" s="3571" t="s">
        <v>3753</v>
      </c>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571" t="s">
        <v>3745</v>
      </c>
      <c r="D88" s="3571" t="s">
        <v>3740</v>
      </c>
      <c r="E88" s="3571" t="s">
        <v>3742</v>
      </c>
      <c r="F88" s="3571" t="s">
        <v>3743</v>
      </c>
      <c r="G88" s="3574" t="s">
        <v>3744</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509">
        <v>98</v>
      </c>
      <c r="E89" s="485">
        <v>96</v>
      </c>
      <c r="F89" s="485">
        <v>949</v>
      </c>
      <c r="G89" s="485">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571" t="s">
        <v>3746</v>
      </c>
      <c r="D90" s="3571" t="s">
        <v>3740</v>
      </c>
      <c r="E90" s="3571" t="s">
        <v>3742</v>
      </c>
      <c r="F90" s="3571" t="s">
        <v>3743</v>
      </c>
      <c r="G90" s="3574" t="s">
        <v>3744</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3747</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573" t="s">
        <v>3726</v>
      </c>
      <c r="D100" s="3573" t="s">
        <v>3728</v>
      </c>
      <c r="E100" s="3573" t="s">
        <v>3731</v>
      </c>
      <c r="F100" s="3573" t="s">
        <v>3729</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4"/>
      <c r="O101" s="2754"/>
      <c r="P101" s="2744"/>
      <c r="Q101" s="2739"/>
      <c r="R101" s="2725"/>
      <c r="S101" s="2725"/>
      <c r="T101" s="2725"/>
      <c r="U101" s="2725"/>
      <c r="V101" s="2725"/>
      <c r="W101" s="2725"/>
      <c r="X101" s="2725"/>
      <c r="Y101" s="2725"/>
      <c r="Z101" s="2725"/>
      <c r="AA101" s="2725"/>
      <c r="AB101" s="2725"/>
      <c r="AC101" s="2725"/>
    </row>
    <row r="102" spans="1:29" ht="29.25" thickTop="1">
      <c r="A102" s="483"/>
      <c r="B102" s="487" t="s">
        <v>1737</v>
      </c>
      <c r="C102" s="527" t="str">
        <f>C103&amp;"(含)"&amp;"-"&amp;D103</f>
        <v>0(含)-500</v>
      </c>
      <c r="D102" s="527" t="str">
        <f t="shared" ref="D102:L102" si="23">D103&amp;"(含)"&amp;"-"&amp;E103</f>
        <v>500(含)-1000</v>
      </c>
      <c r="E102" s="527" t="str">
        <f t="shared" si="23"/>
        <v>1000(含)-1500</v>
      </c>
      <c r="F102" s="527" t="str">
        <f t="shared" si="23"/>
        <v>1500(含)-2000</v>
      </c>
      <c r="G102" s="527" t="str">
        <f t="shared" si="23"/>
        <v>2000(含)-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500</v>
      </c>
      <c r="E103" s="544">
        <v>1000</v>
      </c>
      <c r="F103" s="544">
        <v>1500</v>
      </c>
      <c r="G103" s="544">
        <v>2000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98</v>
      </c>
      <c r="E104" s="485">
        <v>96</v>
      </c>
      <c r="F104" s="485">
        <v>94</v>
      </c>
      <c r="G104" s="485">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571" t="s">
        <v>3755</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571" t="s">
        <v>3756</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571" t="s">
        <v>3761</v>
      </c>
      <c r="D112" s="3571" t="s">
        <v>3762</v>
      </c>
      <c r="E112" s="3571" t="s">
        <v>3764</v>
      </c>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571" t="s">
        <v>3759</v>
      </c>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3576" t="s">
        <v>3757</v>
      </c>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99</v>
      </c>
      <c r="E121" s="493">
        <f t="shared" ref="E121:M121" si="29">D121-$K41</f>
        <v>98</v>
      </c>
      <c r="F121" s="493">
        <f t="shared" si="29"/>
        <v>97</v>
      </c>
      <c r="G121" s="493">
        <f t="shared" si="29"/>
        <v>96</v>
      </c>
      <c r="H121" s="493">
        <f t="shared" si="29"/>
        <v>95</v>
      </c>
      <c r="I121" s="493">
        <f t="shared" si="29"/>
        <v>94</v>
      </c>
      <c r="J121" s="493">
        <f t="shared" si="29"/>
        <v>93</v>
      </c>
      <c r="K121" s="493">
        <f t="shared" si="29"/>
        <v>92</v>
      </c>
      <c r="L121" s="493">
        <f t="shared" si="29"/>
        <v>91</v>
      </c>
      <c r="M121" s="494">
        <f t="shared" si="29"/>
        <v>90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206" priority="20" stopIfTrue="1" operator="containsText" text="超过">
      <formula>NOT(ISERROR(SEARCH("超过",F52)))</formula>
    </cfRule>
  </conditionalFormatting>
  <conditionalFormatting sqref="H54">
    <cfRule type="containsText" dxfId="205" priority="19" stopIfTrue="1" operator="containsText" text="超过">
      <formula>NOT(ISERROR(SEARCH("超过",H54)))</formula>
    </cfRule>
  </conditionalFormatting>
  <conditionalFormatting sqref="F54">
    <cfRule type="containsText" dxfId="204" priority="18" stopIfTrue="1" operator="containsText" text="超过">
      <formula>NOT(ISERROR(SEARCH("超过",F54)))</formula>
    </cfRule>
  </conditionalFormatting>
  <conditionalFormatting sqref="F53 H53">
    <cfRule type="containsText" dxfId="203" priority="17" stopIfTrue="1" operator="containsText" text="超过">
      <formula>NOT(ISERROR(SEARCH("超过",F53)))</formula>
    </cfRule>
  </conditionalFormatting>
  <conditionalFormatting sqref="E52">
    <cfRule type="expression" dxfId="202" priority="16" stopIfTrue="1">
      <formula>$F$52="超过30%"</formula>
    </cfRule>
  </conditionalFormatting>
  <conditionalFormatting sqref="E53">
    <cfRule type="expression" dxfId="201" priority="15" stopIfTrue="1">
      <formula>$F$53="超过20%"</formula>
    </cfRule>
  </conditionalFormatting>
  <conditionalFormatting sqref="E54">
    <cfRule type="expression" dxfId="200" priority="14" stopIfTrue="1">
      <formula>$F$54="超过30%"</formula>
    </cfRule>
  </conditionalFormatting>
  <conditionalFormatting sqref="G54">
    <cfRule type="expression" dxfId="199" priority="13" stopIfTrue="1">
      <formula>$H$54="超过30%"</formula>
    </cfRule>
  </conditionalFormatting>
  <conditionalFormatting sqref="G52">
    <cfRule type="expression" dxfId="198" priority="12" stopIfTrue="1">
      <formula>$H$52="超过30%"</formula>
    </cfRule>
  </conditionalFormatting>
  <conditionalFormatting sqref="G53">
    <cfRule type="expression" dxfId="197" priority="11" stopIfTrue="1">
      <formula>$H$53="超过20%"</formula>
    </cfRule>
  </conditionalFormatting>
  <conditionalFormatting sqref="J52">
    <cfRule type="containsText" dxfId="196" priority="10" stopIfTrue="1" operator="containsText" text="超过">
      <formula>NOT(ISERROR(SEARCH("超过",J52)))</formula>
    </cfRule>
  </conditionalFormatting>
  <conditionalFormatting sqref="J54">
    <cfRule type="containsText" dxfId="195" priority="9" stopIfTrue="1" operator="containsText" text="超过">
      <formula>NOT(ISERROR(SEARCH("超过",J54)))</formula>
    </cfRule>
  </conditionalFormatting>
  <conditionalFormatting sqref="J53">
    <cfRule type="containsText" dxfId="194" priority="8" stopIfTrue="1" operator="containsText" text="超过">
      <formula>NOT(ISERROR(SEARCH("超过",J53)))</formula>
    </cfRule>
  </conditionalFormatting>
  <conditionalFormatting sqref="I52">
    <cfRule type="expression" dxfId="193" priority="7" stopIfTrue="1">
      <formula>$J$52="超过30%"</formula>
    </cfRule>
  </conditionalFormatting>
  <conditionalFormatting sqref="I53">
    <cfRule type="expression" dxfId="192" priority="6" stopIfTrue="1">
      <formula>$J$53="超过20%"</formula>
    </cfRule>
  </conditionalFormatting>
  <conditionalFormatting sqref="I54">
    <cfRule type="expression" dxfId="191" priority="5" stopIfTrue="1">
      <formula>$J$54="超过30%"</formula>
    </cfRule>
  </conditionalFormatting>
  <conditionalFormatting sqref="F48">
    <cfRule type="expression" dxfId="190" priority="4">
      <formula>$D$48="简单平均"</formula>
    </cfRule>
  </conditionalFormatting>
  <conditionalFormatting sqref="H48">
    <cfRule type="expression" dxfId="189" priority="3">
      <formula>$D$48="简单平均"</formula>
    </cfRule>
  </conditionalFormatting>
  <conditionalFormatting sqref="J48">
    <cfRule type="expression" dxfId="188" priority="2">
      <formula>$D$48="简单平均"</formula>
    </cfRule>
  </conditionalFormatting>
  <conditionalFormatting sqref="F7:F46 H7:H46 J7:J46">
    <cfRule type="cellIs" dxfId="18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
  <sheetViews>
    <sheetView zoomScaleNormal="100" workbookViewId="0">
      <selection activeCell="Q18" sqref="Q18"/>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0" zoomScaleNormal="70" zoomScaleSheetLayoutView="80" workbookViewId="0">
      <selection activeCell="J37" sqref="J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2414.4300000000003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841" t="s">
        <v>1770</v>
      </c>
      <c r="D4" s="3842"/>
      <c r="E4" s="3843" t="s">
        <v>1771</v>
      </c>
      <c r="F4" s="3844"/>
      <c r="G4" s="3841" t="s">
        <v>1772</v>
      </c>
      <c r="H4" s="3842"/>
      <c r="I4" s="3841" t="s">
        <v>1773</v>
      </c>
      <c r="J4" s="3842"/>
      <c r="K4" s="559" t="s">
        <v>1774</v>
      </c>
      <c r="L4" s="2715"/>
      <c r="M4" s="2716"/>
      <c r="N4" s="2716"/>
      <c r="O4" s="2716"/>
      <c r="P4" s="3845" t="s">
        <v>1775</v>
      </c>
      <c r="Q4" s="3846"/>
      <c r="R4" s="3831" t="s">
        <v>1771</v>
      </c>
      <c r="S4" s="3832"/>
      <c r="T4" s="3831" t="s">
        <v>1772</v>
      </c>
      <c r="U4" s="3832"/>
      <c r="V4" s="3827" t="s">
        <v>1773</v>
      </c>
      <c r="W4" s="3827"/>
      <c r="X4" s="1355"/>
      <c r="Y4" s="3831" t="s">
        <v>1775</v>
      </c>
      <c r="Z4" s="3832"/>
      <c r="AA4" s="3837" t="s">
        <v>1771</v>
      </c>
      <c r="AB4" s="3827" t="s">
        <v>1772</v>
      </c>
      <c r="AC4" s="3837" t="s">
        <v>1773</v>
      </c>
    </row>
    <row r="5" spans="1:29" ht="15">
      <c r="A5" s="358"/>
      <c r="B5" s="359"/>
      <c r="C5" s="3859" t="str">
        <f>'售价比较法-商业'!C5:D5</f>
        <v>启迪科技大厦</v>
      </c>
      <c r="D5" s="3852"/>
      <c r="E5" s="3853" t="s">
        <v>3732</v>
      </c>
      <c r="F5" s="3854"/>
      <c r="G5" s="3851" t="s">
        <v>3734</v>
      </c>
      <c r="H5" s="3852"/>
      <c r="I5" s="3851" t="s">
        <v>3733</v>
      </c>
      <c r="J5" s="3852"/>
      <c r="K5" s="559"/>
      <c r="L5" s="2715"/>
      <c r="M5" s="2716"/>
      <c r="N5" s="2716"/>
      <c r="O5" s="2716"/>
      <c r="P5" s="3847"/>
      <c r="Q5" s="3848"/>
      <c r="R5" s="3833"/>
      <c r="S5" s="3834"/>
      <c r="T5" s="3833"/>
      <c r="U5" s="3834"/>
      <c r="V5" s="3827"/>
      <c r="W5" s="3827"/>
      <c r="X5" s="1355"/>
      <c r="Y5" s="3833"/>
      <c r="Z5" s="3834"/>
      <c r="AA5" s="3838"/>
      <c r="AB5" s="3827"/>
      <c r="AC5" s="3838"/>
    </row>
    <row r="6" spans="1:29" ht="15.75" thickBot="1">
      <c r="A6" s="360"/>
      <c r="B6" s="361"/>
      <c r="C6" s="3855" t="s">
        <v>1677</v>
      </c>
      <c r="D6" s="3856"/>
      <c r="E6" s="3857" t="s">
        <v>1677</v>
      </c>
      <c r="F6" s="3858"/>
      <c r="G6" s="3855" t="s">
        <v>1677</v>
      </c>
      <c r="H6" s="3856"/>
      <c r="I6" s="3855" t="s">
        <v>1677</v>
      </c>
      <c r="J6" s="3856"/>
      <c r="K6" s="559" t="s">
        <v>1678</v>
      </c>
      <c r="L6" s="2715"/>
      <c r="M6" s="2716"/>
      <c r="N6" s="2716"/>
      <c r="O6" s="2716"/>
      <c r="P6" s="3849"/>
      <c r="Q6" s="3850"/>
      <c r="R6" s="3833"/>
      <c r="S6" s="3834"/>
      <c r="T6" s="3835"/>
      <c r="U6" s="3836"/>
      <c r="V6" s="3827"/>
      <c r="W6" s="3827"/>
      <c r="X6" s="1355"/>
      <c r="Y6" s="3835"/>
      <c r="Z6" s="3836"/>
      <c r="AA6" s="3839"/>
      <c r="AB6" s="3827"/>
      <c r="AC6" s="3839"/>
    </row>
    <row r="7" spans="1:29" s="108" customFormat="1" ht="15.75" thickBot="1">
      <c r="A7" s="362" t="s">
        <v>1679</v>
      </c>
      <c r="B7" s="363"/>
      <c r="C7" s="364">
        <f>'数据-取费表'!B2</f>
        <v>45478</v>
      </c>
      <c r="D7" s="365">
        <v>100</v>
      </c>
      <c r="E7" s="366">
        <f>C7</f>
        <v>45478</v>
      </c>
      <c r="F7" s="367">
        <f>SUMIF(58:58,YEAR(E7)&amp;"-"&amp;MONTH(E7),59:59)</f>
        <v>100</v>
      </c>
      <c r="G7" s="366">
        <f>C7</f>
        <v>45478</v>
      </c>
      <c r="H7" s="365">
        <f>SUMIF(58:58,YEAR(G7)&amp;"-"&amp;MONTH(G7),59:59)</f>
        <v>100</v>
      </c>
      <c r="I7" s="366">
        <f>C7</f>
        <v>45478</v>
      </c>
      <c r="J7" s="365">
        <f>SUMIF(58:58,YEAR(I7)&amp;"-"&amp;MONTH(I7),59:59)</f>
        <v>100</v>
      </c>
      <c r="K7" s="560"/>
      <c r="L7" s="2717"/>
      <c r="M7" s="2718"/>
      <c r="N7" s="2718"/>
      <c r="O7" s="2718"/>
      <c r="P7" s="3828" t="s">
        <v>1680</v>
      </c>
      <c r="Q7" s="3840"/>
      <c r="R7" s="701" t="s">
        <v>14</v>
      </c>
      <c r="S7" s="702">
        <f t="shared" ref="S7:S15" si="0">F7</f>
        <v>100</v>
      </c>
      <c r="T7" s="701" t="s">
        <v>14</v>
      </c>
      <c r="U7" s="702">
        <f t="shared" ref="U7:U15" si="1">H7</f>
        <v>100</v>
      </c>
      <c r="V7" s="701" t="s">
        <v>14</v>
      </c>
      <c r="W7" s="702">
        <f t="shared" ref="W7:W15" si="2">J7</f>
        <v>100</v>
      </c>
      <c r="X7" s="703"/>
      <c r="Y7" s="3828" t="s">
        <v>1680</v>
      </c>
      <c r="Z7" s="3829"/>
      <c r="AA7" s="704">
        <f>D7/F7</f>
        <v>1</v>
      </c>
      <c r="AB7" s="704">
        <f>D7/H7</f>
        <v>1</v>
      </c>
      <c r="AC7" s="704">
        <f>D7/J7</f>
        <v>1</v>
      </c>
    </row>
    <row r="8" spans="1:29" s="108" customFormat="1" ht="15.75" thickBot="1">
      <c r="A8" s="362" t="s">
        <v>1681</v>
      </c>
      <c r="B8" s="363"/>
      <c r="C8" s="368" t="s">
        <v>3681</v>
      </c>
      <c r="D8" s="365">
        <v>100</v>
      </c>
      <c r="E8" s="368" t="s">
        <v>3681</v>
      </c>
      <c r="F8" s="367">
        <f>SUMIF(61:61,E8,62:62)-SUMIF(61:61,C8,62:62)+100</f>
        <v>100</v>
      </c>
      <c r="G8" s="368" t="s">
        <v>3681</v>
      </c>
      <c r="H8" s="365">
        <f>SUMIF(61:61,G8,62:62)-SUMIF(61:61,C8,62:62)+100</f>
        <v>100</v>
      </c>
      <c r="I8" s="368" t="s">
        <v>3681</v>
      </c>
      <c r="J8" s="365">
        <f>SUMIF(61:61,I8,62:62)-SUMIF(61:61,C8,62:62)+100</f>
        <v>100</v>
      </c>
      <c r="K8" s="560"/>
      <c r="L8" s="2717"/>
      <c r="M8" s="2718"/>
      <c r="N8" s="2718"/>
      <c r="O8" s="2718"/>
      <c r="P8" s="3828" t="s">
        <v>1683</v>
      </c>
      <c r="Q8" s="3829"/>
      <c r="R8" s="701" t="s">
        <v>14</v>
      </c>
      <c r="S8" s="702">
        <f t="shared" si="0"/>
        <v>100</v>
      </c>
      <c r="T8" s="701" t="s">
        <v>14</v>
      </c>
      <c r="U8" s="702">
        <f t="shared" si="1"/>
        <v>100</v>
      </c>
      <c r="V8" s="701" t="s">
        <v>14</v>
      </c>
      <c r="W8" s="702">
        <f t="shared" si="2"/>
        <v>100</v>
      </c>
      <c r="X8" s="703"/>
      <c r="Y8" s="3828" t="s">
        <v>1683</v>
      </c>
      <c r="Z8" s="3829"/>
      <c r="AA8" s="704">
        <f t="shared" ref="AA8:AA46" si="3">D8/F8</f>
        <v>1</v>
      </c>
      <c r="AB8" s="704">
        <f t="shared" ref="AB8:AB46" si="4">D8/H8</f>
        <v>1</v>
      </c>
      <c r="AC8" s="704">
        <f t="shared" ref="AC8:AC46" si="5">D8/J8</f>
        <v>1</v>
      </c>
    </row>
    <row r="9" spans="1:29" s="108" customFormat="1" ht="15" thickBot="1">
      <c r="A9" s="369" t="s">
        <v>1684</v>
      </c>
      <c r="B9" s="63" t="s">
        <v>1685</v>
      </c>
      <c r="C9" s="3549" t="s">
        <v>3735</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830" t="s">
        <v>1686</v>
      </c>
      <c r="Q9" s="1343" t="str">
        <f t="shared" ref="Q9:Q15" si="6">B9</f>
        <v>用途</v>
      </c>
      <c r="R9" s="701" t="s">
        <v>14</v>
      </c>
      <c r="S9" s="702">
        <f t="shared" si="0"/>
        <v>100</v>
      </c>
      <c r="T9" s="701" t="s">
        <v>14</v>
      </c>
      <c r="U9" s="702">
        <f t="shared" si="1"/>
        <v>100</v>
      </c>
      <c r="V9" s="701" t="s">
        <v>14</v>
      </c>
      <c r="W9" s="702">
        <f t="shared" si="2"/>
        <v>100</v>
      </c>
      <c r="X9" s="703"/>
      <c r="Y9" s="3738" t="s">
        <v>1687</v>
      </c>
      <c r="Z9" s="52" t="str">
        <f t="shared" ref="Z9:Z15" si="7">Q9</f>
        <v>用途</v>
      </c>
      <c r="AA9" s="704">
        <f t="shared" si="3"/>
        <v>1</v>
      </c>
      <c r="AB9" s="704">
        <f t="shared" si="4"/>
        <v>1</v>
      </c>
      <c r="AC9" s="704">
        <f t="shared" si="5"/>
        <v>1</v>
      </c>
    </row>
    <row r="10" spans="1:29" s="378" customFormat="1" ht="27" hidden="1">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30"/>
      <c r="Q10" s="1343" t="str">
        <f t="shared" si="6"/>
        <v>土地使用年限（年）</v>
      </c>
      <c r="R10" s="701" t="s">
        <v>14</v>
      </c>
      <c r="S10" s="702">
        <f t="shared" si="0"/>
        <v>100</v>
      </c>
      <c r="T10" s="701" t="s">
        <v>14</v>
      </c>
      <c r="U10" s="702">
        <f t="shared" si="1"/>
        <v>100</v>
      </c>
      <c r="V10" s="701" t="s">
        <v>14</v>
      </c>
      <c r="W10" s="702">
        <f t="shared" si="2"/>
        <v>100</v>
      </c>
      <c r="X10" s="703"/>
      <c r="Y10" s="3738"/>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v>1</v>
      </c>
      <c r="L11" s="2721"/>
      <c r="M11" s="2716"/>
      <c r="N11" s="2716"/>
      <c r="O11" s="2716"/>
      <c r="P11" s="3830"/>
      <c r="Q11" s="1343" t="str">
        <f t="shared" si="6"/>
        <v>容积率</v>
      </c>
      <c r="R11" s="701" t="s">
        <v>14</v>
      </c>
      <c r="S11" s="702">
        <f t="shared" si="0"/>
        <v>100</v>
      </c>
      <c r="T11" s="701" t="s">
        <v>14</v>
      </c>
      <c r="U11" s="702">
        <f t="shared" si="1"/>
        <v>100</v>
      </c>
      <c r="V11" s="701" t="s">
        <v>14</v>
      </c>
      <c r="W11" s="702">
        <f t="shared" si="2"/>
        <v>100</v>
      </c>
      <c r="X11" s="703"/>
      <c r="Y11" s="373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30"/>
      <c r="Q12" s="1343">
        <f t="shared" si="6"/>
        <v>111</v>
      </c>
      <c r="R12" s="701" t="s">
        <v>14</v>
      </c>
      <c r="S12" s="702">
        <f t="shared" si="0"/>
        <v>100</v>
      </c>
      <c r="T12" s="701" t="s">
        <v>14</v>
      </c>
      <c r="U12" s="702">
        <f t="shared" si="1"/>
        <v>100</v>
      </c>
      <c r="V12" s="701" t="s">
        <v>14</v>
      </c>
      <c r="W12" s="702">
        <f t="shared" si="2"/>
        <v>100</v>
      </c>
      <c r="X12" s="703"/>
      <c r="Y12" s="373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30"/>
      <c r="Q13" s="1343">
        <f t="shared" si="6"/>
        <v>111</v>
      </c>
      <c r="R13" s="701" t="s">
        <v>14</v>
      </c>
      <c r="S13" s="702">
        <f t="shared" si="0"/>
        <v>100</v>
      </c>
      <c r="T13" s="701" t="s">
        <v>14</v>
      </c>
      <c r="U13" s="702">
        <f t="shared" si="1"/>
        <v>100</v>
      </c>
      <c r="V13" s="701" t="s">
        <v>14</v>
      </c>
      <c r="W13" s="702">
        <f t="shared" si="2"/>
        <v>100</v>
      </c>
      <c r="X13" s="703"/>
      <c r="Y13" s="3738"/>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30"/>
      <c r="Q14" s="1343">
        <f t="shared" si="6"/>
        <v>111</v>
      </c>
      <c r="R14" s="701" t="s">
        <v>14</v>
      </c>
      <c r="S14" s="702">
        <f t="shared" si="0"/>
        <v>100</v>
      </c>
      <c r="T14" s="701" t="s">
        <v>14</v>
      </c>
      <c r="U14" s="702">
        <f t="shared" si="1"/>
        <v>100</v>
      </c>
      <c r="V14" s="701" t="s">
        <v>14</v>
      </c>
      <c r="W14" s="702">
        <f t="shared" si="2"/>
        <v>100</v>
      </c>
      <c r="X14" s="703"/>
      <c r="Y14" s="373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2"/>
      <c r="M15" s="2716"/>
      <c r="N15" s="2716"/>
      <c r="O15" s="2716"/>
      <c r="P15" s="3818" t="s">
        <v>1691</v>
      </c>
      <c r="Q15" s="1352" t="str">
        <f t="shared" si="6"/>
        <v>商业繁华度</v>
      </c>
      <c r="R15" s="705" t="s">
        <v>14</v>
      </c>
      <c r="S15" s="706">
        <f t="shared" si="0"/>
        <v>100</v>
      </c>
      <c r="T15" s="705" t="s">
        <v>14</v>
      </c>
      <c r="U15" s="706">
        <f t="shared" si="1"/>
        <v>100</v>
      </c>
      <c r="V15" s="705" t="s">
        <v>14</v>
      </c>
      <c r="W15" s="706">
        <f t="shared" si="2"/>
        <v>100</v>
      </c>
      <c r="X15" s="1355"/>
      <c r="Y15" s="3820" t="s">
        <v>1691</v>
      </c>
      <c r="Z15" s="1356" t="str">
        <f t="shared" si="7"/>
        <v>商业繁华度</v>
      </c>
      <c r="AA15" s="1353">
        <f t="shared" si="3"/>
        <v>1</v>
      </c>
      <c r="AB15" s="1353">
        <f t="shared" si="4"/>
        <v>1</v>
      </c>
      <c r="AC15" s="1353">
        <f t="shared" si="5"/>
        <v>1</v>
      </c>
    </row>
    <row r="16" spans="1:29" ht="15">
      <c r="A16" s="379"/>
      <c r="B16" s="397"/>
      <c r="C16" s="398" t="s">
        <v>3683</v>
      </c>
      <c r="D16" s="399"/>
      <c r="E16" s="398" t="s">
        <v>3683</v>
      </c>
      <c r="F16" s="400"/>
      <c r="G16" s="398" t="s">
        <v>3683</v>
      </c>
      <c r="H16" s="401"/>
      <c r="I16" s="398" t="s">
        <v>3683</v>
      </c>
      <c r="J16" s="399"/>
      <c r="K16" s="564"/>
      <c r="L16" s="2722"/>
      <c r="M16" s="2716"/>
      <c r="N16" s="2716"/>
      <c r="O16" s="2716"/>
      <c r="P16" s="3819"/>
      <c r="Q16" s="1352"/>
      <c r="R16" s="705"/>
      <c r="S16" s="706"/>
      <c r="T16" s="705"/>
      <c r="U16" s="706"/>
      <c r="V16" s="705"/>
      <c r="W16" s="706"/>
      <c r="X16" s="1355"/>
      <c r="Y16" s="382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819"/>
      <c r="Q17" s="1352" t="str">
        <f>B17</f>
        <v>交通便捷度</v>
      </c>
      <c r="R17" s="705" t="s">
        <v>14</v>
      </c>
      <c r="S17" s="706">
        <f>F17</f>
        <v>100</v>
      </c>
      <c r="T17" s="705" t="s">
        <v>14</v>
      </c>
      <c r="U17" s="706">
        <f>H17</f>
        <v>100</v>
      </c>
      <c r="V17" s="705" t="s">
        <v>14</v>
      </c>
      <c r="W17" s="706">
        <f>J17</f>
        <v>100</v>
      </c>
      <c r="X17" s="1355"/>
      <c r="Y17" s="3821"/>
      <c r="Z17" s="1356" t="str">
        <f>Q17</f>
        <v>交通便捷度</v>
      </c>
      <c r="AA17" s="1353">
        <f t="shared" si="3"/>
        <v>1</v>
      </c>
      <c r="AB17" s="1353">
        <f t="shared" si="4"/>
        <v>1</v>
      </c>
      <c r="AC17" s="1353">
        <f t="shared" si="5"/>
        <v>1</v>
      </c>
    </row>
    <row r="18" spans="1:29" ht="15">
      <c r="A18" s="379"/>
      <c r="B18" s="407"/>
      <c r="C18" s="398" t="s">
        <v>3683</v>
      </c>
      <c r="D18" s="401"/>
      <c r="E18" s="398" t="s">
        <v>3683</v>
      </c>
      <c r="F18" s="404"/>
      <c r="G18" s="398" t="s">
        <v>3683</v>
      </c>
      <c r="H18" s="399"/>
      <c r="I18" s="398" t="s">
        <v>3683</v>
      </c>
      <c r="J18" s="399"/>
      <c r="K18" s="564"/>
      <c r="L18" s="2722"/>
      <c r="M18" s="2716"/>
      <c r="N18" s="2716"/>
      <c r="O18" s="2716"/>
      <c r="P18" s="3819"/>
      <c r="Q18" s="1352"/>
      <c r="R18" s="705"/>
      <c r="S18" s="706"/>
      <c r="T18" s="705"/>
      <c r="U18" s="706"/>
      <c r="V18" s="705"/>
      <c r="W18" s="706"/>
      <c r="X18" s="1355"/>
      <c r="Y18" s="382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819"/>
      <c r="Q19" s="1352" t="str">
        <f>B19</f>
        <v>公共配套设施</v>
      </c>
      <c r="R19" s="705" t="s">
        <v>14</v>
      </c>
      <c r="S19" s="706">
        <f>F19</f>
        <v>100</v>
      </c>
      <c r="T19" s="705" t="s">
        <v>14</v>
      </c>
      <c r="U19" s="706">
        <f>H19</f>
        <v>100</v>
      </c>
      <c r="V19" s="705" t="s">
        <v>14</v>
      </c>
      <c r="W19" s="706">
        <f>J19</f>
        <v>100</v>
      </c>
      <c r="X19" s="1355"/>
      <c r="Y19" s="3821"/>
      <c r="Z19" s="1356" t="str">
        <f>Q19</f>
        <v>公共配套设施</v>
      </c>
      <c r="AA19" s="1353">
        <f t="shared" si="3"/>
        <v>1</v>
      </c>
      <c r="AB19" s="1353">
        <f t="shared" si="4"/>
        <v>1</v>
      </c>
      <c r="AC19" s="1353">
        <f t="shared" si="5"/>
        <v>1</v>
      </c>
    </row>
    <row r="20" spans="1:29" ht="15">
      <c r="A20" s="379"/>
      <c r="B20" s="407"/>
      <c r="C20" s="398" t="s">
        <v>3683</v>
      </c>
      <c r="D20" s="399"/>
      <c r="E20" s="398" t="s">
        <v>3683</v>
      </c>
      <c r="F20" s="400"/>
      <c r="G20" s="398" t="s">
        <v>3683</v>
      </c>
      <c r="H20" s="399"/>
      <c r="I20" s="1898" t="s">
        <v>3683</v>
      </c>
      <c r="J20" s="399"/>
      <c r="K20" s="564"/>
      <c r="L20" s="2722"/>
      <c r="M20" s="2716"/>
      <c r="N20" s="2716"/>
      <c r="O20" s="2716"/>
      <c r="P20" s="3819"/>
      <c r="Q20" s="1352"/>
      <c r="R20" s="705"/>
      <c r="S20" s="706"/>
      <c r="T20" s="705"/>
      <c r="U20" s="706"/>
      <c r="V20" s="705"/>
      <c r="W20" s="706"/>
      <c r="X20" s="1355"/>
      <c r="Y20" s="382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819"/>
      <c r="Q21" s="1352" t="str">
        <f>B21</f>
        <v>基础设施水平</v>
      </c>
      <c r="R21" s="705" t="s">
        <v>14</v>
      </c>
      <c r="S21" s="706">
        <f>F21</f>
        <v>100</v>
      </c>
      <c r="T21" s="705" t="s">
        <v>14</v>
      </c>
      <c r="U21" s="706">
        <f>H21</f>
        <v>100</v>
      </c>
      <c r="V21" s="705" t="s">
        <v>14</v>
      </c>
      <c r="W21" s="706">
        <f>J21</f>
        <v>100</v>
      </c>
      <c r="X21" s="1355"/>
      <c r="Y21" s="3821"/>
      <c r="Z21" s="1356" t="str">
        <f>Q21</f>
        <v>基础设施水平</v>
      </c>
      <c r="AA21" s="1353">
        <f t="shared" ref="AA21" si="8">D21/F21</f>
        <v>1</v>
      </c>
      <c r="AB21" s="1353">
        <f t="shared" ref="AB21" si="9">D21/H21</f>
        <v>1</v>
      </c>
      <c r="AC21" s="1353">
        <f t="shared" ref="AC21" si="10">D21/J21</f>
        <v>1</v>
      </c>
    </row>
    <row r="22" spans="1:29" ht="15">
      <c r="A22" s="379"/>
      <c r="B22" s="1131"/>
      <c r="C22" s="1901" t="s">
        <v>3684</v>
      </c>
      <c r="D22" s="399"/>
      <c r="E22" s="1901" t="s">
        <v>3684</v>
      </c>
      <c r="F22" s="400"/>
      <c r="G22" s="1901" t="s">
        <v>3684</v>
      </c>
      <c r="H22" s="399"/>
      <c r="I22" s="398" t="s">
        <v>3684</v>
      </c>
      <c r="J22" s="399"/>
      <c r="K22" s="1130"/>
      <c r="L22" s="2722"/>
      <c r="M22" s="2716"/>
      <c r="N22" s="2716"/>
      <c r="O22" s="2716"/>
      <c r="P22" s="3819"/>
      <c r="Q22" s="1352"/>
      <c r="R22" s="705"/>
      <c r="S22" s="706"/>
      <c r="T22" s="705"/>
      <c r="U22" s="706"/>
      <c r="V22" s="705"/>
      <c r="W22" s="706"/>
      <c r="X22" s="1355"/>
      <c r="Y22" s="382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819"/>
      <c r="Q23" s="1352" t="str">
        <f>B23</f>
        <v>自然及人文环境</v>
      </c>
      <c r="R23" s="705" t="s">
        <v>14</v>
      </c>
      <c r="S23" s="706">
        <f>F23</f>
        <v>100</v>
      </c>
      <c r="T23" s="705" t="s">
        <v>14</v>
      </c>
      <c r="U23" s="706">
        <f>H23</f>
        <v>100</v>
      </c>
      <c r="V23" s="705" t="s">
        <v>14</v>
      </c>
      <c r="W23" s="706">
        <f>J23</f>
        <v>100</v>
      </c>
      <c r="X23" s="1355"/>
      <c r="Y23" s="3821"/>
      <c r="Z23" s="1356" t="str">
        <f>Q23</f>
        <v>自然及人文环境</v>
      </c>
      <c r="AA23" s="1353">
        <f t="shared" si="3"/>
        <v>1</v>
      </c>
      <c r="AB23" s="1353">
        <f t="shared" si="4"/>
        <v>1</v>
      </c>
      <c r="AC23" s="1353">
        <f t="shared" si="5"/>
        <v>1</v>
      </c>
    </row>
    <row r="24" spans="1:29" ht="15">
      <c r="A24" s="379"/>
      <c r="B24" s="407"/>
      <c r="C24" s="398" t="s">
        <v>3683</v>
      </c>
      <c r="D24" s="399"/>
      <c r="E24" s="398" t="s">
        <v>3683</v>
      </c>
      <c r="F24" s="400"/>
      <c r="G24" s="398" t="s">
        <v>3683</v>
      </c>
      <c r="H24" s="399"/>
      <c r="I24" s="398" t="s">
        <v>3683</v>
      </c>
      <c r="J24" s="399"/>
      <c r="K24" s="564"/>
      <c r="L24" s="2722"/>
      <c r="M24" s="2716"/>
      <c r="N24" s="2716"/>
      <c r="O24" s="2716"/>
      <c r="P24" s="3819"/>
      <c r="Q24" s="1352"/>
      <c r="R24" s="705"/>
      <c r="S24" s="706"/>
      <c r="T24" s="705"/>
      <c r="U24" s="706"/>
      <c r="V24" s="705"/>
      <c r="W24" s="706"/>
      <c r="X24" s="1355"/>
      <c r="Y24" s="3821"/>
      <c r="Z24" s="1356"/>
      <c r="AA24" s="1353">
        <v>1</v>
      </c>
      <c r="AB24" s="1353">
        <v>1</v>
      </c>
      <c r="AC24" s="1353">
        <v>1</v>
      </c>
    </row>
    <row r="25" spans="1:29" ht="15">
      <c r="A25" s="379"/>
      <c r="B25" s="375" t="s">
        <v>1780</v>
      </c>
      <c r="C25" s="565" t="s">
        <v>3752</v>
      </c>
      <c r="D25" s="386">
        <v>100</v>
      </c>
      <c r="E25" s="565" t="s">
        <v>3738</v>
      </c>
      <c r="F25" s="412">
        <f>SUMIF(86:86,E25,87:87)-SUMIF(86:86,C25,87:87)+100</f>
        <v>103</v>
      </c>
      <c r="G25" s="565" t="s">
        <v>3738</v>
      </c>
      <c r="H25" s="386">
        <f>SUMIF(86:86,G25,87:87)-SUMIF(86:86,C25,87:87)+100</f>
        <v>103</v>
      </c>
      <c r="I25" s="565" t="s">
        <v>3738</v>
      </c>
      <c r="J25" s="386">
        <f>SUMIF(86:86,I25,87:87)-SUMIF(86:86,C25,87:87)+100</f>
        <v>103</v>
      </c>
      <c r="K25" s="561">
        <v>3</v>
      </c>
      <c r="L25" s="2722"/>
      <c r="M25" s="2716"/>
      <c r="N25" s="2716"/>
      <c r="O25" s="2716"/>
      <c r="P25" s="3819"/>
      <c r="Q25" s="1352" t="str">
        <f t="shared" ref="Q25:Q46" si="11">B25</f>
        <v>临街状况</v>
      </c>
      <c r="R25" s="705" t="s">
        <v>14</v>
      </c>
      <c r="S25" s="706">
        <f>F25</f>
        <v>103</v>
      </c>
      <c r="T25" s="705" t="s">
        <v>14</v>
      </c>
      <c r="U25" s="706">
        <f>H25</f>
        <v>103</v>
      </c>
      <c r="V25" s="705" t="s">
        <v>14</v>
      </c>
      <c r="W25" s="706">
        <f>J25</f>
        <v>103</v>
      </c>
      <c r="X25" s="1355"/>
      <c r="Y25" s="3821"/>
      <c r="Z25" s="1356" t="str">
        <f>Q25</f>
        <v>临街状况</v>
      </c>
      <c r="AA25" s="1353">
        <f t="shared" si="3"/>
        <v>0.970873786407767</v>
      </c>
      <c r="AB25" s="1353">
        <f t="shared" si="4"/>
        <v>0.970873786407767</v>
      </c>
      <c r="AC25" s="1353">
        <f t="shared" si="5"/>
        <v>0.970873786407767</v>
      </c>
    </row>
    <row r="26" spans="1:29" ht="15">
      <c r="A26" s="379"/>
      <c r="B26" s="1133" t="s">
        <v>1781</v>
      </c>
      <c r="C26" s="3575" t="s">
        <v>3748</v>
      </c>
      <c r="D26" s="386">
        <v>100</v>
      </c>
      <c r="E26" s="3575" t="s">
        <v>3749</v>
      </c>
      <c r="F26" s="412">
        <f>SUMIF(88:88,E26,89:89)-SUMIF(88:88,C26,89:89)+100</f>
        <v>102</v>
      </c>
      <c r="G26" s="3575" t="s">
        <v>3750</v>
      </c>
      <c r="H26" s="386">
        <f>SUMIF(88:88,G26,89:89)-SUMIF(88:88,C26,89:89)+100</f>
        <v>102</v>
      </c>
      <c r="I26" s="3575" t="s">
        <v>3751</v>
      </c>
      <c r="J26" s="386">
        <f>SUMIF(88:88,I26,89:89)-SUMIF(88:88,C26,89:89)+100</f>
        <v>102</v>
      </c>
      <c r="K26" s="562"/>
      <c r="L26" s="2722"/>
      <c r="M26" s="2716"/>
      <c r="N26" s="2716"/>
      <c r="O26" s="2716"/>
      <c r="P26" s="3819"/>
      <c r="Q26" s="1352" t="str">
        <f t="shared" si="11"/>
        <v>平面位置/可视性</v>
      </c>
      <c r="R26" s="705" t="s">
        <v>14</v>
      </c>
      <c r="S26" s="706">
        <f>F26</f>
        <v>102</v>
      </c>
      <c r="T26" s="705" t="s">
        <v>14</v>
      </c>
      <c r="U26" s="706">
        <f>H26</f>
        <v>102</v>
      </c>
      <c r="V26" s="705" t="s">
        <v>14</v>
      </c>
      <c r="W26" s="706">
        <f>J26</f>
        <v>102</v>
      </c>
      <c r="X26" s="1355"/>
      <c r="Y26" s="3821"/>
      <c r="Z26" s="1356" t="str">
        <f>Q26</f>
        <v>平面位置/可视性</v>
      </c>
      <c r="AA26" s="1353">
        <f t="shared" si="3"/>
        <v>0.98039215686274506</v>
      </c>
      <c r="AB26" s="1353">
        <f t="shared" si="4"/>
        <v>0.98039215686274506</v>
      </c>
      <c r="AC26" s="1353">
        <f t="shared" si="5"/>
        <v>0.98039215686274506</v>
      </c>
    </row>
    <row r="27" spans="1:29" s="108" customFormat="1" ht="15">
      <c r="A27" s="382"/>
      <c r="B27" s="402" t="s">
        <v>1782</v>
      </c>
      <c r="C27" s="1956" t="s">
        <v>3741</v>
      </c>
      <c r="D27" s="413">
        <v>100</v>
      </c>
      <c r="E27" s="1956" t="s">
        <v>3683</v>
      </c>
      <c r="F27" s="415">
        <f>SUMIF(90:90,E27,91:91)-SUMIF(90:90,C27,91:91)+100</f>
        <v>102</v>
      </c>
      <c r="G27" s="1956" t="s">
        <v>3683</v>
      </c>
      <c r="H27" s="413">
        <f>SUMIF(90:90,G27,91:91)-SUMIF(90:90,C27,91:91)+100</f>
        <v>102</v>
      </c>
      <c r="I27" s="1956" t="s">
        <v>3683</v>
      </c>
      <c r="J27" s="413">
        <f>SUMIF(90:90,I27,91:91)-SUMIF(90:90,C27,91:91)+100</f>
        <v>102</v>
      </c>
      <c r="K27" s="561">
        <v>2</v>
      </c>
      <c r="L27" s="2717"/>
      <c r="M27" s="2718"/>
      <c r="N27" s="2718"/>
      <c r="O27" s="2718"/>
      <c r="P27" s="3819"/>
      <c r="Q27" s="1343" t="str">
        <f t="shared" si="11"/>
        <v>人流量</v>
      </c>
      <c r="R27" s="701" t="s">
        <v>14</v>
      </c>
      <c r="S27" s="702">
        <f>F27</f>
        <v>102</v>
      </c>
      <c r="T27" s="701" t="s">
        <v>14</v>
      </c>
      <c r="U27" s="702">
        <f>H27</f>
        <v>102</v>
      </c>
      <c r="V27" s="701" t="s">
        <v>14</v>
      </c>
      <c r="W27" s="702">
        <f>J27</f>
        <v>102</v>
      </c>
      <c r="X27" s="703"/>
      <c r="Y27" s="3821"/>
      <c r="Z27" s="52" t="str">
        <f>Q27</f>
        <v>人流量</v>
      </c>
      <c r="AA27" s="1353">
        <f>D27/F27</f>
        <v>0.98039215686274506</v>
      </c>
      <c r="AB27" s="1353">
        <f>D27/H27</f>
        <v>0.98039215686274506</v>
      </c>
      <c r="AC27" s="1353">
        <f>D27/J27</f>
        <v>0.98039215686274506</v>
      </c>
    </row>
    <row r="28" spans="1:29" ht="15.75" thickBot="1">
      <c r="A28" s="379"/>
      <c r="B28" s="375" t="s">
        <v>1783</v>
      </c>
      <c r="C28" s="565" t="s">
        <v>3754</v>
      </c>
      <c r="D28" s="386">
        <v>100</v>
      </c>
      <c r="E28" s="565" t="s">
        <v>3754</v>
      </c>
      <c r="F28" s="412">
        <f>SUMIF(92:92,E28,93:93)-SUMIF(92:92,C28,93:93)+100</f>
        <v>100</v>
      </c>
      <c r="G28" s="565" t="s">
        <v>3754</v>
      </c>
      <c r="H28" s="386">
        <f>SUMIF(92:92,G28,93:93)-SUMIF(92:92,C28,93:93)+100</f>
        <v>100</v>
      </c>
      <c r="I28" s="565" t="s">
        <v>3754</v>
      </c>
      <c r="J28" s="386">
        <f>SUMIF(92:92,I28,93:93)-SUMIF(92:92,C28,93:93)+100</f>
        <v>100</v>
      </c>
      <c r="K28" s="562"/>
      <c r="L28" s="2722"/>
      <c r="M28" s="2716"/>
      <c r="N28" s="2716"/>
      <c r="O28" s="2716"/>
      <c r="P28" s="381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1"/>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19"/>
      <c r="Q29" s="1352">
        <f t="shared" si="11"/>
        <v>111</v>
      </c>
      <c r="R29" s="705" t="s">
        <v>14</v>
      </c>
      <c r="S29" s="706">
        <f t="shared" si="12"/>
        <v>100</v>
      </c>
      <c r="T29" s="705" t="s">
        <v>14</v>
      </c>
      <c r="U29" s="706">
        <f t="shared" si="13"/>
        <v>100</v>
      </c>
      <c r="V29" s="705" t="s">
        <v>14</v>
      </c>
      <c r="W29" s="706">
        <f t="shared" si="14"/>
        <v>100</v>
      </c>
      <c r="X29" s="1355"/>
      <c r="Y29" s="3821"/>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19"/>
      <c r="Q30" s="1352">
        <f t="shared" si="11"/>
        <v>111</v>
      </c>
      <c r="R30" s="705" t="s">
        <v>14</v>
      </c>
      <c r="S30" s="706">
        <f t="shared" si="12"/>
        <v>100</v>
      </c>
      <c r="T30" s="705" t="s">
        <v>14</v>
      </c>
      <c r="U30" s="706">
        <f t="shared" si="13"/>
        <v>100</v>
      </c>
      <c r="V30" s="705" t="s">
        <v>14</v>
      </c>
      <c r="W30" s="706">
        <f t="shared" si="14"/>
        <v>100</v>
      </c>
      <c r="X30" s="1355"/>
      <c r="Y30" s="3821"/>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19"/>
      <c r="Q31" s="1352">
        <f t="shared" si="11"/>
        <v>111</v>
      </c>
      <c r="R31" s="705" t="s">
        <v>14</v>
      </c>
      <c r="S31" s="706">
        <f t="shared" si="12"/>
        <v>100</v>
      </c>
      <c r="T31" s="705" t="s">
        <v>14</v>
      </c>
      <c r="U31" s="706">
        <f t="shared" si="13"/>
        <v>100</v>
      </c>
      <c r="V31" s="705" t="s">
        <v>14</v>
      </c>
      <c r="W31" s="706">
        <f t="shared" si="14"/>
        <v>100</v>
      </c>
      <c r="X31" s="1355"/>
      <c r="Y31" s="3821"/>
      <c r="Z31" s="1356">
        <f t="shared" si="15"/>
        <v>111</v>
      </c>
      <c r="AA31" s="1353">
        <f t="shared" si="3"/>
        <v>1</v>
      </c>
      <c r="AB31" s="1353">
        <f t="shared" si="4"/>
        <v>1</v>
      </c>
      <c r="AC31" s="1353">
        <f t="shared" si="5"/>
        <v>1</v>
      </c>
    </row>
    <row r="32" spans="1:29" ht="15">
      <c r="A32" s="391" t="s">
        <v>1694</v>
      </c>
      <c r="B32" s="63" t="s">
        <v>1784</v>
      </c>
      <c r="C32" s="1910" t="s">
        <v>3730</v>
      </c>
      <c r="D32" s="418">
        <v>100</v>
      </c>
      <c r="E32" s="1910" t="s">
        <v>3730</v>
      </c>
      <c r="F32" s="412">
        <f>SUMIF(100:100,E32,101:101)-SUMIF(100:100,C32,101:101)+100</f>
        <v>100</v>
      </c>
      <c r="G32" s="1910" t="s">
        <v>3730</v>
      </c>
      <c r="H32" s="386">
        <f>SUMIF(100:100,G32,101:101)-SUMIF(100:100,C32,101:101)+100</f>
        <v>100</v>
      </c>
      <c r="I32" s="1910" t="s">
        <v>3730</v>
      </c>
      <c r="J32" s="418">
        <f>SUMIF(100:100,I32,101:101)-SUMIF(100:100,C32,101:101)+100</f>
        <v>100</v>
      </c>
      <c r="K32" s="561">
        <v>3</v>
      </c>
      <c r="L32" s="2722"/>
      <c r="M32" s="2716"/>
      <c r="N32" s="2716"/>
      <c r="O32" s="2716"/>
      <c r="P32" s="3822" t="s">
        <v>1696</v>
      </c>
      <c r="Q32" s="1352" t="str">
        <f t="shared" si="11"/>
        <v>商业类型</v>
      </c>
      <c r="R32" s="705" t="s">
        <v>14</v>
      </c>
      <c r="S32" s="706">
        <f t="shared" si="12"/>
        <v>100</v>
      </c>
      <c r="T32" s="705" t="s">
        <v>14</v>
      </c>
      <c r="U32" s="706">
        <f t="shared" si="13"/>
        <v>100</v>
      </c>
      <c r="V32" s="705" t="s">
        <v>14</v>
      </c>
      <c r="W32" s="706">
        <f t="shared" si="14"/>
        <v>100</v>
      </c>
      <c r="X32" s="1355"/>
      <c r="Y32" s="3825" t="s">
        <v>1696</v>
      </c>
      <c r="Z32" s="1356" t="str">
        <f t="shared" si="15"/>
        <v>商业类型</v>
      </c>
      <c r="AA32" s="1353">
        <f t="shared" si="3"/>
        <v>1</v>
      </c>
      <c r="AB32" s="1353">
        <f t="shared" si="4"/>
        <v>1</v>
      </c>
      <c r="AC32" s="1353">
        <f t="shared" si="5"/>
        <v>1</v>
      </c>
    </row>
    <row r="33" spans="1:29" s="422" customFormat="1" ht="15">
      <c r="A33" s="419"/>
      <c r="B33" s="375" t="s">
        <v>1697</v>
      </c>
      <c r="C33" s="420">
        <f>'数据-汇总表'!E19</f>
        <v>1078.0900000000001</v>
      </c>
      <c r="D33" s="127">
        <v>100</v>
      </c>
      <c r="E33" s="381">
        <v>150</v>
      </c>
      <c r="F33" s="376">
        <f>LOOKUP(E33,103:103,104:104)-LOOKUP(C33,103:103,104:104)+100</f>
        <v>104</v>
      </c>
      <c r="G33" s="380">
        <v>350</v>
      </c>
      <c r="H33" s="127">
        <f>LOOKUP(G33,103:103,104:104)-LOOKUP(C33,103:103,104:104)+100</f>
        <v>104</v>
      </c>
      <c r="I33" s="380">
        <v>460</v>
      </c>
      <c r="J33" s="127">
        <f>LOOKUP(I33,103:103,104:104)-LOOKUP(C33,103:103,104:104)+100</f>
        <v>104</v>
      </c>
      <c r="K33" s="562"/>
      <c r="L33" s="2721"/>
      <c r="M33" s="2723"/>
      <c r="N33" s="2723"/>
      <c r="O33" s="2723"/>
      <c r="P33" s="3823"/>
      <c r="Q33" s="707" t="str">
        <f t="shared" si="11"/>
        <v>项目建筑规模</v>
      </c>
      <c r="R33" s="708" t="s">
        <v>14</v>
      </c>
      <c r="S33" s="709">
        <f t="shared" si="12"/>
        <v>104</v>
      </c>
      <c r="T33" s="708" t="s">
        <v>14</v>
      </c>
      <c r="U33" s="709">
        <f t="shared" si="13"/>
        <v>104</v>
      </c>
      <c r="V33" s="708" t="s">
        <v>14</v>
      </c>
      <c r="W33" s="709">
        <f t="shared" si="14"/>
        <v>104</v>
      </c>
      <c r="X33" s="710"/>
      <c r="Y33" s="3825"/>
      <c r="Z33" s="711" t="str">
        <f t="shared" si="15"/>
        <v>项目建筑规模</v>
      </c>
      <c r="AA33" s="1353">
        <f t="shared" si="3"/>
        <v>0.96153846153846156</v>
      </c>
      <c r="AB33" s="1353">
        <f t="shared" si="4"/>
        <v>0.96153846153846156</v>
      </c>
      <c r="AC33" s="1353">
        <f t="shared" si="5"/>
        <v>0.96153846153846156</v>
      </c>
    </row>
    <row r="34" spans="1:29" ht="15">
      <c r="A34" s="423"/>
      <c r="B34" s="375" t="s">
        <v>1698</v>
      </c>
      <c r="C34" s="1912" t="s">
        <v>3706</v>
      </c>
      <c r="D34" s="386">
        <v>100</v>
      </c>
      <c r="E34" s="1912" t="s">
        <v>3706</v>
      </c>
      <c r="F34" s="412">
        <f>SUMIF(105:105,E34,106:106)-SUMIF(105:105,C34,106:106)+100</f>
        <v>100</v>
      </c>
      <c r="G34" s="1912" t="s">
        <v>3706</v>
      </c>
      <c r="H34" s="386">
        <f>SUMIF(105:105,G34,106:106)-SUMIF(105:105,C34,106:106)+100</f>
        <v>100</v>
      </c>
      <c r="I34" s="1912" t="s">
        <v>3706</v>
      </c>
      <c r="J34" s="386">
        <f>SUMIF(105:105,I34,106:106)-SUMIF(105:105,C34,106:106)+100</f>
        <v>100</v>
      </c>
      <c r="K34" s="561">
        <v>2</v>
      </c>
      <c r="L34" s="2722"/>
      <c r="M34" s="2716"/>
      <c r="N34" s="2716"/>
      <c r="O34" s="2716"/>
      <c r="P34" s="3823"/>
      <c r="Q34" s="1352" t="str">
        <f t="shared" si="11"/>
        <v>建筑结构</v>
      </c>
      <c r="R34" s="705" t="s">
        <v>14</v>
      </c>
      <c r="S34" s="706">
        <f t="shared" si="12"/>
        <v>100</v>
      </c>
      <c r="T34" s="705" t="s">
        <v>14</v>
      </c>
      <c r="U34" s="706">
        <f t="shared" si="13"/>
        <v>100</v>
      </c>
      <c r="V34" s="705" t="s">
        <v>14</v>
      </c>
      <c r="W34" s="706">
        <f t="shared" si="14"/>
        <v>100</v>
      </c>
      <c r="X34" s="1355"/>
      <c r="Y34" s="3825"/>
      <c r="Z34" s="1356" t="str">
        <f t="shared" si="15"/>
        <v>建筑结构</v>
      </c>
      <c r="AA34" s="1353">
        <f t="shared" si="3"/>
        <v>1</v>
      </c>
      <c r="AB34" s="1353">
        <f t="shared" si="4"/>
        <v>1</v>
      </c>
      <c r="AC34" s="1353">
        <f t="shared" si="5"/>
        <v>1</v>
      </c>
    </row>
    <row r="35" spans="1:29" ht="15">
      <c r="A35" s="423"/>
      <c r="B35" s="375" t="s">
        <v>1785</v>
      </c>
      <c r="C35" s="1906" t="s">
        <v>3708</v>
      </c>
      <c r="D35" s="386">
        <v>100</v>
      </c>
      <c r="E35" s="1906" t="s">
        <v>3708</v>
      </c>
      <c r="F35" s="412">
        <f>SUMIF(107:107,E35,108:108)-SUMIF(107:107,C35,108:108)+100</f>
        <v>100</v>
      </c>
      <c r="G35" s="1906" t="s">
        <v>3708</v>
      </c>
      <c r="H35" s="386">
        <f>SUMIF(107:107,G35,108:108)-SUMIF(107:107,C35,108:108)+100</f>
        <v>100</v>
      </c>
      <c r="I35" s="1906" t="s">
        <v>3708</v>
      </c>
      <c r="J35" s="386">
        <f>SUMIF(107:107,I35,108:108)-SUMIF(107:107,C35,108:108)+100</f>
        <v>100</v>
      </c>
      <c r="K35" s="561">
        <v>2</v>
      </c>
      <c r="L35" s="2722"/>
      <c r="M35" s="2716"/>
      <c r="N35" s="2716"/>
      <c r="O35" s="2716"/>
      <c r="P35" s="3823"/>
      <c r="Q35" s="1352" t="str">
        <f t="shared" si="11"/>
        <v>公共部分装修</v>
      </c>
      <c r="R35" s="705" t="s">
        <v>14</v>
      </c>
      <c r="S35" s="706">
        <f t="shared" si="12"/>
        <v>100</v>
      </c>
      <c r="T35" s="705" t="s">
        <v>14</v>
      </c>
      <c r="U35" s="706">
        <f t="shared" si="13"/>
        <v>100</v>
      </c>
      <c r="V35" s="705" t="s">
        <v>14</v>
      </c>
      <c r="W35" s="706">
        <f t="shared" si="14"/>
        <v>100</v>
      </c>
      <c r="X35" s="1355"/>
      <c r="Y35" s="3825"/>
      <c r="Z35" s="1356" t="str">
        <f t="shared" si="15"/>
        <v>公共部分装修</v>
      </c>
      <c r="AA35" s="1353">
        <f t="shared" si="3"/>
        <v>1</v>
      </c>
      <c r="AB35" s="1353">
        <f t="shared" si="4"/>
        <v>1</v>
      </c>
      <c r="AC35" s="1353">
        <f t="shared" si="5"/>
        <v>1</v>
      </c>
    </row>
    <row r="36" spans="1:29" ht="15">
      <c r="A36" s="423"/>
      <c r="B36" s="375" t="s">
        <v>1786</v>
      </c>
      <c r="C36" s="425">
        <v>0.7</v>
      </c>
      <c r="D36" s="386">
        <v>100</v>
      </c>
      <c r="E36" s="425">
        <v>0.7</v>
      </c>
      <c r="F36" s="412">
        <f>LOOKUP(E36,110:110,111:111)-LOOKUP(C36,110:110,111:111)+100</f>
        <v>100</v>
      </c>
      <c r="G36" s="425">
        <v>0.7</v>
      </c>
      <c r="H36" s="412">
        <f>LOOKUP(G36,110:110,111:111)-LOOKUP(C36,110:110,111:111)+100</f>
        <v>100</v>
      </c>
      <c r="I36" s="425">
        <v>0.7</v>
      </c>
      <c r="J36" s="386">
        <f>LOOKUP(I36,110:110,111:111)-LOOKUP(C36,110:110,111:111)+100</f>
        <v>100</v>
      </c>
      <c r="K36" s="561">
        <v>1</v>
      </c>
      <c r="L36" s="2722"/>
      <c r="M36" s="2716"/>
      <c r="N36" s="2716"/>
      <c r="O36" s="2716"/>
      <c r="P36" s="3823"/>
      <c r="Q36" s="1352" t="str">
        <f t="shared" si="11"/>
        <v>成新度</v>
      </c>
      <c r="R36" s="705" t="s">
        <v>14</v>
      </c>
      <c r="S36" s="706">
        <f t="shared" si="12"/>
        <v>100</v>
      </c>
      <c r="T36" s="705" t="s">
        <v>14</v>
      </c>
      <c r="U36" s="706">
        <f t="shared" si="13"/>
        <v>100</v>
      </c>
      <c r="V36" s="705" t="s">
        <v>14</v>
      </c>
      <c r="W36" s="706">
        <f t="shared" si="14"/>
        <v>100</v>
      </c>
      <c r="X36" s="1355"/>
      <c r="Y36" s="3825"/>
      <c r="Z36" s="1356" t="str">
        <f t="shared" si="15"/>
        <v>成新度</v>
      </c>
      <c r="AA36" s="1353">
        <f t="shared" si="3"/>
        <v>1</v>
      </c>
      <c r="AB36" s="1353">
        <f t="shared" si="4"/>
        <v>1</v>
      </c>
      <c r="AC36" s="1353">
        <f t="shared" si="5"/>
        <v>1</v>
      </c>
    </row>
    <row r="37" spans="1:29" s="108" customFormat="1" ht="15">
      <c r="A37" s="424"/>
      <c r="B37" s="375" t="s">
        <v>1787</v>
      </c>
      <c r="C37" s="1906" t="s">
        <v>3763</v>
      </c>
      <c r="D37" s="127">
        <v>100</v>
      </c>
      <c r="E37" s="1906" t="s">
        <v>3763</v>
      </c>
      <c r="F37" s="412">
        <f>SUMIF(112:112,E37,113:113)-SUMIF(112:112,C37,113:113)+100</f>
        <v>100</v>
      </c>
      <c r="G37" s="1906" t="s">
        <v>3763</v>
      </c>
      <c r="H37" s="386">
        <f>SUMIF(112:112,G37,113:113)-SUMIF(112:112,C37,113:113)+100</f>
        <v>100</v>
      </c>
      <c r="I37" s="1906" t="s">
        <v>3763</v>
      </c>
      <c r="J37" s="386">
        <f>SUMIF(112:112,I37,113:113)-SUMIF(112:112,C37,113:113)+100</f>
        <v>100</v>
      </c>
      <c r="K37" s="561">
        <v>1</v>
      </c>
      <c r="L37" s="2717"/>
      <c r="M37" s="2718"/>
      <c r="N37" s="2718"/>
      <c r="O37" s="2718"/>
      <c r="P37" s="3823"/>
      <c r="Q37" s="1343" t="str">
        <f t="shared" si="11"/>
        <v>市政基础设施</v>
      </c>
      <c r="R37" s="701" t="s">
        <v>14</v>
      </c>
      <c r="S37" s="702">
        <f t="shared" si="12"/>
        <v>100</v>
      </c>
      <c r="T37" s="701" t="s">
        <v>14</v>
      </c>
      <c r="U37" s="702">
        <f t="shared" si="13"/>
        <v>100</v>
      </c>
      <c r="V37" s="701" t="s">
        <v>14</v>
      </c>
      <c r="W37" s="702">
        <f t="shared" si="14"/>
        <v>100</v>
      </c>
      <c r="X37" s="703"/>
      <c r="Y37" s="382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23" t="s">
        <v>1696</v>
      </c>
      <c r="Q38" s="1352" t="str">
        <f t="shared" si="11"/>
        <v>业态</v>
      </c>
      <c r="R38" s="705" t="s">
        <v>14</v>
      </c>
      <c r="S38" s="706">
        <f t="shared" si="12"/>
        <v>100</v>
      </c>
      <c r="T38" s="705" t="s">
        <v>14</v>
      </c>
      <c r="U38" s="706">
        <f t="shared" si="13"/>
        <v>100</v>
      </c>
      <c r="V38" s="705" t="s">
        <v>14</v>
      </c>
      <c r="W38" s="706">
        <f t="shared" si="14"/>
        <v>100</v>
      </c>
      <c r="X38" s="1355"/>
      <c r="Y38" s="3825" t="s">
        <v>1696</v>
      </c>
      <c r="Z38" s="1356" t="str">
        <f t="shared" si="15"/>
        <v>业态</v>
      </c>
      <c r="AA38" s="1353">
        <f t="shared" si="3"/>
        <v>1</v>
      </c>
      <c r="AB38" s="1353">
        <f t="shared" si="4"/>
        <v>1</v>
      </c>
      <c r="AC38" s="1353">
        <f t="shared" si="5"/>
        <v>1</v>
      </c>
    </row>
    <row r="39" spans="1:29" ht="15">
      <c r="A39" s="423"/>
      <c r="B39" s="375" t="s">
        <v>1789</v>
      </c>
      <c r="C39" s="1906" t="s">
        <v>3758</v>
      </c>
      <c r="D39" s="386">
        <v>100</v>
      </c>
      <c r="E39" s="1906" t="s">
        <v>3758</v>
      </c>
      <c r="F39" s="412">
        <f>SUMIF(116:116,E39,117:117)-SUMIF(116:116,C39,117:117)+100</f>
        <v>100</v>
      </c>
      <c r="G39" s="1906" t="s">
        <v>3758</v>
      </c>
      <c r="H39" s="386">
        <f>SUMIF(116:116,G39,117:117)-SUMIF(116:116,C39,117:117)+100</f>
        <v>100</v>
      </c>
      <c r="I39" s="1906" t="s">
        <v>3758</v>
      </c>
      <c r="J39" s="386">
        <f>SUMIF(116:116,I39,117:117)-SUMIF(116:116,C39,117:117)+100</f>
        <v>100</v>
      </c>
      <c r="K39" s="561">
        <v>2</v>
      </c>
      <c r="L39" s="2722"/>
      <c r="M39" s="2716"/>
      <c r="N39" s="2716"/>
      <c r="O39" s="2716"/>
      <c r="P39" s="3823"/>
      <c r="Q39" s="1352" t="str">
        <f t="shared" si="11"/>
        <v>层高</v>
      </c>
      <c r="R39" s="705" t="s">
        <v>14</v>
      </c>
      <c r="S39" s="706">
        <f t="shared" si="12"/>
        <v>100</v>
      </c>
      <c r="T39" s="705" t="s">
        <v>14</v>
      </c>
      <c r="U39" s="706">
        <f t="shared" si="13"/>
        <v>100</v>
      </c>
      <c r="V39" s="705" t="s">
        <v>14</v>
      </c>
      <c r="W39" s="706">
        <f t="shared" si="14"/>
        <v>100</v>
      </c>
      <c r="X39" s="1355"/>
      <c r="Y39" s="3825"/>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23"/>
      <c r="Q40" s="1352" t="str">
        <f t="shared" si="11"/>
        <v>单套建筑面积</v>
      </c>
      <c r="R40" s="705" t="s">
        <v>14</v>
      </c>
      <c r="S40" s="706">
        <f t="shared" si="12"/>
        <v>100</v>
      </c>
      <c r="T40" s="705" t="s">
        <v>14</v>
      </c>
      <c r="U40" s="706">
        <f t="shared" si="13"/>
        <v>100</v>
      </c>
      <c r="V40" s="705" t="s">
        <v>14</v>
      </c>
      <c r="W40" s="706">
        <f t="shared" si="14"/>
        <v>100</v>
      </c>
      <c r="X40" s="1355"/>
      <c r="Y40" s="3825"/>
      <c r="Z40" s="1356" t="str">
        <f t="shared" si="15"/>
        <v>单套建筑面积</v>
      </c>
      <c r="AA40" s="1353">
        <f t="shared" si="3"/>
        <v>1</v>
      </c>
      <c r="AB40" s="1353">
        <f t="shared" si="4"/>
        <v>1</v>
      </c>
      <c r="AC40" s="1353">
        <f t="shared" si="5"/>
        <v>1</v>
      </c>
    </row>
    <row r="41" spans="1:29" s="422" customFormat="1" ht="15.75" thickBot="1">
      <c r="A41" s="419"/>
      <c r="B41" s="1354" t="s">
        <v>1791</v>
      </c>
      <c r="C41" s="565" t="s">
        <v>3681</v>
      </c>
      <c r="D41" s="386">
        <v>100</v>
      </c>
      <c r="E41" s="565" t="s">
        <v>3681</v>
      </c>
      <c r="F41" s="412">
        <f>SUMIF(120:120,E41,121:121)-SUMIF(120:120,C41,121:121)+100</f>
        <v>100</v>
      </c>
      <c r="G41" s="565" t="s">
        <v>3681</v>
      </c>
      <c r="H41" s="386">
        <f>SUMIF(120:120,G41,121:121)-SUMIF(120:120,C41,121:121)+100</f>
        <v>100</v>
      </c>
      <c r="I41" s="565" t="s">
        <v>3681</v>
      </c>
      <c r="J41" s="386">
        <f>SUMIF(120:120,I41,121:121)-SUMIF(120:120,C41,121:121)+100</f>
        <v>100</v>
      </c>
      <c r="K41" s="561">
        <v>2</v>
      </c>
      <c r="L41" s="2721"/>
      <c r="M41" s="2723"/>
      <c r="N41" s="2723"/>
      <c r="O41" s="2723"/>
      <c r="P41" s="3823"/>
      <c r="Q41" s="707" t="str">
        <f t="shared" si="11"/>
        <v>进深比</v>
      </c>
      <c r="R41" s="708" t="s">
        <v>14</v>
      </c>
      <c r="S41" s="709">
        <f t="shared" si="12"/>
        <v>100</v>
      </c>
      <c r="T41" s="708" t="s">
        <v>14</v>
      </c>
      <c r="U41" s="709">
        <f t="shared" si="13"/>
        <v>100</v>
      </c>
      <c r="V41" s="708" t="s">
        <v>14</v>
      </c>
      <c r="W41" s="709">
        <f t="shared" si="14"/>
        <v>100</v>
      </c>
      <c r="X41" s="710"/>
      <c r="Y41" s="3825"/>
      <c r="Z41" s="711" t="str">
        <f t="shared" si="15"/>
        <v>进深比</v>
      </c>
      <c r="AA41" s="1353">
        <f t="shared" si="3"/>
        <v>1</v>
      </c>
      <c r="AB41" s="1353">
        <f t="shared" si="4"/>
        <v>1</v>
      </c>
      <c r="AC41" s="1353">
        <f t="shared" si="5"/>
        <v>1</v>
      </c>
    </row>
    <row r="42" spans="1:29" ht="15" hidden="1">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23"/>
      <c r="Q42" s="1352" t="str">
        <f t="shared" si="11"/>
        <v>内部装修</v>
      </c>
      <c r="R42" s="705" t="s">
        <v>14</v>
      </c>
      <c r="S42" s="706">
        <f t="shared" si="12"/>
        <v>100</v>
      </c>
      <c r="T42" s="705" t="s">
        <v>14</v>
      </c>
      <c r="U42" s="706">
        <f t="shared" si="13"/>
        <v>100</v>
      </c>
      <c r="V42" s="705" t="s">
        <v>14</v>
      </c>
      <c r="W42" s="706">
        <f t="shared" si="14"/>
        <v>100</v>
      </c>
      <c r="X42" s="1355"/>
      <c r="Y42" s="3825"/>
      <c r="Z42" s="1356" t="str">
        <f t="shared" si="15"/>
        <v>内部装修</v>
      </c>
      <c r="AA42" s="1353">
        <f t="shared" si="3"/>
        <v>1</v>
      </c>
      <c r="AB42" s="1353">
        <f t="shared" si="4"/>
        <v>1</v>
      </c>
      <c r="AC42" s="1353">
        <f t="shared" si="5"/>
        <v>1</v>
      </c>
    </row>
    <row r="43" spans="1:29" ht="15.75" hidden="1" thickBot="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23"/>
      <c r="Q43" s="1352" t="str">
        <f t="shared" si="11"/>
        <v>内部装修维护情况</v>
      </c>
      <c r="R43" s="705" t="s">
        <v>14</v>
      </c>
      <c r="S43" s="706">
        <f t="shared" si="12"/>
        <v>100</v>
      </c>
      <c r="T43" s="705" t="s">
        <v>14</v>
      </c>
      <c r="U43" s="706">
        <f t="shared" si="13"/>
        <v>100</v>
      </c>
      <c r="V43" s="705" t="s">
        <v>14</v>
      </c>
      <c r="W43" s="706">
        <f t="shared" si="14"/>
        <v>100</v>
      </c>
      <c r="X43" s="1355"/>
      <c r="Y43" s="3825"/>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23"/>
      <c r="Q44" s="1343">
        <f t="shared" si="11"/>
        <v>111</v>
      </c>
      <c r="R44" s="701" t="s">
        <v>14</v>
      </c>
      <c r="S44" s="702">
        <f t="shared" si="12"/>
        <v>100</v>
      </c>
      <c r="T44" s="701" t="s">
        <v>14</v>
      </c>
      <c r="U44" s="702">
        <f t="shared" si="13"/>
        <v>100</v>
      </c>
      <c r="V44" s="701" t="s">
        <v>14</v>
      </c>
      <c r="W44" s="702">
        <f t="shared" si="14"/>
        <v>100</v>
      </c>
      <c r="X44" s="703"/>
      <c r="Y44" s="3825"/>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23"/>
      <c r="Q45" s="1352">
        <f t="shared" si="11"/>
        <v>111</v>
      </c>
      <c r="R45" s="705" t="s">
        <v>14</v>
      </c>
      <c r="S45" s="706">
        <f t="shared" si="12"/>
        <v>100</v>
      </c>
      <c r="T45" s="705" t="s">
        <v>14</v>
      </c>
      <c r="U45" s="706">
        <f t="shared" si="13"/>
        <v>100</v>
      </c>
      <c r="V45" s="705" t="s">
        <v>14</v>
      </c>
      <c r="W45" s="706">
        <f t="shared" si="14"/>
        <v>100</v>
      </c>
      <c r="X45" s="1355"/>
      <c r="Y45" s="3825"/>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24"/>
      <c r="Q46" s="1352">
        <f t="shared" si="11"/>
        <v>111</v>
      </c>
      <c r="R46" s="705" t="s">
        <v>14</v>
      </c>
      <c r="S46" s="706">
        <f t="shared" si="12"/>
        <v>100</v>
      </c>
      <c r="T46" s="705" t="s">
        <v>14</v>
      </c>
      <c r="U46" s="706">
        <f t="shared" si="13"/>
        <v>100</v>
      </c>
      <c r="V46" s="705" t="s">
        <v>14</v>
      </c>
      <c r="W46" s="706">
        <f t="shared" si="14"/>
        <v>100</v>
      </c>
      <c r="X46" s="1355"/>
      <c r="Y46" s="3826"/>
      <c r="Z46" s="1356">
        <f t="shared" si="15"/>
        <v>111</v>
      </c>
      <c r="AA46" s="1353">
        <f t="shared" si="3"/>
        <v>1</v>
      </c>
      <c r="AB46" s="1353">
        <f t="shared" si="4"/>
        <v>1</v>
      </c>
      <c r="AC46" s="1353">
        <f t="shared" si="5"/>
        <v>1</v>
      </c>
    </row>
    <row r="47" spans="1:29" ht="15">
      <c r="A47" s="430" t="s">
        <v>1708</v>
      </c>
      <c r="B47" s="431"/>
      <c r="C47" s="1154" t="s">
        <v>0</v>
      </c>
      <c r="D47" s="1155"/>
      <c r="E47" s="1156">
        <v>14.44</v>
      </c>
      <c r="F47" s="1157"/>
      <c r="G47" s="1158">
        <v>13</v>
      </c>
      <c r="H47" s="1159"/>
      <c r="I47" s="1156">
        <v>14.3</v>
      </c>
      <c r="J47" s="1159"/>
      <c r="K47" s="714"/>
      <c r="L47" s="2724"/>
      <c r="M47" s="2725"/>
      <c r="N47" s="2716"/>
      <c r="O47" s="2725"/>
      <c r="P47" s="3813" t="str">
        <f>A47</f>
        <v>成交单价（元/平方米）</v>
      </c>
      <c r="Q47" s="3813"/>
      <c r="R47" s="3827">
        <f>E47</f>
        <v>14.44</v>
      </c>
      <c r="S47" s="3827"/>
      <c r="T47" s="3827">
        <f>G47</f>
        <v>13</v>
      </c>
      <c r="U47" s="3827"/>
      <c r="V47" s="3827">
        <f>I47</f>
        <v>14.3</v>
      </c>
      <c r="W47" s="3827"/>
      <c r="X47" s="690"/>
      <c r="Y47" s="712"/>
      <c r="Z47" s="690"/>
      <c r="AA47" s="690"/>
      <c r="AB47" s="690"/>
      <c r="AC47" s="690"/>
    </row>
    <row r="48" spans="1:29" ht="15.75" thickBot="1">
      <c r="A48" s="437" t="s">
        <v>1793</v>
      </c>
      <c r="B48" s="438"/>
      <c r="C48" s="1160">
        <f>R49</f>
        <v>12.5</v>
      </c>
      <c r="D48" s="2317" t="s">
        <v>2138</v>
      </c>
      <c r="E48" s="1161">
        <f>R48</f>
        <v>13</v>
      </c>
      <c r="F48" s="2318"/>
      <c r="G48" s="1160">
        <f>T48</f>
        <v>11.7</v>
      </c>
      <c r="H48" s="2318"/>
      <c r="I48" s="1161">
        <f>V48</f>
        <v>12.8</v>
      </c>
      <c r="J48" s="2318"/>
      <c r="K48" s="2320">
        <f>F48+H48+J48</f>
        <v>0</v>
      </c>
      <c r="L48" s="2724"/>
      <c r="M48" s="2725"/>
      <c r="N48" s="2716"/>
      <c r="O48" s="2725"/>
      <c r="P48" s="3813" t="str">
        <f>A48</f>
        <v>比较价值（元/平方米）</v>
      </c>
      <c r="Q48" s="3813"/>
      <c r="R48" s="3814">
        <f>IF(F1="售价",ROUND(PRODUCT(R47,AA7:AA46),0),ROUND(PRODUCT(R47,AA7:AA46),1))</f>
        <v>13</v>
      </c>
      <c r="S48" s="3814"/>
      <c r="T48" s="3814">
        <f>IF(F1="售价",ROUND(PRODUCT(T47,AB7:AB46),0),ROUND(PRODUCT(T47,AB7:AB46),1))</f>
        <v>11.7</v>
      </c>
      <c r="U48" s="3814"/>
      <c r="V48" s="3814">
        <f>IF(F1="售价",ROUND(PRODUCT(V47,AC7:AC46),0),ROUND(PRODUCT(V47,AC7:AC46),1))</f>
        <v>12.8</v>
      </c>
      <c r="W48" s="3814"/>
      <c r="X48" s="690"/>
      <c r="Y48" s="690"/>
      <c r="Z48" s="690"/>
      <c r="AA48" s="690"/>
      <c r="AB48" s="690"/>
      <c r="AC48" s="690"/>
    </row>
    <row r="49" spans="1:29" ht="15.75" thickBot="1">
      <c r="A49" s="441" t="s">
        <v>1794</v>
      </c>
      <c r="B49" s="442"/>
      <c r="C49" s="1163">
        <f>R49</f>
        <v>12.5</v>
      </c>
      <c r="D49" s="1163"/>
      <c r="E49" s="1163"/>
      <c r="F49" s="1163"/>
      <c r="G49" s="1163"/>
      <c r="H49" s="1163"/>
      <c r="I49" s="1163"/>
      <c r="J49" s="1163"/>
      <c r="K49" s="715"/>
      <c r="L49" s="2724"/>
      <c r="M49" s="2725"/>
      <c r="N49" s="2716"/>
      <c r="O49" s="2725"/>
      <c r="P49" s="3815" t="str">
        <f>A49</f>
        <v>估价对象XX用房的比较价值（楼面单价，元/平方米）</v>
      </c>
      <c r="Q49" s="3816"/>
      <c r="R49" s="3817">
        <f>IF(F1="售价",ROUND(IF(D48="简单平均",AVERAGE(R48:V48),R48*F48+T48*H48+V48*J48),0),ROUND(IF(D48="简单平均",AVERAGE(R48:V48),R48*F48+T48*H48+V48*J48),1))</f>
        <v>12.5</v>
      </c>
      <c r="S49" s="3817"/>
      <c r="T49" s="3817"/>
      <c r="U49" s="3817"/>
      <c r="V49" s="3817"/>
      <c r="W49" s="38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0.11076923076923073</v>
      </c>
      <c r="F52" s="449" t="str">
        <f>IF(OR(E52&gt;=0.3,E52&lt;=-0.3),"超过30%","")</f>
        <v/>
      </c>
      <c r="G52" s="448">
        <f>IF(G47&lt;G48,G48/G47-1,G47/G48-1)</f>
        <v>0.11111111111111116</v>
      </c>
      <c r="H52" s="449" t="str">
        <f>IF(OR(G52&gt;=0.3,G52&lt;=-0.3),"超过30%","")</f>
        <v/>
      </c>
      <c r="I52" s="448">
        <f>IF(I47&lt;I48,I48/I47-1,I47/I48-1)</f>
        <v>0.1171875</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0.11111111111111116</v>
      </c>
      <c r="F53" s="449" t="str">
        <f>IF(OR(E53&gt;=0.2,E53&lt;=-0.2),"超过20%","")</f>
        <v/>
      </c>
      <c r="G53" s="448">
        <f>IF(G48&lt;I48,I48/G48-1,G48/I48-1)</f>
        <v>9.4017094017094127E-2</v>
      </c>
      <c r="H53" s="449" t="str">
        <f>IF(OR(G53&gt;=0.2,G53&lt;=-0.2),"超过20%","")</f>
        <v/>
      </c>
      <c r="I53" s="448">
        <f>IF(I48&lt;E48,E48/I48-1,I48/E48-1)</f>
        <v>1.5625E-2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0.11076923076923073</v>
      </c>
      <c r="F54" s="449" t="str">
        <f>IF(OR(E54&gt;=0.3,E54&lt;=-0.3),"超过30%","")</f>
        <v/>
      </c>
      <c r="G54" s="448">
        <f>IF(G47&lt;I47,I47/G47-1,G47/I47-1)</f>
        <v>0.10000000000000009</v>
      </c>
      <c r="H54" s="449" t="str">
        <f>IF(OR(G54&gt;=0.3,G54&lt;=-0.3),"超过30%","")</f>
        <v/>
      </c>
      <c r="I54" s="448">
        <f>IF(I47&lt;E47,E47/I47-1,I47/E47-1)</f>
        <v>9.7902097902096141E-3</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99</v>
      </c>
      <c r="E69" s="493">
        <f t="shared" si="18"/>
        <v>98</v>
      </c>
      <c r="F69" s="493">
        <f t="shared" si="18"/>
        <v>97</v>
      </c>
      <c r="G69" s="493">
        <f t="shared" si="18"/>
        <v>96</v>
      </c>
      <c r="H69" s="493">
        <f t="shared" si="18"/>
        <v>95</v>
      </c>
      <c r="I69" s="493">
        <f t="shared" si="18"/>
        <v>94</v>
      </c>
      <c r="J69" s="493">
        <f t="shared" si="18"/>
        <v>93</v>
      </c>
      <c r="K69" s="493">
        <f t="shared" si="18"/>
        <v>92</v>
      </c>
      <c r="L69" s="493">
        <f t="shared" si="18"/>
        <v>91</v>
      </c>
      <c r="M69" s="494">
        <f t="shared" si="18"/>
        <v>90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98</v>
      </c>
      <c r="E77" s="493">
        <f>D77-$K15</f>
        <v>96</v>
      </c>
      <c r="F77" s="493">
        <f>E77-$K15</f>
        <v>94</v>
      </c>
      <c r="G77" s="493">
        <f>F77-$K15</f>
        <v>92</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571" t="s">
        <v>3737</v>
      </c>
      <c r="D86" s="3571" t="s">
        <v>3739</v>
      </c>
      <c r="E86" s="3571" t="s">
        <v>3753</v>
      </c>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571" t="s">
        <v>3745</v>
      </c>
      <c r="D88" s="3571" t="s">
        <v>3740</v>
      </c>
      <c r="E88" s="3571" t="s">
        <v>3742</v>
      </c>
      <c r="F88" s="3571" t="s">
        <v>3743</v>
      </c>
      <c r="G88" s="3574" t="s">
        <v>3744</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509">
        <v>98</v>
      </c>
      <c r="E89" s="485">
        <v>96</v>
      </c>
      <c r="F89" s="485">
        <v>949</v>
      </c>
      <c r="G89" s="485">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571" t="s">
        <v>3746</v>
      </c>
      <c r="D90" s="3571" t="s">
        <v>3740</v>
      </c>
      <c r="E90" s="3571" t="s">
        <v>3742</v>
      </c>
      <c r="F90" s="3571" t="s">
        <v>3743</v>
      </c>
      <c r="G90" s="3574" t="s">
        <v>3744</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3747</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573" t="s">
        <v>3726</v>
      </c>
      <c r="D100" s="3573" t="s">
        <v>3728</v>
      </c>
      <c r="E100" s="3573" t="s">
        <v>3731</v>
      </c>
      <c r="F100" s="3573" t="s">
        <v>3729</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4"/>
      <c r="O101" s="2754"/>
      <c r="P101" s="2744"/>
      <c r="Q101" s="2739"/>
      <c r="R101" s="2725"/>
      <c r="S101" s="2725"/>
      <c r="T101" s="2725"/>
      <c r="U101" s="2725"/>
      <c r="V101" s="2725"/>
      <c r="W101" s="2725"/>
      <c r="X101" s="2725"/>
      <c r="Y101" s="2725"/>
      <c r="Z101" s="2725"/>
      <c r="AA101" s="2725"/>
      <c r="AB101" s="2725"/>
      <c r="AC101" s="2725"/>
    </row>
    <row r="102" spans="1:29" ht="29.25" thickTop="1">
      <c r="A102" s="483"/>
      <c r="B102" s="487" t="s">
        <v>1737</v>
      </c>
      <c r="C102" s="527" t="str">
        <f>C103&amp;"(含)"&amp;"-"&amp;D103</f>
        <v>0(含)-500</v>
      </c>
      <c r="D102" s="527" t="str">
        <f t="shared" ref="D102:L102" si="23">D103&amp;"(含)"&amp;"-"&amp;E103</f>
        <v>500(含)-1000</v>
      </c>
      <c r="E102" s="527" t="str">
        <f t="shared" si="23"/>
        <v>1000(含)-1500</v>
      </c>
      <c r="F102" s="527" t="str">
        <f t="shared" si="23"/>
        <v>1500(含)-2000</v>
      </c>
      <c r="G102" s="527" t="str">
        <f t="shared" si="23"/>
        <v>2000(含)-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500</v>
      </c>
      <c r="E103" s="544">
        <v>1000</v>
      </c>
      <c r="F103" s="544">
        <v>1500</v>
      </c>
      <c r="G103" s="544">
        <v>2000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98</v>
      </c>
      <c r="E104" s="485">
        <v>96</v>
      </c>
      <c r="F104" s="485">
        <v>94</v>
      </c>
      <c r="G104" s="485">
        <v>92</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571" t="s">
        <v>3755</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571" t="s">
        <v>3756</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571" t="s">
        <v>3761</v>
      </c>
      <c r="D112" s="3571" t="s">
        <v>3762</v>
      </c>
      <c r="E112" s="3571" t="s">
        <v>3764</v>
      </c>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571" t="s">
        <v>3760</v>
      </c>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571" t="s">
        <v>3759</v>
      </c>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3576" t="s">
        <v>3757</v>
      </c>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
  <sheetViews>
    <sheetView topLeftCell="A55" workbookViewId="0">
      <selection activeCell="P53" sqref="P53"/>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10" sqref="J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1240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5136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48</v>
      </c>
      <c r="D10" s="845">
        <f ca="1">IF(B1="",'数据-汇总表'!E6,IF(INDIRECT("'数据-取费表'!c"&amp;$G$1)="住宅",INDIRECT("'数据-取费表'!s"&amp;$G$1),INDIRECT("'数据-取费表'!k"&amp;$G$1)+INDIRECT("'数据-取费表'!s"&amp;$G$1)))</f>
        <v>2414.4300000000003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2414.4300000000003</v>
      </c>
      <c r="E19" s="211">
        <f>'数据-取费表'!B31</f>
        <v>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14</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55</v>
      </c>
      <c r="D27" s="235">
        <f ca="1">C29</f>
        <v>5.4000000000000003E-3</v>
      </c>
      <c r="E27" s="236" t="s">
        <v>1514</v>
      </c>
      <c r="F27" s="246">
        <f ca="1">IF(B1="",'数据-取费表'!Q16,INDIRECT("'数据-取费表'!q"&amp;$G$1))</f>
        <v>0.27</v>
      </c>
      <c r="G27" s="247" t="s">
        <v>1515</v>
      </c>
    </row>
    <row r="28" spans="1:7" s="214" customFormat="1" ht="13.5" customHeight="1">
      <c r="A28" s="780" t="s">
        <v>346</v>
      </c>
      <c r="B28" s="248" t="s">
        <v>1516</v>
      </c>
      <c r="C28" s="249">
        <f ca="1">ROUND((C5+C19+C20)*F27*'数据-取费表'!B21/'数据-取费表'!B20,0)</f>
        <v>55</v>
      </c>
      <c r="D28" s="235"/>
      <c r="E28" s="236"/>
      <c r="F28" s="246"/>
      <c r="G28" s="247"/>
    </row>
    <row r="29" spans="1:7" s="214" customFormat="1" ht="13.5" customHeight="1">
      <c r="A29" s="780" t="s">
        <v>347</v>
      </c>
      <c r="B29" s="248" t="s">
        <v>1517</v>
      </c>
      <c r="C29" s="238">
        <f ca="1">ROUND(C21*F27*'数据-取费表'!B21/'数据-取费表'!B20,4)</f>
        <v>5.4000000000000003E-3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845</v>
      </c>
      <c r="D34" s="217"/>
      <c r="E34" s="220"/>
      <c r="F34" s="257">
        <f ca="1">IF('数据-取费表'!B24=0,1,IF(B1="",'数据-取费表'!N16,INDIRECT("'数据-取费表'!n"&amp;$G$1)))</f>
        <v>1</v>
      </c>
      <c r="G34" s="219" t="s">
        <v>1526</v>
      </c>
    </row>
    <row r="35" spans="1:7" ht="13.5" customHeight="1">
      <c r="A35" s="780" t="s">
        <v>351</v>
      </c>
      <c r="B35" s="215" t="s">
        <v>1527</v>
      </c>
      <c r="C35" s="220">
        <f ca="1">ROUND(C34*F35,0)</f>
        <v>25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1530</v>
      </c>
    </row>
    <row r="37" spans="1:7" s="258" customFormat="1" ht="13.5" customHeight="1">
      <c r="A37" s="780" t="s">
        <v>353</v>
      </c>
      <c r="B37" s="215" t="s">
        <v>1531</v>
      </c>
      <c r="C37" s="249">
        <f ca="1">ROUND(E37*D37*F34/10000,0)</f>
        <v>48</v>
      </c>
      <c r="D37" s="217">
        <f ca="1">D19</f>
        <v>2414.4300000000003</v>
      </c>
      <c r="E37" s="249">
        <f>'数据-取费表'!B35</f>
        <v>200</v>
      </c>
      <c r="F37" s="259"/>
      <c r="G37" s="261" t="s">
        <v>1532</v>
      </c>
    </row>
    <row r="38" spans="1:7" ht="13.5" customHeight="1">
      <c r="A38" s="780" t="s">
        <v>354</v>
      </c>
      <c r="B38" s="215" t="s">
        <v>1533</v>
      </c>
      <c r="C38" s="220">
        <f ca="1">ROUND(C34*F38,0)</f>
        <v>13</v>
      </c>
      <c r="D38" s="220"/>
      <c r="E38" s="220"/>
      <c r="F38" s="259">
        <f>'数据-取费表'!B36</f>
        <v>1.4999999999999999E-2</v>
      </c>
      <c r="G38" s="219" t="s">
        <v>1528</v>
      </c>
    </row>
    <row r="39" spans="1:7" s="214" customFormat="1" ht="13.5" customHeight="1">
      <c r="A39" s="255" t="s">
        <v>1534</v>
      </c>
      <c r="B39" s="210" t="s">
        <v>1535</v>
      </c>
      <c r="C39" s="232">
        <f ca="1">ROUND(C33*F20,0)</f>
        <v>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32</v>
      </c>
      <c r="D42" s="238"/>
      <c r="E42" s="238"/>
      <c r="F42" s="239"/>
      <c r="G42" s="3860" t="s">
        <v>1544</v>
      </c>
    </row>
    <row r="43" spans="1:7" ht="13.5" customHeight="1">
      <c r="A43" s="780" t="s">
        <v>347</v>
      </c>
      <c r="B43" s="215" t="s">
        <v>1545</v>
      </c>
      <c r="C43" s="238">
        <f ca="1">ROUND(IF('数据-取费表'!B22&lt;=1,C39*F22*'数据-取费表'!B21/2,C39*(POWER((1+F22),'数据-取费表'!B21/2)-1)),0)</f>
        <v>1</v>
      </c>
      <c r="D43" s="238"/>
      <c r="E43" s="238"/>
      <c r="F43" s="239"/>
      <c r="G43" s="3861"/>
    </row>
    <row r="44" spans="1:7" ht="13.5" customHeight="1">
      <c r="A44" s="780" t="s">
        <v>348</v>
      </c>
      <c r="B44" s="215" t="s">
        <v>1546</v>
      </c>
      <c r="C44" s="238">
        <f ca="1">ROUND(IF('数据-取费表'!B22&lt;=1,C40*F22*'数据-取费表'!B21/2,C40*(POWER((1+F22),'数据-取费表'!B21/2)-1)),4)</f>
        <v>6.9999999999999999E-4</v>
      </c>
      <c r="D44" s="238"/>
      <c r="E44" s="238"/>
      <c r="F44" s="239"/>
      <c r="G44" s="3862"/>
    </row>
    <row r="45" spans="1:7" s="214" customFormat="1" ht="13.5" customHeight="1">
      <c r="A45" s="255" t="s">
        <v>1547</v>
      </c>
      <c r="B45" s="244" t="s">
        <v>1513</v>
      </c>
      <c r="C45" s="245">
        <f ca="1">C46</f>
        <v>257</v>
      </c>
      <c r="D45" s="235">
        <f ca="1">C47</f>
        <v>5.4000000000000003E-3</v>
      </c>
      <c r="E45" s="236" t="s">
        <v>1539</v>
      </c>
      <c r="F45" s="246">
        <f ca="1">F27</f>
        <v>0.27</v>
      </c>
      <c r="G45" s="247" t="s">
        <v>1548</v>
      </c>
    </row>
    <row r="46" spans="1:7" s="214" customFormat="1" ht="13.5" customHeight="1">
      <c r="A46" s="780" t="s">
        <v>346</v>
      </c>
      <c r="B46" s="248" t="s">
        <v>1549</v>
      </c>
      <c r="C46" s="249">
        <f ca="1">ROUND((C33+C39)*F27,0)</f>
        <v>257</v>
      </c>
      <c r="D46" s="263"/>
      <c r="E46" s="236"/>
      <c r="F46" s="246"/>
      <c r="G46" s="247"/>
    </row>
    <row r="47" spans="1:7" s="214" customFormat="1" ht="13.5" customHeight="1">
      <c r="A47" s="780" t="s">
        <v>347</v>
      </c>
      <c r="B47" s="248" t="s">
        <v>1550</v>
      </c>
      <c r="C47" s="238">
        <f ca="1">ROUND(C40*F27,4)</f>
        <v>5.4000000000000003E-3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1347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943</v>
      </c>
      <c r="D51" s="232"/>
      <c r="E51" s="232"/>
      <c r="F51" s="264"/>
      <c r="G51" s="234" t="s">
        <v>1560</v>
      </c>
    </row>
    <row r="52" spans="1:7" s="208" customFormat="1" ht="16.5" thickBot="1">
      <c r="A52" s="265" t="s">
        <v>1561</v>
      </c>
      <c r="B52" s="266"/>
      <c r="C52" s="267">
        <f ca="1">C31+C51</f>
        <v>1240</v>
      </c>
      <c r="D52" s="266"/>
      <c r="E52" s="266"/>
      <c r="F52" s="266"/>
      <c r="G52" s="268"/>
    </row>
    <row r="55" spans="1:7" ht="15">
      <c r="B55" s="270" t="s">
        <v>1562</v>
      </c>
      <c r="C55" s="271"/>
    </row>
    <row r="56" spans="1:7">
      <c r="B56" s="273" t="s">
        <v>802</v>
      </c>
      <c r="C56" s="275">
        <f ca="1">1-C57</f>
        <v>0.24</v>
      </c>
    </row>
    <row r="57" spans="1:7">
      <c r="B57" s="273" t="s">
        <v>803</v>
      </c>
      <c r="C57" s="274">
        <f ca="1">ROUND(C51/C52,3)</f>
        <v>0.76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0" sqref="F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1013.9719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4200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482886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482886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482886</v>
      </c>
      <c r="D10" s="845">
        <f ca="1">IF(B1="",'数据-汇总表'!E6,IF(INDIRECT("'数据-取费表'!c"&amp;$G$1)="住宅",INDIRECT("'数据-取费表'!s"&amp;$G$1),INDIRECT("'数据-取费表'!k"&amp;$G$1)+INDIRECT("'数据-取费表'!s"&amp;$G$1)))</f>
        <v>2414.4300000000003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2414.4300000000003</v>
      </c>
      <c r="E19" s="211">
        <f>'数据-取费表'!B31</f>
        <v>0</v>
      </c>
      <c r="F19" s="231"/>
      <c r="G19" s="1856"/>
    </row>
    <row r="20" spans="1:7" s="214" customFormat="1" ht="13.5" customHeight="1">
      <c r="A20" s="255" t="s">
        <v>1574</v>
      </c>
      <c r="B20" s="210" t="s">
        <v>1575</v>
      </c>
      <c r="C20" s="232">
        <f ca="1">ROUND((C5+C19)*F20,0)</f>
        <v>9658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34227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33894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333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132987</v>
      </c>
      <c r="D27" s="235">
        <f ca="1">C29</f>
        <v>5.4000000000000003E-3</v>
      </c>
      <c r="E27" s="236" t="s">
        <v>1514</v>
      </c>
      <c r="F27" s="246">
        <f ca="1">IF(B1="",'数据-取费表'!Q16,INDIRECT("'数据-取费表'!q"&amp;$G$1))</f>
        <v>0.27</v>
      </c>
      <c r="G27" s="247" t="s">
        <v>1515</v>
      </c>
    </row>
    <row r="28" spans="1:7" s="214" customFormat="1" ht="13.5" customHeight="1">
      <c r="A28" s="780" t="s">
        <v>346</v>
      </c>
      <c r="B28" s="248" t="s">
        <v>1516</v>
      </c>
      <c r="C28" s="249">
        <f ca="1">ROUND((C5+C19+C20)*F27,0)</f>
        <v>132987</v>
      </c>
      <c r="D28" s="235"/>
      <c r="E28" s="236"/>
      <c r="F28" s="246"/>
      <c r="G28" s="247"/>
    </row>
    <row r="29" spans="1:7" s="214" customFormat="1" ht="13.5" customHeight="1">
      <c r="A29" s="780" t="s">
        <v>347</v>
      </c>
      <c r="B29" s="248" t="s">
        <v>1517</v>
      </c>
      <c r="C29" s="238">
        <f ca="1">ROUND(C21*F27,4)</f>
        <v>5.4000000000000003E-3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716661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9313664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8450505</v>
      </c>
      <c r="D34" s="217"/>
      <c r="E34" s="220"/>
      <c r="F34" s="257"/>
      <c r="G34" s="219"/>
    </row>
    <row r="35" spans="1:7" ht="13.5" customHeight="1">
      <c r="A35" s="780" t="s">
        <v>351</v>
      </c>
      <c r="B35" s="215" t="s">
        <v>1527</v>
      </c>
      <c r="C35" s="220">
        <f ca="1">ROUND(C34*F35,0)</f>
        <v>253515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0.1</v>
      </c>
      <c r="G36" s="260" t="s">
        <v>1530</v>
      </c>
    </row>
    <row r="37" spans="1:7" s="258" customFormat="1" ht="13.5" customHeight="1">
      <c r="A37" s="780" t="s">
        <v>353</v>
      </c>
      <c r="B37" s="215" t="s">
        <v>1531</v>
      </c>
      <c r="C37" s="249">
        <f ca="1">ROUND(E37*D37,0)</f>
        <v>482886</v>
      </c>
      <c r="D37" s="217">
        <f ca="1">D19</f>
        <v>2414.4300000000003</v>
      </c>
      <c r="E37" s="249">
        <f>'数据-取费表'!B35</f>
        <v>200</v>
      </c>
      <c r="F37" s="259"/>
      <c r="G37" s="261"/>
    </row>
    <row r="38" spans="1:7" ht="13.5" customHeight="1">
      <c r="A38" s="780" t="s">
        <v>354</v>
      </c>
      <c r="B38" s="215" t="s">
        <v>1533</v>
      </c>
      <c r="C38" s="220">
        <f ca="1">ROUND(C34*F38,0)</f>
        <v>126758</v>
      </c>
      <c r="D38" s="220"/>
      <c r="E38" s="220"/>
      <c r="F38" s="259">
        <f>'数据-取费表'!B36</f>
        <v>1.4999999999999999E-2</v>
      </c>
      <c r="G38" s="219" t="s">
        <v>1528</v>
      </c>
    </row>
    <row r="39" spans="1:7" s="214" customFormat="1" ht="13.5" customHeight="1">
      <c r="A39" s="255" t="s">
        <v>1534</v>
      </c>
      <c r="B39" s="210" t="s">
        <v>1535</v>
      </c>
      <c r="C39" s="232">
        <f ca="1">ROUND(C33*F20,0)</f>
        <v>186273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327747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321321</v>
      </c>
      <c r="D42" s="238"/>
      <c r="E42" s="238"/>
      <c r="F42" s="239"/>
      <c r="G42" s="3860" t="s">
        <v>1591</v>
      </c>
    </row>
    <row r="43" spans="1:7" ht="13.5" customHeight="1">
      <c r="A43" s="780" t="s">
        <v>347</v>
      </c>
      <c r="B43" s="215" t="s">
        <v>1545</v>
      </c>
      <c r="C43" s="238">
        <f ca="1">ROUND(IF('数据-取费表'!B22&lt;=1,C39*F22*'数据-取费表'!B20/2,C39*(POWER((1+F22),'数据-取费表'!B20/2)-1)),0)</f>
        <v>6426</v>
      </c>
      <c r="D43" s="238"/>
      <c r="E43" s="238"/>
      <c r="F43" s="239"/>
      <c r="G43" s="3861"/>
    </row>
    <row r="44" spans="1:7" ht="13.5" customHeight="1">
      <c r="A44" s="780" t="s">
        <v>348</v>
      </c>
      <c r="B44" s="215" t="s">
        <v>1546</v>
      </c>
      <c r="C44" s="238">
        <f ca="1">ROUND(IF('数据-取费表'!B22&lt;=1,C40*F22*'数据-取费表'!B20/2,C40*(POWER((1+F22),'数据-取费表'!B20/2)-1)),4)</f>
        <v>6.9999999999999999E-4</v>
      </c>
      <c r="D44" s="238"/>
      <c r="E44" s="238"/>
      <c r="F44" s="239"/>
      <c r="G44" s="3862"/>
    </row>
    <row r="45" spans="1:7" s="214" customFormat="1" ht="13.5" customHeight="1">
      <c r="A45" s="255" t="s">
        <v>1547</v>
      </c>
      <c r="B45" s="244" t="s">
        <v>1513</v>
      </c>
      <c r="C45" s="245">
        <f ca="1">C46</f>
        <v>2564983</v>
      </c>
      <c r="D45" s="235">
        <f ca="1">C47</f>
        <v>5.4000000000000003E-3</v>
      </c>
      <c r="E45" s="236" t="s">
        <v>1539</v>
      </c>
      <c r="F45" s="246">
        <f ca="1">F27</f>
        <v>0.27</v>
      </c>
      <c r="G45" s="247" t="s">
        <v>1548</v>
      </c>
    </row>
    <row r="46" spans="1:7" s="214" customFormat="1" ht="13.5" customHeight="1">
      <c r="A46" s="780" t="s">
        <v>346</v>
      </c>
      <c r="B46" s="248" t="s">
        <v>1549</v>
      </c>
      <c r="C46" s="249">
        <f ca="1">ROUND((C33+C39)*F27,0)</f>
        <v>2564983</v>
      </c>
      <c r="D46" s="263"/>
      <c r="E46" s="236"/>
      <c r="F46" s="246"/>
      <c r="G46" s="247"/>
    </row>
    <row r="47" spans="1:7" s="214" customFormat="1" ht="13.5" customHeight="1">
      <c r="A47" s="780" t="s">
        <v>347</v>
      </c>
      <c r="B47" s="248" t="s">
        <v>1550</v>
      </c>
      <c r="C47" s="238">
        <f ca="1">ROUND(C40*F27,4)</f>
        <v>5.4000000000000003E-3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13461511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9423058</v>
      </c>
      <c r="D51" s="232"/>
      <c r="E51" s="232"/>
      <c r="F51" s="264"/>
      <c r="G51" s="234" t="s">
        <v>1560</v>
      </c>
    </row>
    <row r="52" spans="1:7" s="208" customFormat="1" ht="16.5" thickBot="1">
      <c r="A52" s="265" t="s">
        <v>1561</v>
      </c>
      <c r="B52" s="266"/>
      <c r="C52" s="267">
        <f ca="1">C31+C51</f>
        <v>10139719</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131</v>
      </c>
      <c r="C2" s="276" t="s">
        <v>1595</v>
      </c>
      <c r="D2" s="276"/>
      <c r="E2" s="2806"/>
      <c r="F2" s="2806"/>
      <c r="G2" s="2806"/>
      <c r="H2" s="2806"/>
      <c r="I2" s="2806"/>
      <c r="J2" s="2806"/>
      <c r="K2" s="2806"/>
    </row>
    <row r="3" spans="1:33" ht="18" customHeight="1" thickBot="1">
      <c r="A3" s="203" t="s">
        <v>1464</v>
      </c>
      <c r="B3" s="204">
        <f ca="1">ROUND(B2*10000/IF(C1="",'数据-汇总表'!E3,INDIRECT("'数据-取费表'!K"&amp;$K$1)),0)</f>
        <v>543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2414.4300000000003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48</v>
      </c>
      <c r="D17" s="846">
        <f ca="1">D14</f>
        <v>2414.4300000000003</v>
      </c>
      <c r="E17" s="21">
        <f>'数据-取费表'!B32</f>
        <v>200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-152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48</v>
      </c>
      <c r="D20" s="846">
        <f ca="1">IF(C1="",'数据-汇总表'!E6,IF(INDIRECT("'数据-取费表'!c"&amp;$K$1)="住宅",INDIRECT("'数据-取费表'!s"&amp;$K$1),INDIRECT("'数据-取费表'!k"&amp;$K$1)+INDIRECT("'数据-取费表'!s"&amp;$K$1)))</f>
        <v>2414.4300000000003</v>
      </c>
      <c r="E20" s="21">
        <f>'数据-取费表'!B28</f>
        <v>200</v>
      </c>
      <c r="F20" s="804"/>
      <c r="G20" s="12"/>
      <c r="H20" s="809"/>
      <c r="I20" s="809"/>
      <c r="J20" s="809"/>
      <c r="K20" s="810"/>
    </row>
    <row r="21" spans="1:33" s="803" customFormat="1" ht="13.5" customHeight="1">
      <c r="A21" s="790" t="s">
        <v>357</v>
      </c>
      <c r="B21" s="813" t="s">
        <v>1628</v>
      </c>
      <c r="C21" s="814">
        <f ca="1">C16+C17+C18</f>
        <v>-104</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v>
      </c>
      <c r="D28" s="280">
        <f ca="1">C29</f>
        <v>0</v>
      </c>
      <c r="E28" s="282" t="s">
        <v>12</v>
      </c>
      <c r="F28" s="288">
        <f ca="1">IF(C1="",'数据-取费表'!Q16,INDIRECT("'数据-取费表'!q"&amp;$K$1))</f>
        <v>0.27</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131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13" sqref="E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65" t="s">
        <v>694</v>
      </c>
      <c r="C6" s="1074">
        <f ca="1">ROUND(F6*F8*F7*(1-F9)/10000,0)</f>
        <v>0</v>
      </c>
      <c r="D6" s="155" t="s">
        <v>2109</v>
      </c>
      <c r="E6" s="302" t="s">
        <v>696</v>
      </c>
      <c r="F6" s="303">
        <f ca="1">INDIRECT("'数据-取费表'!u"&amp;$G$1)</f>
        <v>0</v>
      </c>
      <c r="G6" s="1384"/>
      <c r="H6" s="1069" t="s">
        <v>398</v>
      </c>
      <c r="I6" s="3865" t="s">
        <v>694</v>
      </c>
      <c r="J6" s="301">
        <f ca="1">ROUND(M6*M8*M7*(1-M9)/10000,0)</f>
        <v>0</v>
      </c>
      <c r="K6" s="155" t="s">
        <v>2108</v>
      </c>
      <c r="L6" s="302" t="s">
        <v>696</v>
      </c>
      <c r="M6" s="303">
        <f ca="1">INDIRECT("'数据-取费表'!z"&amp;$G$1)</f>
        <v>0</v>
      </c>
    </row>
    <row r="7" spans="1:37" ht="18" customHeight="1">
      <c r="A7" s="1073"/>
      <c r="B7" s="3866"/>
      <c r="C7" s="1075"/>
      <c r="D7" s="307"/>
      <c r="E7" s="1076" t="s">
        <v>697</v>
      </c>
      <c r="F7" s="303">
        <f ca="1">IF(INDIRECT("'数据-取费表'!ah"&amp;$G$1)="",INDIRECT("'数据-取费表'!k"&amp;$G$1),INDIRECT("'数据-取费表'!ah"&amp;$G$1))</f>
        <v>0</v>
      </c>
      <c r="G7" s="1384"/>
      <c r="H7" s="304"/>
      <c r="I7" s="3866"/>
      <c r="J7" s="306"/>
      <c r="K7" s="307"/>
      <c r="L7" s="302" t="s">
        <v>697</v>
      </c>
      <c r="M7" s="303">
        <f ca="1">F7</f>
        <v>0</v>
      </c>
    </row>
    <row r="8" spans="1:37" ht="18" customHeight="1">
      <c r="A8" s="304"/>
      <c r="B8" s="3866"/>
      <c r="C8" s="306"/>
      <c r="D8" s="307"/>
      <c r="E8" s="302" t="s">
        <v>698</v>
      </c>
      <c r="F8" s="303">
        <f ca="1">INDIRECT("'数据-取费表'!ai"&amp;$G$1)</f>
        <v>0</v>
      </c>
      <c r="G8" s="1384"/>
      <c r="H8" s="304"/>
      <c r="I8" s="3866"/>
      <c r="J8" s="306"/>
      <c r="K8" s="307"/>
      <c r="L8" s="302" t="s">
        <v>698</v>
      </c>
      <c r="M8" s="303">
        <f ca="1">INDIRECT("'数据-取费表'!ai"&amp;$G$1)</f>
        <v>0</v>
      </c>
    </row>
    <row r="9" spans="1:37" ht="18" customHeight="1">
      <c r="A9" s="304"/>
      <c r="B9" s="3867"/>
      <c r="C9" s="306"/>
      <c r="D9" s="307"/>
      <c r="E9" s="302" t="s">
        <v>699</v>
      </c>
      <c r="F9" s="312">
        <f ca="1">INDIRECT("'数据-取费表'!w"&amp;$G$1)</f>
        <v>0</v>
      </c>
      <c r="G9" s="1384"/>
      <c r="H9" s="304"/>
      <c r="I9" s="386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63" t="s">
        <v>837</v>
      </c>
      <c r="L53" s="386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估价对象为房地产，为所有。根据《国有土地使用证》[]，估价对象（分摊）出让国有建设用地使用权面积为0平方米，建筑面积为2414.43平方米。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估价对象为房地产,属开发建设的，该项目尚在开发建设中。根据《国有土地使用证》[]，估价对象（分摊）出让国有建设用地使用权面积为0平方米，规划建筑面积为2414.43平方米。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2024年7月5日（评估专业人员实地查勘之日）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65" t="s">
        <v>694</v>
      </c>
      <c r="C6" s="1074">
        <f ca="1">ROUND(F6*F8*F7*(1-F9),0)</f>
        <v>0</v>
      </c>
      <c r="D6" s="155" t="s">
        <v>2106</v>
      </c>
      <c r="E6" s="302" t="s">
        <v>696</v>
      </c>
      <c r="F6" s="303">
        <f ca="1">INDIRECT("'数据-取费表'!u"&amp;$G$1)</f>
        <v>0</v>
      </c>
      <c r="G6" s="1384"/>
      <c r="H6" s="1069" t="s">
        <v>398</v>
      </c>
      <c r="I6" s="3865" t="s">
        <v>694</v>
      </c>
      <c r="J6" s="301">
        <f ca="1">ROUND(M6*M8*M7*(1-M9),0)</f>
        <v>0</v>
      </c>
      <c r="K6" s="1376" t="s">
        <v>2107</v>
      </c>
      <c r="L6" s="302" t="s">
        <v>696</v>
      </c>
      <c r="M6" s="303">
        <f ca="1">INDIRECT("'数据-取费表'!z"&amp;$G$1)</f>
        <v>0</v>
      </c>
    </row>
    <row r="7" spans="1:37" ht="18" customHeight="1">
      <c r="A7" s="1073"/>
      <c r="B7" s="3866"/>
      <c r="C7" s="1075"/>
      <c r="D7" s="307"/>
      <c r="E7" s="1076" t="s">
        <v>697</v>
      </c>
      <c r="F7" s="303">
        <f ca="1">IF(INDIRECT("'数据-取费表'!ah"&amp;$G$1)="",INDIRECT("'数据-取费表'!k"&amp;$G$1),INDIRECT("'数据-取费表'!ah"&amp;$G$1))</f>
        <v>0</v>
      </c>
      <c r="G7" s="1384"/>
      <c r="H7" s="304"/>
      <c r="I7" s="3866"/>
      <c r="J7" s="306"/>
      <c r="K7" s="307"/>
      <c r="L7" s="302" t="s">
        <v>697</v>
      </c>
      <c r="M7" s="303">
        <f ca="1">F7</f>
        <v>0</v>
      </c>
    </row>
    <row r="8" spans="1:37" ht="18" customHeight="1">
      <c r="A8" s="304"/>
      <c r="B8" s="3866"/>
      <c r="C8" s="306"/>
      <c r="D8" s="307"/>
      <c r="E8" s="302" t="s">
        <v>698</v>
      </c>
      <c r="F8" s="303">
        <f ca="1">INDIRECT("'数据-取费表'!ai"&amp;$G$1)</f>
        <v>0</v>
      </c>
      <c r="G8" s="1384"/>
      <c r="H8" s="304"/>
      <c r="I8" s="3866"/>
      <c r="J8" s="306"/>
      <c r="K8" s="307"/>
      <c r="L8" s="302" t="s">
        <v>698</v>
      </c>
      <c r="M8" s="303">
        <f ca="1">INDIRECT("'数据-取费表'!ai"&amp;$G$1)</f>
        <v>0</v>
      </c>
    </row>
    <row r="9" spans="1:37" ht="18" customHeight="1">
      <c r="A9" s="304"/>
      <c r="B9" s="3867"/>
      <c r="C9" s="306"/>
      <c r="D9" s="307"/>
      <c r="E9" s="302" t="s">
        <v>699</v>
      </c>
      <c r="F9" s="312">
        <f ca="1">INDIRECT("'数据-取费表'!w"&amp;$G$1)</f>
        <v>0</v>
      </c>
      <c r="G9" s="1384"/>
      <c r="H9" s="304"/>
      <c r="I9" s="386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18</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63" t="s">
        <v>837</v>
      </c>
      <c r="L53" s="386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868" t="s">
        <v>2321</v>
      </c>
      <c r="K2" s="386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870" t="s">
        <v>2331</v>
      </c>
      <c r="K3" s="387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870" t="s">
        <v>2333</v>
      </c>
      <c r="K4" s="387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872" t="s">
        <v>2337</v>
      </c>
      <c r="B6" s="3873"/>
      <c r="C6" s="3874"/>
      <c r="D6" s="2870"/>
      <c r="E6" s="2871"/>
      <c r="F6" s="2872"/>
      <c r="G6" s="2873"/>
      <c r="H6" s="2848"/>
      <c r="I6" s="2849"/>
      <c r="J6" s="3875">
        <v>1</v>
      </c>
      <c r="K6" s="387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875"/>
      <c r="K7" s="387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879" t="s">
        <v>2351</v>
      </c>
      <c r="C8" s="3880"/>
      <c r="D8" s="2889" t="s">
        <v>2352</v>
      </c>
      <c r="E8" s="2890" t="s">
        <v>2353</v>
      </c>
      <c r="F8" s="2891" t="s">
        <v>2354</v>
      </c>
      <c r="G8" s="2892"/>
      <c r="H8" s="2848"/>
      <c r="I8" s="2849"/>
      <c r="J8" s="3875"/>
      <c r="K8" s="387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879" t="s">
        <v>2357</v>
      </c>
      <c r="C9" s="3880"/>
      <c r="D9" s="2889">
        <f>ROUND(D6*E9,0)</f>
        <v>0</v>
      </c>
      <c r="E9" s="2893"/>
      <c r="F9" s="2894" t="s">
        <v>2358</v>
      </c>
      <c r="G9" s="2873"/>
      <c r="H9" s="2848"/>
      <c r="I9" s="2849"/>
      <c r="J9" s="3875"/>
      <c r="K9" s="3877"/>
      <c r="L9" s="2883" t="s">
        <v>2359</v>
      </c>
      <c r="M9" s="2884"/>
      <c r="N9" s="2860"/>
      <c r="O9" s="2885"/>
      <c r="P9" s="2885"/>
      <c r="Q9" s="2886">
        <v>365</v>
      </c>
      <c r="R9" s="2887">
        <f t="shared" si="0"/>
        <v>0</v>
      </c>
      <c r="S9" s="2841"/>
      <c r="T9" s="2841"/>
      <c r="U9" s="2841"/>
      <c r="V9" s="2849"/>
    </row>
    <row r="10" spans="1:22" s="2853" customFormat="1" ht="13.15" customHeight="1">
      <c r="A10" s="2888">
        <v>2</v>
      </c>
      <c r="B10" s="3879" t="s">
        <v>2360</v>
      </c>
      <c r="C10" s="3880"/>
      <c r="D10" s="2889">
        <f>ROUND(D6*E10,0)</f>
        <v>0</v>
      </c>
      <c r="E10" s="2893"/>
      <c r="F10" s="2894" t="s">
        <v>2361</v>
      </c>
      <c r="G10" s="2873"/>
      <c r="H10" s="2848"/>
      <c r="I10" s="2849"/>
      <c r="J10" s="3875"/>
      <c r="K10" s="3877"/>
      <c r="L10" s="2883" t="s">
        <v>2362</v>
      </c>
      <c r="M10" s="2884"/>
      <c r="N10" s="2860"/>
      <c r="O10" s="2885"/>
      <c r="P10" s="2885"/>
      <c r="Q10" s="2886">
        <v>365</v>
      </c>
      <c r="R10" s="2887">
        <f t="shared" si="0"/>
        <v>0</v>
      </c>
      <c r="S10" s="2841"/>
      <c r="T10" s="2841"/>
      <c r="U10" s="2841"/>
      <c r="V10" s="2849"/>
    </row>
    <row r="11" spans="1:22" s="2853" customFormat="1" ht="13.15" customHeight="1">
      <c r="A11" s="2888">
        <v>3</v>
      </c>
      <c r="B11" s="3879" t="s">
        <v>2363</v>
      </c>
      <c r="C11" s="3880"/>
      <c r="D11" s="2889">
        <f>D12+D14+D15+D16</f>
        <v>0</v>
      </c>
      <c r="E11" s="2895" t="e">
        <f>D11/D6</f>
        <v>#DIV/0!</v>
      </c>
      <c r="F11" s="2891"/>
      <c r="G11" s="2892"/>
      <c r="H11" s="2848"/>
      <c r="I11" s="2849"/>
      <c r="J11" s="3875"/>
      <c r="K11" s="387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881" t="s">
        <v>2366</v>
      </c>
      <c r="C12" s="3882"/>
      <c r="D12" s="2897">
        <f>ROUND(D13*1.2%*(1-30%),0)</f>
        <v>0</v>
      </c>
      <c r="E12" s="2898">
        <v>1.2E-2</v>
      </c>
      <c r="F12" s="2891" t="s">
        <v>2367</v>
      </c>
      <c r="G12" s="2892"/>
      <c r="H12" s="2848"/>
      <c r="I12" s="2849"/>
      <c r="J12" s="3875"/>
      <c r="K12" s="387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875"/>
      <c r="K13" s="387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881" t="s">
        <v>2372</v>
      </c>
      <c r="C14" s="3882"/>
      <c r="D14" s="2897">
        <f>ROUND(E14*B5/10000,0)</f>
        <v>0</v>
      </c>
      <c r="E14" s="2886"/>
      <c r="F14" s="2891" t="s">
        <v>2373</v>
      </c>
      <c r="G14" s="2892"/>
      <c r="H14" s="2848"/>
      <c r="I14" s="2849"/>
      <c r="J14" s="3875"/>
      <c r="K14" s="387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881" t="s">
        <v>2376</v>
      </c>
      <c r="C15" s="3882"/>
      <c r="D15" s="2897">
        <f>ROUND(D6*E15,0)</f>
        <v>0</v>
      </c>
      <c r="E15" s="2898">
        <v>5.5E-2</v>
      </c>
      <c r="F15" s="2891" t="s">
        <v>2377</v>
      </c>
      <c r="G15" s="2873"/>
      <c r="H15" s="2848"/>
      <c r="I15" s="2849"/>
      <c r="J15" s="3875">
        <v>2</v>
      </c>
      <c r="K15" s="387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881" t="s">
        <v>2385</v>
      </c>
      <c r="C16" s="3882"/>
      <c r="D16" s="2908">
        <f>D6*E16</f>
        <v>0</v>
      </c>
      <c r="E16" s="2909"/>
      <c r="F16" s="2894" t="s">
        <v>2386</v>
      </c>
      <c r="G16" s="2873"/>
      <c r="H16" s="2848"/>
      <c r="I16" s="2849"/>
      <c r="J16" s="3875"/>
      <c r="K16" s="387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883" t="s">
        <v>2388</v>
      </c>
      <c r="C17" s="3884"/>
      <c r="D17" s="2911">
        <f>ROUND(D6*E17,0)</f>
        <v>0</v>
      </c>
      <c r="E17" s="2912"/>
      <c r="F17" s="2913" t="s">
        <v>2389</v>
      </c>
      <c r="G17" s="2873"/>
      <c r="H17" s="2848"/>
      <c r="I17" s="2849"/>
      <c r="J17" s="3875"/>
      <c r="K17" s="387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875"/>
      <c r="K18" s="387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875"/>
      <c r="K19" s="387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875">
        <v>3</v>
      </c>
      <c r="K20" s="387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875"/>
      <c r="K21" s="387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875"/>
      <c r="K22" s="387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875"/>
      <c r="K23" s="387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875"/>
      <c r="K24" s="387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88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88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868" t="s">
        <v>2321</v>
      </c>
      <c r="K32" s="386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870" t="s">
        <v>2331</v>
      </c>
      <c r="K33" s="387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870" t="s">
        <v>2333</v>
      </c>
      <c r="K34" s="387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875">
        <v>1</v>
      </c>
      <c r="K36" s="387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875"/>
      <c r="K37" s="387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875"/>
      <c r="K38" s="387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875"/>
      <c r="K39" s="387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875"/>
      <c r="K40" s="387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88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88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887" t="s">
        <v>1654</v>
      </c>
      <c r="C5" s="3888"/>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2414.4300000000003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841" t="s">
        <v>1667</v>
      </c>
      <c r="D4" s="3842"/>
      <c r="E4" s="3843" t="s">
        <v>1668</v>
      </c>
      <c r="F4" s="3844"/>
      <c r="G4" s="3841" t="s">
        <v>1669</v>
      </c>
      <c r="H4" s="3842"/>
      <c r="I4" s="3841" t="s">
        <v>1670</v>
      </c>
      <c r="J4" s="3842"/>
      <c r="K4" s="1889" t="s">
        <v>1671</v>
      </c>
      <c r="L4" s="2715"/>
      <c r="M4" s="2716"/>
      <c r="N4" s="2716"/>
      <c r="O4" s="2716"/>
      <c r="P4" s="3845" t="s">
        <v>1672</v>
      </c>
      <c r="Q4" s="3846"/>
      <c r="R4" s="3831" t="s">
        <v>1668</v>
      </c>
      <c r="S4" s="3832"/>
      <c r="T4" s="3831" t="s">
        <v>1669</v>
      </c>
      <c r="U4" s="3832"/>
      <c r="V4" s="3827" t="s">
        <v>1670</v>
      </c>
      <c r="W4" s="3827"/>
      <c r="X4" s="1355"/>
      <c r="Y4" s="3831" t="s">
        <v>1672</v>
      </c>
      <c r="Z4" s="3832"/>
      <c r="AA4" s="3837" t="s">
        <v>1668</v>
      </c>
      <c r="AB4" s="3837" t="s">
        <v>1669</v>
      </c>
      <c r="AC4" s="3837" t="s">
        <v>1670</v>
      </c>
    </row>
    <row r="5" spans="1:29" ht="15">
      <c r="A5" s="358"/>
      <c r="B5" s="359"/>
      <c r="C5" s="3859" t="s">
        <v>1673</v>
      </c>
      <c r="D5" s="3852"/>
      <c r="E5" s="3889" t="s">
        <v>1674</v>
      </c>
      <c r="F5" s="3854"/>
      <c r="G5" s="3859" t="s">
        <v>1675</v>
      </c>
      <c r="H5" s="3852"/>
      <c r="I5" s="3859" t="s">
        <v>1676</v>
      </c>
      <c r="J5" s="3852"/>
      <c r="K5" s="1890"/>
      <c r="L5" s="2715"/>
      <c r="M5" s="2716"/>
      <c r="N5" s="2716"/>
      <c r="O5" s="2716"/>
      <c r="P5" s="3847"/>
      <c r="Q5" s="3848"/>
      <c r="R5" s="3833"/>
      <c r="S5" s="3834"/>
      <c r="T5" s="3833"/>
      <c r="U5" s="3834"/>
      <c r="V5" s="3827"/>
      <c r="W5" s="3827"/>
      <c r="X5" s="1355"/>
      <c r="Y5" s="3833"/>
      <c r="Z5" s="3834"/>
      <c r="AA5" s="3838"/>
      <c r="AB5" s="3838"/>
      <c r="AC5" s="3838"/>
    </row>
    <row r="6" spans="1:29" ht="15.75" thickBot="1">
      <c r="A6" s="360"/>
      <c r="B6" s="361"/>
      <c r="C6" s="3855" t="s">
        <v>1677</v>
      </c>
      <c r="D6" s="3856"/>
      <c r="E6" s="3857" t="s">
        <v>1677</v>
      </c>
      <c r="F6" s="3858"/>
      <c r="G6" s="3855" t="s">
        <v>1677</v>
      </c>
      <c r="H6" s="3856"/>
      <c r="I6" s="3855" t="s">
        <v>1677</v>
      </c>
      <c r="J6" s="3856"/>
      <c r="K6" s="1890" t="s">
        <v>1678</v>
      </c>
      <c r="L6" s="2715"/>
      <c r="M6" s="2716"/>
      <c r="N6" s="2716"/>
      <c r="O6" s="2716"/>
      <c r="P6" s="3849"/>
      <c r="Q6" s="3850"/>
      <c r="R6" s="3833"/>
      <c r="S6" s="3834"/>
      <c r="T6" s="3835"/>
      <c r="U6" s="3836"/>
      <c r="V6" s="3827"/>
      <c r="W6" s="3827"/>
      <c r="X6" s="1355"/>
      <c r="Y6" s="3835"/>
      <c r="Z6" s="3836"/>
      <c r="AA6" s="3839"/>
      <c r="AB6" s="3839"/>
      <c r="AC6" s="3839"/>
    </row>
    <row r="7" spans="1:29" s="108" customFormat="1" ht="15.75" thickBot="1">
      <c r="A7" s="362" t="s">
        <v>1679</v>
      </c>
      <c r="B7" s="363"/>
      <c r="C7" s="364">
        <f>'数据-取费表'!B2</f>
        <v>45478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828" t="s">
        <v>1680</v>
      </c>
      <c r="Q7" s="3840"/>
      <c r="R7" s="701" t="s">
        <v>20</v>
      </c>
      <c r="S7" s="702">
        <f t="shared" ref="S7:S15" si="0">F7</f>
        <v>0</v>
      </c>
      <c r="T7" s="701" t="s">
        <v>20</v>
      </c>
      <c r="U7" s="702">
        <f t="shared" ref="U7:U15" si="1">H7</f>
        <v>0</v>
      </c>
      <c r="V7" s="701" t="s">
        <v>20</v>
      </c>
      <c r="W7" s="702">
        <f t="shared" ref="W7:W15" si="2">J7</f>
        <v>0</v>
      </c>
      <c r="X7" s="703"/>
      <c r="Y7" s="3828" t="s">
        <v>1680</v>
      </c>
      <c r="Z7" s="382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828" t="s">
        <v>1683</v>
      </c>
      <c r="Q8" s="3829"/>
      <c r="R8" s="701" t="s">
        <v>20</v>
      </c>
      <c r="S8" s="702">
        <f t="shared" si="0"/>
        <v>100</v>
      </c>
      <c r="T8" s="701" t="s">
        <v>20</v>
      </c>
      <c r="U8" s="702">
        <f t="shared" si="1"/>
        <v>100</v>
      </c>
      <c r="V8" s="701" t="s">
        <v>20</v>
      </c>
      <c r="W8" s="702">
        <f t="shared" si="2"/>
        <v>100</v>
      </c>
      <c r="X8" s="703"/>
      <c r="Y8" s="3828" t="s">
        <v>1683</v>
      </c>
      <c r="Z8" s="382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830" t="s">
        <v>1686</v>
      </c>
      <c r="Q9" s="1343" t="str">
        <f t="shared" ref="Q9:Q15" si="6">B9</f>
        <v>用途</v>
      </c>
      <c r="R9" s="701" t="s">
        <v>14</v>
      </c>
      <c r="S9" s="702">
        <f t="shared" si="0"/>
        <v>100</v>
      </c>
      <c r="T9" s="701" t="s">
        <v>14</v>
      </c>
      <c r="U9" s="702">
        <f t="shared" si="1"/>
        <v>100</v>
      </c>
      <c r="V9" s="701" t="s">
        <v>14</v>
      </c>
      <c r="W9" s="702">
        <f t="shared" si="2"/>
        <v>100</v>
      </c>
      <c r="X9" s="703"/>
      <c r="Y9" s="37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30"/>
      <c r="Q10" s="1343" t="str">
        <f t="shared" si="6"/>
        <v>土地使用年限（年）</v>
      </c>
      <c r="R10" s="701" t="s">
        <v>14</v>
      </c>
      <c r="S10" s="702">
        <f t="shared" si="0"/>
        <v>100</v>
      </c>
      <c r="T10" s="701" t="s">
        <v>14</v>
      </c>
      <c r="U10" s="702">
        <f t="shared" si="1"/>
        <v>100</v>
      </c>
      <c r="V10" s="701" t="s">
        <v>14</v>
      </c>
      <c r="W10" s="702">
        <f t="shared" si="2"/>
        <v>100</v>
      </c>
      <c r="X10" s="703"/>
      <c r="Y10" s="37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830"/>
      <c r="Q11" s="1343" t="str">
        <f t="shared" si="6"/>
        <v>容积率</v>
      </c>
      <c r="R11" s="701" t="s">
        <v>18</v>
      </c>
      <c r="S11" s="702" t="e">
        <f t="shared" si="0"/>
        <v>#N/A</v>
      </c>
      <c r="T11" s="701" t="s">
        <v>18</v>
      </c>
      <c r="U11" s="702" t="e">
        <f t="shared" si="1"/>
        <v>#N/A</v>
      </c>
      <c r="V11" s="701" t="s">
        <v>18</v>
      </c>
      <c r="W11" s="702" t="e">
        <f t="shared" si="2"/>
        <v>#N/A</v>
      </c>
      <c r="X11" s="703"/>
      <c r="Y11" s="37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30"/>
      <c r="Q12" s="1343">
        <f t="shared" si="6"/>
        <v>111</v>
      </c>
      <c r="R12" s="701" t="s">
        <v>18</v>
      </c>
      <c r="S12" s="702">
        <f t="shared" si="0"/>
        <v>100</v>
      </c>
      <c r="T12" s="701" t="s">
        <v>18</v>
      </c>
      <c r="U12" s="702">
        <f t="shared" si="1"/>
        <v>100</v>
      </c>
      <c r="V12" s="701" t="s">
        <v>18</v>
      </c>
      <c r="W12" s="702">
        <f t="shared" si="2"/>
        <v>100</v>
      </c>
      <c r="X12" s="703"/>
      <c r="Y12" s="37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30"/>
      <c r="Q13" s="1343">
        <f t="shared" si="6"/>
        <v>111</v>
      </c>
      <c r="R13" s="701" t="s">
        <v>18</v>
      </c>
      <c r="S13" s="702">
        <f t="shared" si="0"/>
        <v>100</v>
      </c>
      <c r="T13" s="701" t="s">
        <v>18</v>
      </c>
      <c r="U13" s="702">
        <f t="shared" si="1"/>
        <v>100</v>
      </c>
      <c r="V13" s="701" t="s">
        <v>18</v>
      </c>
      <c r="W13" s="702">
        <f t="shared" si="2"/>
        <v>100</v>
      </c>
      <c r="X13" s="703"/>
      <c r="Y13" s="37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30"/>
      <c r="Q14" s="1343">
        <f t="shared" si="6"/>
        <v>111</v>
      </c>
      <c r="R14" s="701" t="s">
        <v>18</v>
      </c>
      <c r="S14" s="702">
        <f t="shared" si="0"/>
        <v>100</v>
      </c>
      <c r="T14" s="701" t="s">
        <v>18</v>
      </c>
      <c r="U14" s="702">
        <f t="shared" si="1"/>
        <v>100</v>
      </c>
      <c r="V14" s="701" t="s">
        <v>18</v>
      </c>
      <c r="W14" s="702">
        <f t="shared" si="2"/>
        <v>100</v>
      </c>
      <c r="X14" s="703"/>
      <c r="Y14" s="373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18" t="s">
        <v>1691</v>
      </c>
      <c r="Q15" s="1352" t="str">
        <f t="shared" si="6"/>
        <v>居住社区成熟度</v>
      </c>
      <c r="R15" s="705" t="s">
        <v>18</v>
      </c>
      <c r="S15" s="706">
        <f t="shared" si="0"/>
        <v>100</v>
      </c>
      <c r="T15" s="705" t="s">
        <v>18</v>
      </c>
      <c r="U15" s="706">
        <f t="shared" si="1"/>
        <v>100</v>
      </c>
      <c r="V15" s="705" t="s">
        <v>18</v>
      </c>
      <c r="W15" s="706">
        <f t="shared" si="2"/>
        <v>100</v>
      </c>
      <c r="X15" s="1355"/>
      <c r="Y15" s="382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19"/>
      <c r="Q16" s="1352"/>
      <c r="R16" s="705"/>
      <c r="S16" s="706"/>
      <c r="T16" s="705"/>
      <c r="U16" s="706"/>
      <c r="V16" s="705"/>
      <c r="W16" s="706"/>
      <c r="X16" s="1355"/>
      <c r="Y16" s="382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819"/>
      <c r="Q17" s="1352" t="str">
        <f>B17</f>
        <v>交通便捷度</v>
      </c>
      <c r="R17" s="705" t="s">
        <v>18</v>
      </c>
      <c r="S17" s="706">
        <f>F17</f>
        <v>100</v>
      </c>
      <c r="T17" s="705" t="s">
        <v>18</v>
      </c>
      <c r="U17" s="706">
        <f>H17</f>
        <v>100</v>
      </c>
      <c r="V17" s="705" t="s">
        <v>18</v>
      </c>
      <c r="W17" s="706">
        <f>J17</f>
        <v>100</v>
      </c>
      <c r="X17" s="1355"/>
      <c r="Y17" s="382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819"/>
      <c r="Q18" s="1352"/>
      <c r="R18" s="705"/>
      <c r="S18" s="706"/>
      <c r="T18" s="705"/>
      <c r="U18" s="706"/>
      <c r="V18" s="705"/>
      <c r="W18" s="706"/>
      <c r="X18" s="1355"/>
      <c r="Y18" s="382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19"/>
      <c r="Q19" s="1352" t="str">
        <f>B19</f>
        <v>公共配套设施</v>
      </c>
      <c r="R19" s="705" t="s">
        <v>18</v>
      </c>
      <c r="S19" s="706">
        <f>F19</f>
        <v>100</v>
      </c>
      <c r="T19" s="705" t="s">
        <v>18</v>
      </c>
      <c r="U19" s="706">
        <f>H19</f>
        <v>100</v>
      </c>
      <c r="V19" s="705" t="s">
        <v>18</v>
      </c>
      <c r="W19" s="706">
        <f>J19</f>
        <v>100</v>
      </c>
      <c r="X19" s="1355"/>
      <c r="Y19" s="382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19"/>
      <c r="Q20" s="1352"/>
      <c r="R20" s="705"/>
      <c r="S20" s="706"/>
      <c r="T20" s="705"/>
      <c r="U20" s="706"/>
      <c r="V20" s="705"/>
      <c r="W20" s="706"/>
      <c r="X20" s="1355"/>
      <c r="Y20" s="382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19"/>
      <c r="Q21" s="1352" t="str">
        <f>B21</f>
        <v>基础设施水平</v>
      </c>
      <c r="R21" s="705" t="s">
        <v>14</v>
      </c>
      <c r="S21" s="706">
        <f>F21</f>
        <v>100</v>
      </c>
      <c r="T21" s="705" t="s">
        <v>14</v>
      </c>
      <c r="U21" s="706">
        <f>H21</f>
        <v>100</v>
      </c>
      <c r="V21" s="705" t="s">
        <v>14</v>
      </c>
      <c r="W21" s="706">
        <f>J21</f>
        <v>100</v>
      </c>
      <c r="X21" s="1355"/>
      <c r="Y21" s="38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19"/>
      <c r="Q22" s="1352"/>
      <c r="R22" s="705"/>
      <c r="S22" s="706"/>
      <c r="T22" s="705"/>
      <c r="U22" s="706"/>
      <c r="V22" s="705"/>
      <c r="W22" s="706"/>
      <c r="X22" s="1355"/>
      <c r="Y22" s="382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19"/>
      <c r="Q23" s="1352" t="str">
        <f>B23</f>
        <v>自然及人文环境</v>
      </c>
      <c r="R23" s="705" t="s">
        <v>18</v>
      </c>
      <c r="S23" s="706">
        <f>F23</f>
        <v>100</v>
      </c>
      <c r="T23" s="705" t="s">
        <v>18</v>
      </c>
      <c r="U23" s="706">
        <f>H23</f>
        <v>100</v>
      </c>
      <c r="V23" s="705" t="s">
        <v>18</v>
      </c>
      <c r="W23" s="706">
        <f>J23</f>
        <v>100</v>
      </c>
      <c r="X23" s="1355"/>
      <c r="Y23" s="382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19"/>
      <c r="Q24" s="1352"/>
      <c r="R24" s="705"/>
      <c r="S24" s="706"/>
      <c r="T24" s="705"/>
      <c r="U24" s="706"/>
      <c r="V24" s="705"/>
      <c r="W24" s="706"/>
      <c r="X24" s="1355"/>
      <c r="Y24" s="382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1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2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819"/>
      <c r="Q26" s="1352" t="str">
        <f t="shared" si="11"/>
        <v>朝向</v>
      </c>
      <c r="R26" s="705" t="s">
        <v>18</v>
      </c>
      <c r="S26" s="706">
        <f t="shared" si="12"/>
        <v>100</v>
      </c>
      <c r="T26" s="705" t="s">
        <v>18</v>
      </c>
      <c r="U26" s="706">
        <f t="shared" si="13"/>
        <v>100</v>
      </c>
      <c r="V26" s="705" t="s">
        <v>18</v>
      </c>
      <c r="W26" s="706">
        <f t="shared" si="14"/>
        <v>100</v>
      </c>
      <c r="X26" s="1355"/>
      <c r="Y26" s="382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819"/>
      <c r="Q27" s="1343">
        <f t="shared" si="11"/>
        <v>111</v>
      </c>
      <c r="R27" s="701" t="s">
        <v>18</v>
      </c>
      <c r="S27" s="702">
        <f t="shared" si="12"/>
        <v>100</v>
      </c>
      <c r="T27" s="701" t="s">
        <v>18</v>
      </c>
      <c r="U27" s="702">
        <f t="shared" si="13"/>
        <v>100</v>
      </c>
      <c r="V27" s="701" t="s">
        <v>18</v>
      </c>
      <c r="W27" s="702">
        <f t="shared" si="14"/>
        <v>100</v>
      </c>
      <c r="X27" s="703"/>
      <c r="Y27" s="382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19"/>
      <c r="Q28" s="1352">
        <f t="shared" si="11"/>
        <v>111</v>
      </c>
      <c r="R28" s="705" t="s">
        <v>18</v>
      </c>
      <c r="S28" s="706">
        <f t="shared" si="12"/>
        <v>100</v>
      </c>
      <c r="T28" s="705" t="s">
        <v>18</v>
      </c>
      <c r="U28" s="706">
        <f t="shared" si="13"/>
        <v>100</v>
      </c>
      <c r="V28" s="705" t="s">
        <v>18</v>
      </c>
      <c r="W28" s="706">
        <f t="shared" si="14"/>
        <v>100</v>
      </c>
      <c r="X28" s="1355"/>
      <c r="Y28" s="382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19"/>
      <c r="Q29" s="1352">
        <f t="shared" si="11"/>
        <v>111</v>
      </c>
      <c r="R29" s="705" t="s">
        <v>18</v>
      </c>
      <c r="S29" s="706">
        <f t="shared" si="12"/>
        <v>100</v>
      </c>
      <c r="T29" s="705" t="s">
        <v>18</v>
      </c>
      <c r="U29" s="706">
        <f t="shared" si="13"/>
        <v>100</v>
      </c>
      <c r="V29" s="705" t="s">
        <v>18</v>
      </c>
      <c r="W29" s="706">
        <f t="shared" si="14"/>
        <v>100</v>
      </c>
      <c r="X29" s="1355"/>
      <c r="Y29" s="382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19"/>
      <c r="Q30" s="1352">
        <f t="shared" si="11"/>
        <v>111</v>
      </c>
      <c r="R30" s="705" t="s">
        <v>18</v>
      </c>
      <c r="S30" s="706">
        <f t="shared" si="12"/>
        <v>100</v>
      </c>
      <c r="T30" s="705" t="s">
        <v>18</v>
      </c>
      <c r="U30" s="706">
        <f t="shared" si="13"/>
        <v>100</v>
      </c>
      <c r="V30" s="705" t="s">
        <v>18</v>
      </c>
      <c r="W30" s="706">
        <f t="shared" si="14"/>
        <v>100</v>
      </c>
      <c r="X30" s="1355"/>
      <c r="Y30" s="382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19"/>
      <c r="Q31" s="1352">
        <f t="shared" si="11"/>
        <v>111</v>
      </c>
      <c r="R31" s="705" t="s">
        <v>18</v>
      </c>
      <c r="S31" s="706">
        <f t="shared" si="12"/>
        <v>100</v>
      </c>
      <c r="T31" s="705" t="s">
        <v>18</v>
      </c>
      <c r="U31" s="706">
        <f t="shared" si="13"/>
        <v>100</v>
      </c>
      <c r="V31" s="705" t="s">
        <v>18</v>
      </c>
      <c r="W31" s="706">
        <f t="shared" si="14"/>
        <v>100</v>
      </c>
      <c r="X31" s="1355"/>
      <c r="Y31" s="382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822" t="s">
        <v>1696</v>
      </c>
      <c r="Q32" s="1352" t="str">
        <f t="shared" si="11"/>
        <v>建筑类型</v>
      </c>
      <c r="R32" s="705" t="s">
        <v>18</v>
      </c>
      <c r="S32" s="706">
        <f t="shared" si="12"/>
        <v>100</v>
      </c>
      <c r="T32" s="705" t="s">
        <v>18</v>
      </c>
      <c r="U32" s="706">
        <f t="shared" si="13"/>
        <v>100</v>
      </c>
      <c r="V32" s="705" t="s">
        <v>18</v>
      </c>
      <c r="W32" s="706">
        <f t="shared" si="14"/>
        <v>100</v>
      </c>
      <c r="X32" s="1355"/>
      <c r="Y32" s="382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823"/>
      <c r="Q33" s="707" t="str">
        <f t="shared" si="11"/>
        <v>项目建筑规模</v>
      </c>
      <c r="R33" s="708" t="s">
        <v>18</v>
      </c>
      <c r="S33" s="709" t="e">
        <f t="shared" si="12"/>
        <v>#N/A</v>
      </c>
      <c r="T33" s="708" t="s">
        <v>18</v>
      </c>
      <c r="U33" s="709" t="e">
        <f t="shared" si="13"/>
        <v>#N/A</v>
      </c>
      <c r="V33" s="708" t="s">
        <v>18</v>
      </c>
      <c r="W33" s="709" t="e">
        <f t="shared" si="14"/>
        <v>#N/A</v>
      </c>
      <c r="X33" s="710"/>
      <c r="Y33" s="382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823"/>
      <c r="Q34" s="1352" t="str">
        <f t="shared" si="11"/>
        <v>建筑结构</v>
      </c>
      <c r="R34" s="705" t="s">
        <v>18</v>
      </c>
      <c r="S34" s="706">
        <f t="shared" si="12"/>
        <v>100</v>
      </c>
      <c r="T34" s="705" t="s">
        <v>18</v>
      </c>
      <c r="U34" s="706">
        <f t="shared" si="13"/>
        <v>100</v>
      </c>
      <c r="V34" s="705" t="s">
        <v>18</v>
      </c>
      <c r="W34" s="706">
        <f t="shared" si="14"/>
        <v>100</v>
      </c>
      <c r="X34" s="1355"/>
      <c r="Y34" s="382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23"/>
      <c r="Q35" s="1352" t="str">
        <f t="shared" si="11"/>
        <v>建筑品质</v>
      </c>
      <c r="R35" s="705" t="s">
        <v>18</v>
      </c>
      <c r="S35" s="706">
        <f t="shared" si="12"/>
        <v>100</v>
      </c>
      <c r="T35" s="705" t="s">
        <v>18</v>
      </c>
      <c r="U35" s="706">
        <f t="shared" si="13"/>
        <v>100</v>
      </c>
      <c r="V35" s="705" t="s">
        <v>18</v>
      </c>
      <c r="W35" s="706">
        <f t="shared" si="14"/>
        <v>100</v>
      </c>
      <c r="X35" s="1355"/>
      <c r="Y35" s="382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823"/>
      <c r="Q36" s="1352" t="str">
        <f t="shared" si="11"/>
        <v>公共部分装修</v>
      </c>
      <c r="R36" s="705" t="s">
        <v>18</v>
      </c>
      <c r="S36" s="706">
        <f t="shared" si="12"/>
        <v>100</v>
      </c>
      <c r="T36" s="705" t="s">
        <v>18</v>
      </c>
      <c r="U36" s="706">
        <f t="shared" si="13"/>
        <v>100</v>
      </c>
      <c r="V36" s="705" t="s">
        <v>18</v>
      </c>
      <c r="W36" s="706">
        <f t="shared" si="14"/>
        <v>100</v>
      </c>
      <c r="X36" s="1355"/>
      <c r="Y36" s="382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823"/>
      <c r="Q37" s="1343" t="str">
        <f t="shared" si="11"/>
        <v>成新度</v>
      </c>
      <c r="R37" s="701" t="s">
        <v>18</v>
      </c>
      <c r="S37" s="702" t="e">
        <f t="shared" si="12"/>
        <v>#N/A</v>
      </c>
      <c r="T37" s="701" t="s">
        <v>18</v>
      </c>
      <c r="U37" s="702" t="e">
        <f t="shared" si="13"/>
        <v>#N/A</v>
      </c>
      <c r="V37" s="701" t="s">
        <v>18</v>
      </c>
      <c r="W37" s="702" t="e">
        <f t="shared" si="14"/>
        <v>#N/A</v>
      </c>
      <c r="X37" s="703"/>
      <c r="Y37" s="382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823" t="s">
        <v>1696</v>
      </c>
      <c r="Q38" s="1352" t="str">
        <f t="shared" si="11"/>
        <v>物业管理</v>
      </c>
      <c r="R38" s="705" t="s">
        <v>18</v>
      </c>
      <c r="S38" s="706">
        <f t="shared" si="12"/>
        <v>100</v>
      </c>
      <c r="T38" s="705" t="s">
        <v>18</v>
      </c>
      <c r="U38" s="706">
        <f t="shared" si="13"/>
        <v>100</v>
      </c>
      <c r="V38" s="705" t="s">
        <v>18</v>
      </c>
      <c r="W38" s="706">
        <f t="shared" si="14"/>
        <v>100</v>
      </c>
      <c r="X38" s="1355"/>
      <c r="Y38" s="382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823"/>
      <c r="Q39" s="1352" t="str">
        <f t="shared" si="11"/>
        <v>市政基础设施</v>
      </c>
      <c r="R39" s="705" t="s">
        <v>18</v>
      </c>
      <c r="S39" s="706">
        <f t="shared" si="12"/>
        <v>100</v>
      </c>
      <c r="T39" s="705" t="s">
        <v>18</v>
      </c>
      <c r="U39" s="706">
        <f t="shared" si="13"/>
        <v>100</v>
      </c>
      <c r="V39" s="705" t="s">
        <v>18</v>
      </c>
      <c r="W39" s="706">
        <f t="shared" si="14"/>
        <v>100</v>
      </c>
      <c r="X39" s="1355"/>
      <c r="Y39" s="382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823"/>
      <c r="Q40" s="1352" t="str">
        <f t="shared" si="11"/>
        <v>房型</v>
      </c>
      <c r="R40" s="705" t="s">
        <v>18</v>
      </c>
      <c r="S40" s="706">
        <f t="shared" si="12"/>
        <v>100</v>
      </c>
      <c r="T40" s="705" t="s">
        <v>18</v>
      </c>
      <c r="U40" s="706">
        <f t="shared" si="13"/>
        <v>100</v>
      </c>
      <c r="V40" s="705" t="s">
        <v>18</v>
      </c>
      <c r="W40" s="706">
        <f t="shared" si="14"/>
        <v>100</v>
      </c>
      <c r="X40" s="1355"/>
      <c r="Y40" s="382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23"/>
      <c r="Q41" s="707" t="str">
        <f t="shared" si="11"/>
        <v>单套/主力户型建筑面积</v>
      </c>
      <c r="R41" s="708" t="s">
        <v>18</v>
      </c>
      <c r="S41" s="709">
        <f t="shared" si="12"/>
        <v>100</v>
      </c>
      <c r="T41" s="708" t="s">
        <v>18</v>
      </c>
      <c r="U41" s="709">
        <f t="shared" si="13"/>
        <v>100</v>
      </c>
      <c r="V41" s="708" t="s">
        <v>18</v>
      </c>
      <c r="W41" s="709">
        <f t="shared" si="14"/>
        <v>100</v>
      </c>
      <c r="X41" s="710"/>
      <c r="Y41" s="382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823"/>
      <c r="Q42" s="1352" t="str">
        <f t="shared" si="11"/>
        <v>内部装修</v>
      </c>
      <c r="R42" s="705" t="s">
        <v>18</v>
      </c>
      <c r="S42" s="706">
        <f t="shared" si="12"/>
        <v>100</v>
      </c>
      <c r="T42" s="705" t="s">
        <v>18</v>
      </c>
      <c r="U42" s="706">
        <f t="shared" si="13"/>
        <v>100</v>
      </c>
      <c r="V42" s="705" t="s">
        <v>18</v>
      </c>
      <c r="W42" s="706">
        <f t="shared" si="14"/>
        <v>100</v>
      </c>
      <c r="X42" s="1355"/>
      <c r="Y42" s="382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823"/>
      <c r="Q43" s="1352" t="str">
        <f t="shared" si="11"/>
        <v>内部装修维护情况</v>
      </c>
      <c r="R43" s="705" t="s">
        <v>18</v>
      </c>
      <c r="S43" s="706">
        <f t="shared" si="12"/>
        <v>100</v>
      </c>
      <c r="T43" s="705" t="s">
        <v>18</v>
      </c>
      <c r="U43" s="706">
        <f t="shared" si="13"/>
        <v>100</v>
      </c>
      <c r="V43" s="705" t="s">
        <v>18</v>
      </c>
      <c r="W43" s="706">
        <f t="shared" si="14"/>
        <v>100</v>
      </c>
      <c r="X43" s="1355"/>
      <c r="Y43" s="382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823"/>
      <c r="Q44" s="1343">
        <f t="shared" si="11"/>
        <v>111</v>
      </c>
      <c r="R44" s="701" t="s">
        <v>18</v>
      </c>
      <c r="S44" s="702">
        <f t="shared" si="12"/>
        <v>100</v>
      </c>
      <c r="T44" s="701" t="s">
        <v>18</v>
      </c>
      <c r="U44" s="702">
        <f t="shared" si="13"/>
        <v>100</v>
      </c>
      <c r="V44" s="701" t="s">
        <v>18</v>
      </c>
      <c r="W44" s="702">
        <f t="shared" si="14"/>
        <v>100</v>
      </c>
      <c r="X44" s="703"/>
      <c r="Y44" s="382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23"/>
      <c r="Q45" s="1352">
        <f t="shared" si="11"/>
        <v>111</v>
      </c>
      <c r="R45" s="705" t="s">
        <v>18</v>
      </c>
      <c r="S45" s="706">
        <f t="shared" si="12"/>
        <v>100</v>
      </c>
      <c r="T45" s="705" t="s">
        <v>18</v>
      </c>
      <c r="U45" s="706">
        <f t="shared" si="13"/>
        <v>100</v>
      </c>
      <c r="V45" s="705" t="s">
        <v>18</v>
      </c>
      <c r="W45" s="706">
        <f t="shared" si="14"/>
        <v>100</v>
      </c>
      <c r="X45" s="1355"/>
      <c r="Y45" s="382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24"/>
      <c r="Q46" s="1352">
        <f t="shared" si="11"/>
        <v>111</v>
      </c>
      <c r="R46" s="705" t="s">
        <v>17</v>
      </c>
      <c r="S46" s="706">
        <f t="shared" si="12"/>
        <v>100</v>
      </c>
      <c r="T46" s="705" t="s">
        <v>17</v>
      </c>
      <c r="U46" s="706">
        <f t="shared" si="13"/>
        <v>100</v>
      </c>
      <c r="V46" s="705" t="s">
        <v>17</v>
      </c>
      <c r="W46" s="706">
        <f t="shared" si="14"/>
        <v>100</v>
      </c>
      <c r="X46" s="1355"/>
      <c r="Y46" s="382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813" t="str">
        <f>A47</f>
        <v>成交单价（元/平方米）</v>
      </c>
      <c r="Q47" s="3813"/>
      <c r="R47" s="3814">
        <f>E47</f>
        <v>0</v>
      </c>
      <c r="S47" s="3814"/>
      <c r="T47" s="3814">
        <f>G47</f>
        <v>0</v>
      </c>
      <c r="U47" s="3814"/>
      <c r="V47" s="3814">
        <f>I47</f>
        <v>0</v>
      </c>
      <c r="W47" s="381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813" t="str">
        <f>A48</f>
        <v>比较价值（元/平方米）</v>
      </c>
      <c r="Q48" s="3813"/>
      <c r="R48" s="3814" t="e">
        <f>IF(F1="售价",ROUND(PRODUCT(R47,AA7:AA46),0),ROUND(PRODUCT(R47,AA7:AA46),1))</f>
        <v>#DIV/0!</v>
      </c>
      <c r="S48" s="3814"/>
      <c r="T48" s="3814" t="e">
        <f>IF(F1="售价",ROUND(PRODUCT(T47,AB7:AB46),0),ROUND(PRODUCT(T47,AB7:AB46),1))</f>
        <v>#DIV/0!</v>
      </c>
      <c r="U48" s="3814"/>
      <c r="V48" s="3814" t="e">
        <f>IF(F1="售价",ROUND(PRODUCT(V47,AC7:AC46),0),ROUND(PRODUCT(V47,AC7:AC46),1))</f>
        <v>#DIV/0!</v>
      </c>
      <c r="W48" s="381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815" t="str">
        <f>A49</f>
        <v>估价对象XX用房的比较价值（楼面单价，元/平方米）</v>
      </c>
      <c r="Q49" s="3816"/>
      <c r="R49" s="3817" t="e">
        <f>IF(F1="售价",ROUND(IF(D48="简单平均",AVERAGE(R48:V48),R48*F48+T48*H48+V48*J48),0),ROUND(IF(D48="简单平均",AVERAGE(R48:V48),R48*F48+T48*H48+V48*J48),1))</f>
        <v>#DIV/0!</v>
      </c>
      <c r="S49" s="3817"/>
      <c r="T49" s="3817"/>
      <c r="U49" s="3817"/>
      <c r="V49" s="3817"/>
      <c r="W49" s="38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P47"/>
  <sheetViews>
    <sheetView view="pageBreakPreview" topLeftCell="A10" zoomScaleSheetLayoutView="100" workbookViewId="0">
      <selection activeCell="I20" sqref="I20:I21"/>
    </sheetView>
  </sheetViews>
  <sheetFormatPr defaultColWidth="9" defaultRowHeight="13.5"/>
  <cols>
    <col min="1" max="1" width="6.375" style="3463" customWidth="1"/>
    <col min="2" max="2" width="19.375" style="3507" customWidth="1"/>
    <col min="3" max="3" width="10.375" style="3463" customWidth="1"/>
    <col min="4" max="4" width="9" style="3463" customWidth="1"/>
    <col min="5" max="5" width="8.625" style="3463" customWidth="1"/>
    <col min="6" max="6" width="4.75" style="3463" customWidth="1"/>
    <col min="7" max="7" width="19.375" style="3508" customWidth="1"/>
    <col min="8" max="8" width="18" style="3463" customWidth="1"/>
    <col min="9" max="9" width="6.875" style="3463" customWidth="1"/>
    <col min="10" max="10" width="10.5" style="3459" customWidth="1"/>
    <col min="11" max="11" width="4.875" style="3459" customWidth="1"/>
    <col min="12" max="12" width="16.375" style="3459" customWidth="1"/>
    <col min="13" max="16" width="8.125" style="3463" customWidth="1"/>
    <col min="17" max="16384" width="9" style="3463"/>
  </cols>
  <sheetData>
    <row r="1" spans="1:16">
      <c r="A1" s="3799" t="s">
        <v>3420</v>
      </c>
      <c r="B1" s="3799"/>
      <c r="C1" s="3799"/>
      <c r="D1" s="3799"/>
      <c r="E1" s="3799"/>
      <c r="F1" s="3799"/>
      <c r="G1" s="3799"/>
      <c r="H1" s="3799"/>
      <c r="I1" s="3799"/>
      <c r="K1" s="3800" t="s">
        <v>3421</v>
      </c>
      <c r="L1" s="3460" t="s">
        <v>3422</v>
      </c>
      <c r="M1" s="3461">
        <v>0</v>
      </c>
      <c r="N1" s="3462"/>
      <c r="O1" s="3462"/>
    </row>
    <row r="2" spans="1:16" ht="15.75" customHeight="1">
      <c r="A2" s="3464" t="s">
        <v>3423</v>
      </c>
      <c r="B2" s="3465" t="s">
        <v>3424</v>
      </c>
      <c r="C2" s="3767" t="s">
        <v>3425</v>
      </c>
      <c r="D2" s="3768"/>
      <c r="E2" s="3768"/>
      <c r="F2" s="3769"/>
      <c r="G2" s="3557" t="s">
        <v>3426</v>
      </c>
      <c r="H2" s="3770" t="s">
        <v>3427</v>
      </c>
      <c r="I2" s="3770"/>
      <c r="K2" s="3800"/>
      <c r="L2" s="3460" t="s">
        <v>3428</v>
      </c>
      <c r="M2" s="3467" t="s">
        <v>3429</v>
      </c>
      <c r="N2" s="3468"/>
      <c r="O2" s="3468"/>
    </row>
    <row r="3" spans="1:16" ht="27">
      <c r="A3" s="3557" t="s">
        <v>3430</v>
      </c>
      <c r="B3" s="3558" t="s">
        <v>3431</v>
      </c>
      <c r="C3" s="3801">
        <f>ROUND('售价比较法-办公 '!C49*'售价比较法-办公 '!C34,0)</f>
        <v>47619674</v>
      </c>
      <c r="D3" s="3802"/>
      <c r="E3" s="3802"/>
      <c r="F3" s="3803"/>
      <c r="G3" s="3557" t="s">
        <v>3432</v>
      </c>
      <c r="H3" s="3558" t="s">
        <v>3433</v>
      </c>
      <c r="I3" s="3470">
        <f>'数据-汇总表'!E20</f>
        <v>1336.34</v>
      </c>
      <c r="K3" s="3800"/>
      <c r="L3" s="3460" t="s">
        <v>3434</v>
      </c>
      <c r="M3" s="3467" t="s">
        <v>3435</v>
      </c>
      <c r="N3" s="3468"/>
      <c r="O3" s="3468"/>
    </row>
    <row r="4" spans="1:16">
      <c r="A4" s="3770" t="s">
        <v>3436</v>
      </c>
      <c r="B4" s="3771" t="s">
        <v>3437</v>
      </c>
      <c r="C4" s="3804">
        <f>ROUND(C3*(I4-I6)/(1-((1+I6)/(1+I4))^I5),0)</f>
        <v>2639643</v>
      </c>
      <c r="D4" s="3805"/>
      <c r="E4" s="3805"/>
      <c r="F4" s="3806"/>
      <c r="G4" s="3770" t="s">
        <v>3438</v>
      </c>
      <c r="H4" s="3471" t="s">
        <v>3439</v>
      </c>
      <c r="I4" s="3472">
        <v>0.05</v>
      </c>
      <c r="K4" s="3800"/>
      <c r="L4" s="3460" t="s">
        <v>3440</v>
      </c>
      <c r="M4" s="3473">
        <f>ROUND(1-(1-M1)*M2/M3,2)</f>
        <v>0.55000000000000004</v>
      </c>
      <c r="N4" s="3468"/>
      <c r="O4" s="3468"/>
    </row>
    <row r="5" spans="1:16" s="3477" customFormat="1" ht="18" customHeight="1">
      <c r="A5" s="3770"/>
      <c r="B5" s="3771"/>
      <c r="C5" s="3807"/>
      <c r="D5" s="3808"/>
      <c r="E5" s="3808"/>
      <c r="F5" s="3809"/>
      <c r="G5" s="3770"/>
      <c r="H5" s="3558" t="s">
        <v>3441</v>
      </c>
      <c r="I5" s="3474">
        <f>项目基本情况!E15</f>
        <v>29.44</v>
      </c>
      <c r="J5" s="3475"/>
      <c r="K5" s="3800"/>
      <c r="L5" s="3460" t="s">
        <v>3442</v>
      </c>
      <c r="M5" s="3476">
        <v>0.5</v>
      </c>
      <c r="N5" s="3468"/>
      <c r="O5" s="3468"/>
    </row>
    <row r="6" spans="1:16" s="3477" customFormat="1" ht="18" customHeight="1">
      <c r="A6" s="3770"/>
      <c r="B6" s="3771"/>
      <c r="C6" s="3810"/>
      <c r="D6" s="3811"/>
      <c r="E6" s="3811"/>
      <c r="F6" s="3812"/>
      <c r="G6" s="3770"/>
      <c r="H6" s="3558" t="s">
        <v>3443</v>
      </c>
      <c r="I6" s="3478">
        <v>1.4999999999999999E-2</v>
      </c>
      <c r="J6" s="3479"/>
      <c r="K6" s="3770" t="s">
        <v>3444</v>
      </c>
      <c r="L6" s="3480" t="s">
        <v>3445</v>
      </c>
      <c r="M6" s="3563" t="s">
        <v>3446</v>
      </c>
      <c r="N6" s="3563" t="s">
        <v>3447</v>
      </c>
      <c r="O6" s="3563" t="s">
        <v>3448</v>
      </c>
      <c r="P6" s="3563" t="s">
        <v>3449</v>
      </c>
    </row>
    <row r="7" spans="1:16" s="3477" customFormat="1" ht="17.25" customHeight="1">
      <c r="A7" s="3557" t="s">
        <v>3450</v>
      </c>
      <c r="B7" s="3558" t="s">
        <v>3451</v>
      </c>
      <c r="C7" s="3767">
        <f>ROUND(C23*I7,0)</f>
        <v>5133233</v>
      </c>
      <c r="D7" s="3768"/>
      <c r="E7" s="3768"/>
      <c r="F7" s="3769"/>
      <c r="G7" s="3557" t="s">
        <v>3452</v>
      </c>
      <c r="H7" s="3558" t="s">
        <v>3453</v>
      </c>
      <c r="I7" s="3482">
        <v>0.7</v>
      </c>
      <c r="K7" s="3770"/>
      <c r="L7" s="3480" t="s">
        <v>3454</v>
      </c>
      <c r="M7" s="3563">
        <v>100</v>
      </c>
      <c r="N7" s="3563" t="s">
        <v>3455</v>
      </c>
      <c r="O7" s="3563">
        <v>80</v>
      </c>
      <c r="P7" s="3483">
        <v>0.3</v>
      </c>
    </row>
    <row r="8" spans="1:16" s="3477" customFormat="1" ht="29.25" customHeight="1">
      <c r="A8" s="3464" t="s">
        <v>3456</v>
      </c>
      <c r="B8" s="3558" t="s">
        <v>3457</v>
      </c>
      <c r="C8" s="3767">
        <f>ROUND(I8*I3,0)</f>
        <v>4677190</v>
      </c>
      <c r="D8" s="3768"/>
      <c r="E8" s="3768"/>
      <c r="F8" s="3769"/>
      <c r="G8" s="3557" t="s">
        <v>3458</v>
      </c>
      <c r="H8" s="3558" t="s">
        <v>3561</v>
      </c>
      <c r="I8" s="3557">
        <v>3500</v>
      </c>
      <c r="J8" s="3484">
        <f>D36</f>
        <v>6.8</v>
      </c>
      <c r="K8" s="3770"/>
      <c r="L8" s="3480" t="s">
        <v>3459</v>
      </c>
      <c r="M8" s="3563">
        <v>100</v>
      </c>
      <c r="N8" s="3563" t="s">
        <v>3460</v>
      </c>
      <c r="O8" s="3563">
        <v>80</v>
      </c>
      <c r="P8" s="3483">
        <v>0.5</v>
      </c>
    </row>
    <row r="9" spans="1:16" s="3477" customFormat="1" ht="18" customHeight="1">
      <c r="A9" s="3464" t="s">
        <v>3461</v>
      </c>
      <c r="B9" s="3558" t="s">
        <v>3462</v>
      </c>
      <c r="C9" s="3767">
        <f>ROUND(C8*H9,0)</f>
        <v>140316</v>
      </c>
      <c r="D9" s="3768"/>
      <c r="E9" s="3768"/>
      <c r="F9" s="3769"/>
      <c r="G9" s="3557" t="s">
        <v>3463</v>
      </c>
      <c r="H9" s="3795">
        <f>'[1]数据-取费表'!B33</f>
        <v>0.03</v>
      </c>
      <c r="I9" s="3795"/>
      <c r="J9" s="3484">
        <f>D37</f>
        <v>8.39</v>
      </c>
      <c r="K9" s="3770"/>
      <c r="L9" s="3480" t="s">
        <v>3464</v>
      </c>
      <c r="M9" s="3563">
        <v>100</v>
      </c>
      <c r="N9" s="3563" t="s">
        <v>3460</v>
      </c>
      <c r="O9" s="3563">
        <v>80</v>
      </c>
      <c r="P9" s="3483">
        <f>1-P7-P8</f>
        <v>0.19999999999999996</v>
      </c>
    </row>
    <row r="10" spans="1:16" s="3477" customFormat="1" ht="18" customHeight="1">
      <c r="A10" s="3464" t="s">
        <v>3465</v>
      </c>
      <c r="B10" s="3558" t="s">
        <v>3466</v>
      </c>
      <c r="C10" s="3767">
        <f>ROUND(C8*H10,0)</f>
        <v>0</v>
      </c>
      <c r="D10" s="3768"/>
      <c r="E10" s="3768"/>
      <c r="F10" s="3769"/>
      <c r="G10" s="3557" t="s">
        <v>3463</v>
      </c>
      <c r="H10" s="3795">
        <v>0</v>
      </c>
      <c r="I10" s="3795"/>
      <c r="J10" s="3484">
        <f>D38</f>
        <v>7.6</v>
      </c>
      <c r="K10" s="3770"/>
      <c r="L10" s="3485" t="s">
        <v>3467</v>
      </c>
      <c r="M10" s="3486">
        <f>1-M5</f>
        <v>0.5</v>
      </c>
      <c r="N10" s="3563" t="s">
        <v>3440</v>
      </c>
      <c r="O10" s="3487">
        <f>ROUND((O7*P7+O8*P8+O9*P9)/100,2)</f>
        <v>0.8</v>
      </c>
      <c r="P10" s="3488"/>
    </row>
    <row r="11" spans="1:16" s="3477" customFormat="1" ht="29.25" customHeight="1">
      <c r="A11" s="3464" t="s">
        <v>3468</v>
      </c>
      <c r="B11" s="3558" t="s">
        <v>3469</v>
      </c>
      <c r="C11" s="3767">
        <f>ROUND(I11*I3,0)</f>
        <v>267268</v>
      </c>
      <c r="D11" s="3768"/>
      <c r="E11" s="3768"/>
      <c r="F11" s="3769"/>
      <c r="G11" s="3557" t="s">
        <v>3470</v>
      </c>
      <c r="H11" s="3558" t="s">
        <v>3471</v>
      </c>
      <c r="I11" s="3557">
        <f>'[1]数据-取费表'!B35</f>
        <v>200</v>
      </c>
      <c r="J11" s="3475"/>
      <c r="K11" s="3459"/>
      <c r="L11" s="3459"/>
    </row>
    <row r="12" spans="1:16" s="3477" customFormat="1" ht="18" customHeight="1">
      <c r="A12" s="3464" t="s">
        <v>3472</v>
      </c>
      <c r="B12" s="3558" t="s">
        <v>3473</v>
      </c>
      <c r="C12" s="3767">
        <f>ROUND(C8*H12,0)</f>
        <v>70158</v>
      </c>
      <c r="D12" s="3768"/>
      <c r="E12" s="3768"/>
      <c r="F12" s="3769"/>
      <c r="G12" s="3557" t="s">
        <v>3463</v>
      </c>
      <c r="H12" s="3795">
        <f>'[1]数据-取费表'!B36</f>
        <v>1.4999999999999999E-2</v>
      </c>
      <c r="I12" s="3795"/>
      <c r="J12" s="3489" t="s">
        <v>3474</v>
      </c>
      <c r="L12" s="3490"/>
    </row>
    <row r="13" spans="1:16" s="3477" customFormat="1" ht="18" customHeight="1">
      <c r="A13" s="3464" t="s">
        <v>3475</v>
      </c>
      <c r="B13" s="3558" t="s">
        <v>3476</v>
      </c>
      <c r="C13" s="3767">
        <f>SUM(C8:F12)</f>
        <v>5154932</v>
      </c>
      <c r="D13" s="3768"/>
      <c r="E13" s="3768"/>
      <c r="F13" s="3769"/>
      <c r="G13" s="3770" t="s">
        <v>3477</v>
      </c>
      <c r="H13" s="3770"/>
      <c r="I13" s="3770"/>
      <c r="J13" s="3489" t="s">
        <v>3478</v>
      </c>
      <c r="L13" s="3490"/>
    </row>
    <row r="14" spans="1:16" s="3477" customFormat="1" ht="18" customHeight="1">
      <c r="A14" s="3464" t="s">
        <v>3479</v>
      </c>
      <c r="B14" s="3558" t="s">
        <v>3480</v>
      </c>
      <c r="C14" s="3767">
        <f>ROUND(C13*H14,0)</f>
        <v>103099</v>
      </c>
      <c r="D14" s="3768"/>
      <c r="E14" s="3768"/>
      <c r="F14" s="3769"/>
      <c r="G14" s="3557" t="s">
        <v>3481</v>
      </c>
      <c r="H14" s="3798">
        <v>0.02</v>
      </c>
      <c r="I14" s="3798"/>
      <c r="J14" s="3475"/>
      <c r="L14" s="3490"/>
    </row>
    <row r="15" spans="1:16" s="3477" customFormat="1" ht="18" customHeight="1">
      <c r="A15" s="3464" t="s">
        <v>3482</v>
      </c>
      <c r="B15" s="3558" t="s">
        <v>3483</v>
      </c>
      <c r="C15" s="3780">
        <f>H15</f>
        <v>0.02</v>
      </c>
      <c r="D15" s="3781"/>
      <c r="E15" s="3793" t="str">
        <f>E18</f>
        <v>V</v>
      </c>
      <c r="F15" s="3794"/>
      <c r="G15" s="3557" t="s">
        <v>3484</v>
      </c>
      <c r="H15" s="3798">
        <v>0.02</v>
      </c>
      <c r="I15" s="3798"/>
      <c r="J15" s="3491"/>
      <c r="K15" s="3484"/>
    </row>
    <row r="16" spans="1:16" s="3477" customFormat="1" ht="18" customHeight="1">
      <c r="A16" s="3492" t="s">
        <v>3485</v>
      </c>
      <c r="B16" s="3493" t="s">
        <v>3486</v>
      </c>
      <c r="C16" s="3555">
        <f>C17</f>
        <v>181402</v>
      </c>
      <c r="D16" s="3556" t="s">
        <v>3487</v>
      </c>
      <c r="E16" s="3496">
        <f>C18</f>
        <v>6.9000000000000008E-4</v>
      </c>
      <c r="F16" s="3561" t="str">
        <f>E18</f>
        <v>V</v>
      </c>
      <c r="G16" s="3767" t="s">
        <v>3488</v>
      </c>
      <c r="H16" s="3768"/>
      <c r="I16" s="3769"/>
      <c r="J16" s="3475"/>
      <c r="K16" s="3459"/>
    </row>
    <row r="17" spans="1:12" s="3477" customFormat="1" ht="18" customHeight="1">
      <c r="A17" s="3464" t="s">
        <v>3489</v>
      </c>
      <c r="B17" s="3558" t="s">
        <v>3490</v>
      </c>
      <c r="C17" s="3767">
        <f>ROUND((C13+C14)*I18*(I17/2),0)</f>
        <v>181402</v>
      </c>
      <c r="D17" s="3768"/>
      <c r="E17" s="3768"/>
      <c r="F17" s="3769"/>
      <c r="G17" s="3555" t="s">
        <v>3491</v>
      </c>
      <c r="H17" s="3558" t="s">
        <v>3492</v>
      </c>
      <c r="I17" s="3498">
        <v>2</v>
      </c>
      <c r="J17" s="3489" t="s">
        <v>3493</v>
      </c>
      <c r="K17" s="3459"/>
      <c r="L17" s="3459"/>
    </row>
    <row r="18" spans="1:12" s="3477" customFormat="1" ht="18" customHeight="1">
      <c r="A18" s="3464" t="s">
        <v>3494</v>
      </c>
      <c r="B18" s="3558" t="s">
        <v>3495</v>
      </c>
      <c r="C18" s="3796">
        <f>H15*I18*I17/2</f>
        <v>6.9000000000000008E-4</v>
      </c>
      <c r="D18" s="3797"/>
      <c r="E18" s="3793" t="s">
        <v>3496</v>
      </c>
      <c r="F18" s="3794"/>
      <c r="G18" s="3555" t="s">
        <v>3497</v>
      </c>
      <c r="H18" s="3558" t="s">
        <v>3498</v>
      </c>
      <c r="I18" s="3560">
        <v>3.4500000000000003E-2</v>
      </c>
      <c r="J18" s="3489" t="s">
        <v>3499</v>
      </c>
      <c r="K18" s="3459"/>
      <c r="L18" s="3459"/>
    </row>
    <row r="19" spans="1:12" s="3477" customFormat="1" ht="27" customHeight="1">
      <c r="A19" s="3464" t="s">
        <v>3500</v>
      </c>
      <c r="B19" s="3558" t="s">
        <v>3501</v>
      </c>
      <c r="C19" s="3555">
        <f>C20</f>
        <v>1314508</v>
      </c>
      <c r="D19" s="3556" t="s">
        <v>3487</v>
      </c>
      <c r="E19" s="3556">
        <f>C21</f>
        <v>5.0000000000000001E-3</v>
      </c>
      <c r="F19" s="3561" t="str">
        <f>E21</f>
        <v>V</v>
      </c>
      <c r="G19" s="3767" t="s">
        <v>3502</v>
      </c>
      <c r="H19" s="3768"/>
      <c r="I19" s="3769"/>
      <c r="J19" s="3475"/>
      <c r="K19" s="3459"/>
      <c r="L19" s="3459"/>
    </row>
    <row r="20" spans="1:12" s="3477" customFormat="1" ht="26.25" customHeight="1">
      <c r="A20" s="3464" t="s">
        <v>3503</v>
      </c>
      <c r="B20" s="3558" t="s">
        <v>3504</v>
      </c>
      <c r="C20" s="3767">
        <f>ROUND((C13+C14)*I20,0)</f>
        <v>1314508</v>
      </c>
      <c r="D20" s="3768"/>
      <c r="E20" s="3768"/>
      <c r="F20" s="3769"/>
      <c r="G20" s="3557" t="s">
        <v>3505</v>
      </c>
      <c r="H20" s="3790" t="s">
        <v>3506</v>
      </c>
      <c r="I20" s="3792">
        <v>0.25</v>
      </c>
      <c r="J20" s="3489" t="s">
        <v>3507</v>
      </c>
      <c r="K20" s="3459"/>
      <c r="L20" s="3459"/>
    </row>
    <row r="21" spans="1:12" s="3477" customFormat="1" ht="27" customHeight="1">
      <c r="A21" s="3464" t="s">
        <v>3503</v>
      </c>
      <c r="B21" s="3558" t="s">
        <v>3508</v>
      </c>
      <c r="C21" s="3780">
        <f>H15*I20</f>
        <v>5.0000000000000001E-3</v>
      </c>
      <c r="D21" s="3781"/>
      <c r="E21" s="3793" t="s">
        <v>3496</v>
      </c>
      <c r="F21" s="3794"/>
      <c r="G21" s="3557" t="s">
        <v>3509</v>
      </c>
      <c r="H21" s="3791"/>
      <c r="I21" s="3792"/>
      <c r="J21" s="3475"/>
      <c r="K21" s="3459"/>
      <c r="L21" s="3459"/>
    </row>
    <row r="22" spans="1:12" s="3477" customFormat="1" ht="18" customHeight="1">
      <c r="A22" s="3464" t="s">
        <v>3510</v>
      </c>
      <c r="B22" s="3558" t="s">
        <v>3511</v>
      </c>
      <c r="C22" s="3780">
        <f>ROUND(H22/1.05,4)</f>
        <v>5.33E-2</v>
      </c>
      <c r="D22" s="3781"/>
      <c r="E22" s="3793" t="s">
        <v>3496</v>
      </c>
      <c r="F22" s="3794"/>
      <c r="G22" s="3557" t="s">
        <v>3512</v>
      </c>
      <c r="H22" s="3795">
        <v>5.6000000000000001E-2</v>
      </c>
      <c r="I22" s="3795"/>
      <c r="J22" s="3500"/>
      <c r="K22" s="3459"/>
      <c r="L22" s="3459"/>
    </row>
    <row r="23" spans="1:12" s="3477" customFormat="1" ht="18" customHeight="1">
      <c r="A23" s="3464" t="s">
        <v>3513</v>
      </c>
      <c r="B23" s="3558" t="s">
        <v>3514</v>
      </c>
      <c r="C23" s="3767">
        <f>ROUND((C13+C14+C17+C20)/(1-H15-C18-C21-C22),0)</f>
        <v>7333190</v>
      </c>
      <c r="D23" s="3768"/>
      <c r="E23" s="3768"/>
      <c r="F23" s="3769"/>
      <c r="G23" s="3767" t="s">
        <v>3515</v>
      </c>
      <c r="H23" s="3768"/>
      <c r="I23" s="3769"/>
      <c r="J23" s="3500"/>
      <c r="K23" s="3459"/>
      <c r="L23" s="3459"/>
    </row>
    <row r="24" spans="1:12" s="3477" customFormat="1" ht="18" customHeight="1">
      <c r="A24" s="3464" t="s">
        <v>3516</v>
      </c>
      <c r="B24" s="3558" t="s">
        <v>3517</v>
      </c>
      <c r="C24" s="3559">
        <f>C27+C28</f>
        <v>156930</v>
      </c>
      <c r="D24" s="3502" t="s">
        <v>3518</v>
      </c>
      <c r="E24" s="3789">
        <f>H29+E26+H25</f>
        <v>0.19599999999999998</v>
      </c>
      <c r="F24" s="3783"/>
      <c r="G24" s="3770" t="s">
        <v>3519</v>
      </c>
      <c r="H24" s="3770"/>
      <c r="I24" s="3770"/>
      <c r="J24" s="3500"/>
      <c r="K24" s="3459"/>
      <c r="L24" s="3459"/>
    </row>
    <row r="25" spans="1:12" s="3477" customFormat="1" ht="18" customHeight="1">
      <c r="A25" s="3464" t="s">
        <v>3475</v>
      </c>
      <c r="B25" s="3558" t="s">
        <v>3520</v>
      </c>
      <c r="C25" s="3780" t="s">
        <v>3521</v>
      </c>
      <c r="D25" s="3781"/>
      <c r="E25" s="3784">
        <f>ROUND(H25/1.05,4)</f>
        <v>5.33E-2</v>
      </c>
      <c r="F25" s="3785"/>
      <c r="G25" s="3557" t="s">
        <v>3522</v>
      </c>
      <c r="H25" s="3786">
        <f>H22</f>
        <v>5.6000000000000001E-2</v>
      </c>
      <c r="I25" s="3786"/>
      <c r="J25" s="3491"/>
      <c r="K25" s="3459"/>
      <c r="L25" s="3459"/>
    </row>
    <row r="26" spans="1:12" s="3477" customFormat="1" ht="18" customHeight="1">
      <c r="A26" s="3464" t="s">
        <v>3479</v>
      </c>
      <c r="B26" s="3558" t="s">
        <v>3523</v>
      </c>
      <c r="C26" s="3780" t="s">
        <v>3521</v>
      </c>
      <c r="D26" s="3781"/>
      <c r="E26" s="3782">
        <v>0.12</v>
      </c>
      <c r="F26" s="3783"/>
      <c r="G26" s="3557"/>
      <c r="H26" s="3787">
        <f>'[1]数据-取费表'!B51</f>
        <v>0.12</v>
      </c>
      <c r="I26" s="3788"/>
      <c r="J26" s="3503"/>
      <c r="K26" s="3459"/>
      <c r="L26" s="3459"/>
    </row>
    <row r="27" spans="1:12" s="3477" customFormat="1" ht="18" customHeight="1">
      <c r="A27" s="3464" t="s">
        <v>3482</v>
      </c>
      <c r="B27" s="3558" t="s">
        <v>3524</v>
      </c>
      <c r="C27" s="3767">
        <f>ROUND(C23*H27,0)</f>
        <v>146664</v>
      </c>
      <c r="D27" s="3768"/>
      <c r="E27" s="3768"/>
      <c r="F27" s="3769"/>
      <c r="G27" s="3557" t="s">
        <v>3525</v>
      </c>
      <c r="H27" s="3778">
        <v>0.02</v>
      </c>
      <c r="I27" s="3778"/>
      <c r="J27" s="3459" t="s">
        <v>3526</v>
      </c>
      <c r="K27" s="3459"/>
      <c r="L27" s="3459"/>
    </row>
    <row r="28" spans="1:12" s="3477" customFormat="1" ht="18" customHeight="1">
      <c r="A28" s="3464" t="s">
        <v>3485</v>
      </c>
      <c r="B28" s="3558" t="s">
        <v>3527</v>
      </c>
      <c r="C28" s="3767">
        <f>ROUND(C7*H28,0)</f>
        <v>10266</v>
      </c>
      <c r="D28" s="3768"/>
      <c r="E28" s="3768"/>
      <c r="F28" s="3769"/>
      <c r="G28" s="3557" t="s">
        <v>3528</v>
      </c>
      <c r="H28" s="3779">
        <v>2E-3</v>
      </c>
      <c r="I28" s="3779"/>
      <c r="J28" s="3504"/>
      <c r="K28" s="3459"/>
      <c r="L28" s="3459"/>
    </row>
    <row r="29" spans="1:12" s="3477" customFormat="1" ht="18" customHeight="1">
      <c r="A29" s="3464" t="s">
        <v>3500</v>
      </c>
      <c r="B29" s="3558" t="s">
        <v>3529</v>
      </c>
      <c r="C29" s="3780" t="s">
        <v>3521</v>
      </c>
      <c r="D29" s="3781"/>
      <c r="E29" s="3782">
        <f>H29</f>
        <v>0.02</v>
      </c>
      <c r="F29" s="3783"/>
      <c r="G29" s="3557" t="s">
        <v>3530</v>
      </c>
      <c r="H29" s="3778">
        <v>0.02</v>
      </c>
      <c r="I29" s="3778"/>
      <c r="J29" s="3505"/>
      <c r="K29" s="3459"/>
      <c r="L29" s="3459"/>
    </row>
    <row r="30" spans="1:12" s="3477" customFormat="1" ht="18" customHeight="1">
      <c r="A30" s="3557" t="s">
        <v>3531</v>
      </c>
      <c r="B30" s="3558" t="s">
        <v>3532</v>
      </c>
      <c r="C30" s="3767">
        <f>ROUND((C4+C24)/(1-E24),0)</f>
        <v>3478325</v>
      </c>
      <c r="D30" s="3768"/>
      <c r="E30" s="3768"/>
      <c r="F30" s="3769"/>
      <c r="G30" s="3770" t="s">
        <v>3533</v>
      </c>
      <c r="H30" s="3770"/>
      <c r="I30" s="3770"/>
      <c r="J30" s="3475"/>
      <c r="K30" s="3459"/>
      <c r="L30" s="3459"/>
    </row>
    <row r="31" spans="1:12" s="3477" customFormat="1" ht="18" customHeight="1">
      <c r="A31" s="3770" t="s">
        <v>3534</v>
      </c>
      <c r="B31" s="3771" t="s">
        <v>3535</v>
      </c>
      <c r="C31" s="3772">
        <f>ROUND(C30/I31/I32/I3,2)</f>
        <v>8.39</v>
      </c>
      <c r="D31" s="3773"/>
      <c r="E31" s="3773"/>
      <c r="F31" s="3774"/>
      <c r="G31" s="3770" t="s">
        <v>3536</v>
      </c>
      <c r="H31" s="3558" t="s">
        <v>3537</v>
      </c>
      <c r="I31" s="3557">
        <v>365</v>
      </c>
      <c r="J31" s="3475"/>
      <c r="K31" s="3459"/>
      <c r="L31" s="3459"/>
    </row>
    <row r="32" spans="1:12" s="3477" customFormat="1" ht="18" customHeight="1">
      <c r="A32" s="3770"/>
      <c r="B32" s="3771"/>
      <c r="C32" s="3775"/>
      <c r="D32" s="3776"/>
      <c r="E32" s="3776"/>
      <c r="F32" s="3777"/>
      <c r="G32" s="3770"/>
      <c r="H32" s="3558" t="s">
        <v>3538</v>
      </c>
      <c r="I32" s="3562">
        <v>0.85</v>
      </c>
      <c r="J32" s="3500"/>
      <c r="K32" s="3463"/>
      <c r="L32" s="3463"/>
    </row>
    <row r="33" spans="1:13" s="3477" customFormat="1" ht="18" customHeight="1">
      <c r="A33" s="3463"/>
      <c r="B33" s="3507"/>
      <c r="C33" s="3463"/>
      <c r="D33" s="3463"/>
      <c r="E33" s="3463"/>
      <c r="F33" s="3463"/>
      <c r="G33" s="3508"/>
      <c r="H33" s="3463"/>
      <c r="I33" s="3463"/>
      <c r="J33" s="3459"/>
      <c r="K33" s="3463"/>
      <c r="L33" s="3463"/>
    </row>
    <row r="34" spans="1:13" s="3477" customFormat="1" ht="18" customHeight="1">
      <c r="A34" s="3463"/>
      <c r="B34" s="3764" t="s">
        <v>3539</v>
      </c>
      <c r="C34" s="3764"/>
      <c r="D34" s="3764"/>
      <c r="E34" s="3764"/>
      <c r="F34" s="3764"/>
      <c r="G34" s="3508"/>
      <c r="H34" s="3463"/>
      <c r="I34" s="3463"/>
      <c r="J34" s="3509">
        <f>C31*0.5</f>
        <v>4.1950000000000003</v>
      </c>
      <c r="K34" s="3463"/>
      <c r="L34" s="3463"/>
      <c r="M34" s="3463"/>
    </row>
    <row r="35" spans="1:13" s="3477" customFormat="1" ht="18" customHeight="1">
      <c r="A35" s="3463"/>
      <c r="B35" s="3554" t="s">
        <v>3540</v>
      </c>
      <c r="C35" s="3554" t="s">
        <v>3449</v>
      </c>
      <c r="D35" s="3765" t="s">
        <v>3541</v>
      </c>
      <c r="E35" s="3765"/>
      <c r="F35" s="3765"/>
      <c r="G35" s="3508"/>
      <c r="H35" s="3511" t="s">
        <v>3542</v>
      </c>
      <c r="I35" s="3512"/>
      <c r="J35" s="3509">
        <f>C31*0.4</f>
        <v>3.3560000000000003</v>
      </c>
      <c r="K35" s="3463"/>
      <c r="L35" s="3463"/>
      <c r="M35" s="3463"/>
    </row>
    <row r="36" spans="1:13">
      <c r="B36" s="3554" t="s">
        <v>3543</v>
      </c>
      <c r="C36" s="3513">
        <v>0.5</v>
      </c>
      <c r="D36" s="3766">
        <f>'租金比较法-办公'!C49</f>
        <v>6.8</v>
      </c>
      <c r="E36" s="3766"/>
      <c r="F36" s="3766"/>
      <c r="G36" s="3508">
        <f>(D36-D37)/D37</f>
        <v>-0.18951132300357576</v>
      </c>
      <c r="H36" s="3511"/>
      <c r="I36" s="3511"/>
      <c r="J36" s="3463"/>
      <c r="K36" s="3463"/>
      <c r="L36" s="3463"/>
    </row>
    <row r="37" spans="1:13" ht="20.100000000000001" customHeight="1">
      <c r="B37" s="3554" t="s">
        <v>3544</v>
      </c>
      <c r="C37" s="3513">
        <f>1-C36</f>
        <v>0.5</v>
      </c>
      <c r="D37" s="3766">
        <f>C31</f>
        <v>8.39</v>
      </c>
      <c r="E37" s="3766"/>
      <c r="F37" s="3766"/>
      <c r="J37" s="3463"/>
      <c r="K37" s="3463"/>
      <c r="L37" s="3463"/>
    </row>
    <row r="38" spans="1:13" ht="22.5" customHeight="1">
      <c r="B38" s="3765" t="s">
        <v>3545</v>
      </c>
      <c r="C38" s="3765"/>
      <c r="D38" s="3890">
        <f>ROUND(C36*D36+C37*D37,1)</f>
        <v>7.6</v>
      </c>
      <c r="E38" s="3890"/>
      <c r="F38" s="3890"/>
      <c r="J38" s="3463"/>
    </row>
    <row r="39" spans="1:13" ht="22.5" customHeight="1">
      <c r="B39" s="3554" t="s">
        <v>3546</v>
      </c>
      <c r="C39" s="3554">
        <f>ROUND(D38*0.9,1)</f>
        <v>6.8</v>
      </c>
      <c r="D39" s="3552" t="s">
        <v>3547</v>
      </c>
      <c r="E39" s="3762">
        <f>ROUND(D38*1.1,1)</f>
        <v>8.4</v>
      </c>
      <c r="F39" s="3762"/>
      <c r="G39" s="3508" t="s">
        <v>3548</v>
      </c>
      <c r="H39" s="3515">
        <v>11.48</v>
      </c>
      <c r="J39" s="3463"/>
    </row>
    <row r="40" spans="1:13" ht="18" customHeight="1">
      <c r="B40" s="3554" t="s">
        <v>3549</v>
      </c>
      <c r="C40" s="3554">
        <f>ROUND(C39+H40,1)</f>
        <v>7.9</v>
      </c>
      <c r="D40" s="3552" t="s">
        <v>3547</v>
      </c>
      <c r="E40" s="3762">
        <f>ROUND(E39+H40,1)</f>
        <v>9.5</v>
      </c>
      <c r="F40" s="3762"/>
      <c r="G40" s="3563" t="s">
        <v>3550</v>
      </c>
      <c r="H40" s="3563">
        <v>1.1000000000000001</v>
      </c>
    </row>
    <row r="41" spans="1:13" ht="18" customHeight="1">
      <c r="C41" s="3516"/>
    </row>
    <row r="42" spans="1:13" ht="18" customHeight="1">
      <c r="B42" s="3508" t="s">
        <v>3551</v>
      </c>
      <c r="E42" s="3508" t="s">
        <v>3552</v>
      </c>
      <c r="H42" s="3508" t="s">
        <v>3553</v>
      </c>
    </row>
    <row r="43" spans="1:13" ht="29.25" customHeight="1"/>
    <row r="44" spans="1:13">
      <c r="B44" s="3763" t="s">
        <v>3554</v>
      </c>
      <c r="C44" s="3763"/>
      <c r="D44" s="3763"/>
      <c r="E44" s="3517"/>
      <c r="F44" s="3518" t="s">
        <v>3555</v>
      </c>
      <c r="G44" s="3475"/>
    </row>
    <row r="45" spans="1:13">
      <c r="B45" s="3519" t="s">
        <v>3556</v>
      </c>
      <c r="C45" s="3553" t="s">
        <v>3557</v>
      </c>
      <c r="D45" s="3553" t="s">
        <v>3558</v>
      </c>
      <c r="E45" s="3517" t="s">
        <v>3559</v>
      </c>
      <c r="F45" s="3518"/>
      <c r="G45" s="3475"/>
    </row>
    <row r="46" spans="1:13">
      <c r="B46" s="3553">
        <v>0.5</v>
      </c>
      <c r="C46" s="3553">
        <v>0.8</v>
      </c>
      <c r="D46" s="3553">
        <v>0.8</v>
      </c>
      <c r="E46" s="3517">
        <v>0.25</v>
      </c>
      <c r="F46" s="3553">
        <f>[2]结果表!G20*'收益法倒推租金-办公'!C46*'收益法倒推租金-办公'!B46*'收益法倒推租金-办公'!D46-[2]结果表!G20*'收益法倒推租金-办公'!E46</f>
        <v>1577.5200000000004</v>
      </c>
      <c r="G46" s="3475" t="s">
        <v>3560</v>
      </c>
    </row>
    <row r="47" spans="1:13">
      <c r="B47" s="3475"/>
      <c r="C47" s="3475"/>
      <c r="D47" s="3475"/>
      <c r="E47" s="3521"/>
      <c r="F47" s="3553"/>
      <c r="G47" s="3522"/>
    </row>
  </sheetData>
  <mergeCells count="71">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44:D44"/>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89" zoomScale="90" zoomScaleNormal="70" zoomScaleSheetLayoutView="90" workbookViewId="0">
      <selection activeCell="F45" sqref="F4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c r="F1" s="1879"/>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35634.400000000001</v>
      </c>
      <c r="C3" s="354" t="s">
        <v>1768</v>
      </c>
      <c r="D3" s="353">
        <f>IF(D1="",'数据-汇总表'!E3,SUMIF('数据-汇总表'!$C19:$C33,D1,'数据-汇总表'!$E19:$E33))</f>
        <v>1336.34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841" t="s">
        <v>1770</v>
      </c>
      <c r="D4" s="3842"/>
      <c r="E4" s="3843" t="s">
        <v>1771</v>
      </c>
      <c r="F4" s="3844"/>
      <c r="G4" s="3841" t="s">
        <v>1772</v>
      </c>
      <c r="H4" s="3842"/>
      <c r="I4" s="3841" t="s">
        <v>1670</v>
      </c>
      <c r="J4" s="3842"/>
      <c r="K4" s="559" t="s">
        <v>1671</v>
      </c>
      <c r="L4" s="2715"/>
      <c r="M4" s="2716"/>
      <c r="N4" s="2716"/>
      <c r="O4" s="2716"/>
      <c r="P4" s="3902" t="s">
        <v>1775</v>
      </c>
      <c r="Q4" s="3903"/>
      <c r="R4" s="3895" t="s">
        <v>1771</v>
      </c>
      <c r="S4" s="3896"/>
      <c r="T4" s="3895" t="s">
        <v>1772</v>
      </c>
      <c r="U4" s="3896"/>
      <c r="V4" s="3897" t="s">
        <v>1670</v>
      </c>
      <c r="W4" s="3897"/>
      <c r="X4" s="3569"/>
      <c r="Y4" s="3895" t="s">
        <v>1775</v>
      </c>
      <c r="Z4" s="3896"/>
      <c r="AA4" s="3898" t="s">
        <v>1771</v>
      </c>
      <c r="AB4" s="3898" t="s">
        <v>1772</v>
      </c>
      <c r="AC4" s="3899" t="s">
        <v>1670</v>
      </c>
    </row>
    <row r="5" spans="1:29" ht="15">
      <c r="A5" s="358"/>
      <c r="B5" s="359"/>
      <c r="C5" s="3851" t="s">
        <v>3680</v>
      </c>
      <c r="D5" s="3852"/>
      <c r="E5" s="3889" t="str">
        <f>C5</f>
        <v>启迪科技大厦</v>
      </c>
      <c r="F5" s="3854"/>
      <c r="G5" s="3851" t="s">
        <v>3721</v>
      </c>
      <c r="H5" s="3852"/>
      <c r="I5" s="3851" t="str">
        <f>E5</f>
        <v>启迪科技大厦</v>
      </c>
      <c r="J5" s="3852"/>
      <c r="K5" s="559"/>
      <c r="L5" s="2715"/>
      <c r="M5" s="2716"/>
      <c r="N5" s="2716"/>
      <c r="O5" s="2716"/>
      <c r="P5" s="3904"/>
      <c r="Q5" s="3848"/>
      <c r="R5" s="3833"/>
      <c r="S5" s="3834"/>
      <c r="T5" s="3833"/>
      <c r="U5" s="3834"/>
      <c r="V5" s="3827"/>
      <c r="W5" s="3827"/>
      <c r="X5" s="3568"/>
      <c r="Y5" s="3833"/>
      <c r="Z5" s="3834"/>
      <c r="AA5" s="3838"/>
      <c r="AB5" s="3838"/>
      <c r="AC5" s="3900"/>
    </row>
    <row r="6" spans="1:29" ht="15.75" thickBot="1">
      <c r="A6" s="360"/>
      <c r="B6" s="361"/>
      <c r="C6" s="3855" t="s">
        <v>1677</v>
      </c>
      <c r="D6" s="3856"/>
      <c r="E6" s="3857" t="s">
        <v>1677</v>
      </c>
      <c r="F6" s="3858"/>
      <c r="G6" s="3855" t="s">
        <v>1677</v>
      </c>
      <c r="H6" s="3856"/>
      <c r="I6" s="3855" t="s">
        <v>1677</v>
      </c>
      <c r="J6" s="3856"/>
      <c r="K6" s="559" t="s">
        <v>1678</v>
      </c>
      <c r="L6" s="2715"/>
      <c r="M6" s="2716"/>
      <c r="N6" s="2716"/>
      <c r="O6" s="2716"/>
      <c r="P6" s="3905"/>
      <c r="Q6" s="3850"/>
      <c r="R6" s="3833"/>
      <c r="S6" s="3834"/>
      <c r="T6" s="3835"/>
      <c r="U6" s="3836"/>
      <c r="V6" s="3827"/>
      <c r="W6" s="3827"/>
      <c r="X6" s="3568"/>
      <c r="Y6" s="3835"/>
      <c r="Z6" s="3836"/>
      <c r="AA6" s="3839"/>
      <c r="AB6" s="3839"/>
      <c r="AC6" s="3901"/>
    </row>
    <row r="7" spans="1:29" s="108" customFormat="1" ht="15.75" thickBot="1">
      <c r="A7" s="362" t="s">
        <v>1679</v>
      </c>
      <c r="B7" s="363"/>
      <c r="C7" s="364">
        <f>'数据-取费表'!B2</f>
        <v>45478</v>
      </c>
      <c r="D7" s="365">
        <v>100</v>
      </c>
      <c r="E7" s="366">
        <f>C7</f>
        <v>45478</v>
      </c>
      <c r="F7" s="367">
        <f>SUMIF(59:59,YEAR(E7)&amp;"-"&amp;MONTH(E7),60:60)</f>
        <v>100</v>
      </c>
      <c r="G7" s="366">
        <f>C7</f>
        <v>45478</v>
      </c>
      <c r="H7" s="365">
        <f>SUMIF(59:59,YEAR(G7)&amp;"-"&amp;MONTH(G7),60:60)</f>
        <v>100</v>
      </c>
      <c r="I7" s="366">
        <f>C7</f>
        <v>45478</v>
      </c>
      <c r="J7" s="365">
        <f>SUMIF(59:59,YEAR(I7)&amp;"-"&amp;MONTH(I7),60:60)</f>
        <v>100</v>
      </c>
      <c r="K7" s="560"/>
      <c r="L7" s="2717"/>
      <c r="M7" s="2718"/>
      <c r="N7" s="2718"/>
      <c r="O7" s="2718"/>
      <c r="P7" s="3894" t="s">
        <v>1680</v>
      </c>
      <c r="Q7" s="3840"/>
      <c r="R7" s="701" t="s">
        <v>14</v>
      </c>
      <c r="S7" s="702">
        <f t="shared" ref="S7:S15" si="0">F7</f>
        <v>100</v>
      </c>
      <c r="T7" s="701" t="s">
        <v>14</v>
      </c>
      <c r="U7" s="702">
        <f t="shared" ref="U7:U15" si="1">H7</f>
        <v>100</v>
      </c>
      <c r="V7" s="701" t="s">
        <v>14</v>
      </c>
      <c r="W7" s="702">
        <f t="shared" ref="W7:W15" si="2">J7</f>
        <v>100</v>
      </c>
      <c r="X7" s="703"/>
      <c r="Y7" s="3828" t="s">
        <v>1680</v>
      </c>
      <c r="Z7" s="3829"/>
      <c r="AA7" s="704">
        <f>D7/F7</f>
        <v>1</v>
      </c>
      <c r="AB7" s="704">
        <f>D7/H7</f>
        <v>1</v>
      </c>
      <c r="AC7" s="1959">
        <f>D7/J7</f>
        <v>1</v>
      </c>
    </row>
    <row r="8" spans="1:29" s="108" customFormat="1" ht="15.75" thickBot="1">
      <c r="A8" s="362" t="s">
        <v>1681</v>
      </c>
      <c r="B8" s="363"/>
      <c r="C8" s="368" t="s">
        <v>3681</v>
      </c>
      <c r="D8" s="365">
        <v>100</v>
      </c>
      <c r="E8" s="368" t="s">
        <v>3681</v>
      </c>
      <c r="F8" s="367">
        <f>SUMIF(62:62,E8,63:63)-SUMIF(62:62,C8,63:63)+100</f>
        <v>100</v>
      </c>
      <c r="G8" s="368" t="s">
        <v>3681</v>
      </c>
      <c r="H8" s="365">
        <f>SUMIF(62:62,G8,63:63)-SUMIF(62:62,C8,63:63)+100</f>
        <v>100</v>
      </c>
      <c r="I8" s="368" t="s">
        <v>3681</v>
      </c>
      <c r="J8" s="365">
        <f>SUMIF(62:62,I8,63:63)-SUMIF(62:62,C8,63:63)+100</f>
        <v>100</v>
      </c>
      <c r="K8" s="560"/>
      <c r="L8" s="2717"/>
      <c r="M8" s="2718"/>
      <c r="N8" s="2718"/>
      <c r="O8" s="2718"/>
      <c r="P8" s="3894" t="s">
        <v>1683</v>
      </c>
      <c r="Q8" s="3829"/>
      <c r="R8" s="701" t="s">
        <v>14</v>
      </c>
      <c r="S8" s="702">
        <f t="shared" si="0"/>
        <v>100</v>
      </c>
      <c r="T8" s="701" t="s">
        <v>14</v>
      </c>
      <c r="U8" s="702">
        <f t="shared" si="1"/>
        <v>100</v>
      </c>
      <c r="V8" s="701" t="s">
        <v>14</v>
      </c>
      <c r="W8" s="702">
        <f t="shared" si="2"/>
        <v>100</v>
      </c>
      <c r="X8" s="703"/>
      <c r="Y8" s="3828" t="s">
        <v>1683</v>
      </c>
      <c r="Z8" s="3829"/>
      <c r="AA8" s="704">
        <f t="shared" ref="AA8:AA47" si="3">D8/F8</f>
        <v>1</v>
      </c>
      <c r="AB8" s="704">
        <f t="shared" ref="AB8:AB47" si="4">D8/H8</f>
        <v>1</v>
      </c>
      <c r="AC8" s="1959">
        <f t="shared" ref="AC8:AC47" si="5">D8/J8</f>
        <v>1</v>
      </c>
    </row>
    <row r="9" spans="1:29" s="108" customFormat="1" ht="15" thickBot="1">
      <c r="A9" s="369" t="s">
        <v>1684</v>
      </c>
      <c r="B9" s="63" t="s">
        <v>1685</v>
      </c>
      <c r="C9" s="3549" t="s">
        <v>3686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830" t="s">
        <v>1686</v>
      </c>
      <c r="Q9" s="3551" t="str">
        <f t="shared" ref="Q9:Q15" si="6">B9</f>
        <v>用途</v>
      </c>
      <c r="R9" s="701" t="s">
        <v>14</v>
      </c>
      <c r="S9" s="702">
        <f t="shared" si="0"/>
        <v>100</v>
      </c>
      <c r="T9" s="701" t="s">
        <v>14</v>
      </c>
      <c r="U9" s="702">
        <f t="shared" si="1"/>
        <v>100</v>
      </c>
      <c r="V9" s="701" t="s">
        <v>14</v>
      </c>
      <c r="W9" s="702">
        <f t="shared" si="2"/>
        <v>100</v>
      </c>
      <c r="X9" s="703"/>
      <c r="Y9" s="3738" t="s">
        <v>1687</v>
      </c>
      <c r="Z9" s="3550" t="str">
        <f t="shared" ref="Z9:Z15" si="7">Q9</f>
        <v>用途</v>
      </c>
      <c r="AA9" s="704">
        <f t="shared" si="3"/>
        <v>1</v>
      </c>
      <c r="AB9" s="704">
        <f t="shared" si="4"/>
        <v>1</v>
      </c>
      <c r="AC9" s="1959">
        <f t="shared" si="5"/>
        <v>1</v>
      </c>
    </row>
    <row r="10" spans="1:29" s="378" customFormat="1" ht="27.75" hidden="1" thickBot="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30"/>
      <c r="Q10" s="3551" t="str">
        <f t="shared" si="6"/>
        <v>土地使用年限（年）</v>
      </c>
      <c r="R10" s="701" t="s">
        <v>14</v>
      </c>
      <c r="S10" s="702">
        <f t="shared" si="0"/>
        <v>100</v>
      </c>
      <c r="T10" s="701" t="s">
        <v>14</v>
      </c>
      <c r="U10" s="702">
        <f t="shared" si="1"/>
        <v>100</v>
      </c>
      <c r="V10" s="701" t="s">
        <v>14</v>
      </c>
      <c r="W10" s="702">
        <f t="shared" si="2"/>
        <v>100</v>
      </c>
      <c r="X10" s="703"/>
      <c r="Y10" s="3738"/>
      <c r="Z10" s="3550"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30"/>
      <c r="Q11" s="3551" t="str">
        <f t="shared" si="6"/>
        <v>容积率</v>
      </c>
      <c r="R11" s="701" t="s">
        <v>14</v>
      </c>
      <c r="S11" s="702">
        <f t="shared" si="0"/>
        <v>100</v>
      </c>
      <c r="T11" s="701" t="s">
        <v>14</v>
      </c>
      <c r="U11" s="702">
        <f t="shared" si="1"/>
        <v>100</v>
      </c>
      <c r="V11" s="701" t="s">
        <v>14</v>
      </c>
      <c r="W11" s="702">
        <f t="shared" si="2"/>
        <v>100</v>
      </c>
      <c r="X11" s="703"/>
      <c r="Y11" s="3738"/>
      <c r="Z11" s="3550"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30"/>
      <c r="Q12" s="3551">
        <f t="shared" si="6"/>
        <v>111</v>
      </c>
      <c r="R12" s="701" t="s">
        <v>14</v>
      </c>
      <c r="S12" s="702">
        <f t="shared" si="0"/>
        <v>100</v>
      </c>
      <c r="T12" s="701" t="s">
        <v>14</v>
      </c>
      <c r="U12" s="702">
        <f t="shared" si="1"/>
        <v>100</v>
      </c>
      <c r="V12" s="701" t="s">
        <v>14</v>
      </c>
      <c r="W12" s="702">
        <f t="shared" si="2"/>
        <v>100</v>
      </c>
      <c r="X12" s="703"/>
      <c r="Y12" s="3738"/>
      <c r="Z12" s="3550">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30"/>
      <c r="Q13" s="3551">
        <f t="shared" si="6"/>
        <v>111</v>
      </c>
      <c r="R13" s="701" t="s">
        <v>14</v>
      </c>
      <c r="S13" s="702">
        <f t="shared" si="0"/>
        <v>100</v>
      </c>
      <c r="T13" s="701" t="s">
        <v>14</v>
      </c>
      <c r="U13" s="702">
        <f t="shared" si="1"/>
        <v>100</v>
      </c>
      <c r="V13" s="701" t="s">
        <v>14</v>
      </c>
      <c r="W13" s="702">
        <f t="shared" si="2"/>
        <v>100</v>
      </c>
      <c r="X13" s="703"/>
      <c r="Y13" s="3738"/>
      <c r="Z13" s="3550">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30"/>
      <c r="Q14" s="3551">
        <f t="shared" si="6"/>
        <v>111</v>
      </c>
      <c r="R14" s="701" t="s">
        <v>14</v>
      </c>
      <c r="S14" s="702">
        <f t="shared" si="0"/>
        <v>100</v>
      </c>
      <c r="T14" s="701" t="s">
        <v>14</v>
      </c>
      <c r="U14" s="702">
        <f t="shared" si="1"/>
        <v>100</v>
      </c>
      <c r="V14" s="701" t="s">
        <v>14</v>
      </c>
      <c r="W14" s="702">
        <f t="shared" si="2"/>
        <v>100</v>
      </c>
      <c r="X14" s="703"/>
      <c r="Y14" s="3738"/>
      <c r="Z14" s="35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18" t="s">
        <v>1691</v>
      </c>
      <c r="Q15" s="3564" t="str">
        <f t="shared" si="6"/>
        <v>办公集聚程度</v>
      </c>
      <c r="R15" s="705" t="s">
        <v>14</v>
      </c>
      <c r="S15" s="706">
        <f t="shared" si="0"/>
        <v>100</v>
      </c>
      <c r="T15" s="705" t="s">
        <v>14</v>
      </c>
      <c r="U15" s="706">
        <f t="shared" si="1"/>
        <v>100</v>
      </c>
      <c r="V15" s="705" t="s">
        <v>14</v>
      </c>
      <c r="W15" s="706">
        <f t="shared" si="2"/>
        <v>100</v>
      </c>
      <c r="X15" s="3568"/>
      <c r="Y15" s="3820" t="s">
        <v>1691</v>
      </c>
      <c r="Z15" s="3567" t="str">
        <f t="shared" si="7"/>
        <v>办公集聚程度</v>
      </c>
      <c r="AA15" s="3565">
        <f t="shared" si="3"/>
        <v>1</v>
      </c>
      <c r="AB15" s="3565">
        <f t="shared" si="4"/>
        <v>1</v>
      </c>
      <c r="AC15" s="1962">
        <f t="shared" si="5"/>
        <v>1</v>
      </c>
    </row>
    <row r="16" spans="1:29" ht="15">
      <c r="A16" s="379"/>
      <c r="B16" s="578"/>
      <c r="C16" s="1904" t="s">
        <v>3683</v>
      </c>
      <c r="D16" s="399"/>
      <c r="E16" s="1904" t="s">
        <v>3683</v>
      </c>
      <c r="F16" s="399"/>
      <c r="G16" s="1904" t="s">
        <v>3683</v>
      </c>
      <c r="H16" s="401"/>
      <c r="I16" s="1904" t="s">
        <v>3683</v>
      </c>
      <c r="J16" s="399"/>
      <c r="K16" s="564"/>
      <c r="L16" s="2722"/>
      <c r="M16" s="2716"/>
      <c r="N16" s="2716"/>
      <c r="O16" s="2716"/>
      <c r="P16" s="3819"/>
      <c r="Q16" s="3564"/>
      <c r="R16" s="705"/>
      <c r="S16" s="706"/>
      <c r="T16" s="705"/>
      <c r="U16" s="706"/>
      <c r="V16" s="705"/>
      <c r="W16" s="706"/>
      <c r="X16" s="3568"/>
      <c r="Y16" s="3821"/>
      <c r="Z16" s="3567"/>
      <c r="AA16" s="3565">
        <v>1</v>
      </c>
      <c r="AB16" s="3565">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19"/>
      <c r="Q17" s="3564" t="str">
        <f>B17</f>
        <v>交通便捷度</v>
      </c>
      <c r="R17" s="705" t="s">
        <v>14</v>
      </c>
      <c r="S17" s="706">
        <f>F17</f>
        <v>100</v>
      </c>
      <c r="T17" s="705" t="s">
        <v>14</v>
      </c>
      <c r="U17" s="706">
        <f>H17</f>
        <v>100</v>
      </c>
      <c r="V17" s="705" t="s">
        <v>14</v>
      </c>
      <c r="W17" s="706">
        <f>J17</f>
        <v>100</v>
      </c>
      <c r="X17" s="3568"/>
      <c r="Y17" s="3821"/>
      <c r="Z17" s="3567" t="str">
        <f>Q17</f>
        <v>交通便捷度</v>
      </c>
      <c r="AA17" s="3565">
        <f t="shared" si="3"/>
        <v>1</v>
      </c>
      <c r="AB17" s="3565">
        <f t="shared" si="4"/>
        <v>1</v>
      </c>
      <c r="AC17" s="1962">
        <f t="shared" si="5"/>
        <v>1</v>
      </c>
    </row>
    <row r="18" spans="1:29" ht="15">
      <c r="A18" s="379"/>
      <c r="B18" s="580"/>
      <c r="C18" s="1904" t="s">
        <v>3683</v>
      </c>
      <c r="D18" s="401"/>
      <c r="E18" s="1904" t="s">
        <v>3683</v>
      </c>
      <c r="F18" s="401"/>
      <c r="G18" s="1904" t="s">
        <v>3683</v>
      </c>
      <c r="H18" s="399"/>
      <c r="I18" s="1904" t="s">
        <v>3683</v>
      </c>
      <c r="J18" s="399"/>
      <c r="K18" s="564"/>
      <c r="L18" s="2722"/>
      <c r="M18" s="2716"/>
      <c r="N18" s="2716"/>
      <c r="O18" s="2716"/>
      <c r="P18" s="3819"/>
      <c r="Q18" s="3564"/>
      <c r="R18" s="705"/>
      <c r="S18" s="706"/>
      <c r="T18" s="705"/>
      <c r="U18" s="706"/>
      <c r="V18" s="705"/>
      <c r="W18" s="706"/>
      <c r="X18" s="3568"/>
      <c r="Y18" s="3821"/>
      <c r="Z18" s="3567"/>
      <c r="AA18" s="3565">
        <v>1</v>
      </c>
      <c r="AB18" s="3565">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19"/>
      <c r="Q19" s="3564" t="str">
        <f>B19</f>
        <v>公共配套设施</v>
      </c>
      <c r="R19" s="705" t="s">
        <v>14</v>
      </c>
      <c r="S19" s="706">
        <f>F19</f>
        <v>100</v>
      </c>
      <c r="T19" s="705" t="s">
        <v>14</v>
      </c>
      <c r="U19" s="706">
        <f>H19</f>
        <v>100</v>
      </c>
      <c r="V19" s="705" t="s">
        <v>14</v>
      </c>
      <c r="W19" s="706">
        <f>J19</f>
        <v>100</v>
      </c>
      <c r="X19" s="3568"/>
      <c r="Y19" s="3821"/>
      <c r="Z19" s="3567" t="str">
        <f>Q19</f>
        <v>公共配套设施</v>
      </c>
      <c r="AA19" s="3565">
        <f t="shared" si="3"/>
        <v>1</v>
      </c>
      <c r="AB19" s="3565">
        <f t="shared" si="4"/>
        <v>1</v>
      </c>
      <c r="AC19" s="1962">
        <f t="shared" si="5"/>
        <v>1</v>
      </c>
    </row>
    <row r="20" spans="1:29" ht="15">
      <c r="A20" s="379"/>
      <c r="B20" s="580"/>
      <c r="C20" s="1904" t="s">
        <v>3683</v>
      </c>
      <c r="D20" s="399"/>
      <c r="E20" s="1904" t="s">
        <v>3683</v>
      </c>
      <c r="F20" s="399"/>
      <c r="G20" s="1904" t="s">
        <v>3683</v>
      </c>
      <c r="H20" s="399"/>
      <c r="I20" s="1904" t="s">
        <v>3683</v>
      </c>
      <c r="J20" s="399"/>
      <c r="K20" s="564"/>
      <c r="L20" s="2722"/>
      <c r="M20" s="2716"/>
      <c r="N20" s="2716"/>
      <c r="O20" s="2716"/>
      <c r="P20" s="3819"/>
      <c r="Q20" s="3564"/>
      <c r="R20" s="705"/>
      <c r="S20" s="706"/>
      <c r="T20" s="705"/>
      <c r="U20" s="706"/>
      <c r="V20" s="705"/>
      <c r="W20" s="706"/>
      <c r="X20" s="3568"/>
      <c r="Y20" s="3821"/>
      <c r="Z20" s="3567"/>
      <c r="AA20" s="3565">
        <v>1</v>
      </c>
      <c r="AB20" s="3565">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19"/>
      <c r="Q21" s="3564" t="str">
        <f>B21</f>
        <v>基础设施水平</v>
      </c>
      <c r="R21" s="705" t="s">
        <v>14</v>
      </c>
      <c r="S21" s="706">
        <f>F21</f>
        <v>100</v>
      </c>
      <c r="T21" s="705" t="s">
        <v>14</v>
      </c>
      <c r="U21" s="706">
        <f>H21</f>
        <v>100</v>
      </c>
      <c r="V21" s="705" t="s">
        <v>14</v>
      </c>
      <c r="W21" s="706">
        <f>J21</f>
        <v>100</v>
      </c>
      <c r="X21" s="3568"/>
      <c r="Y21" s="3821"/>
      <c r="Z21" s="3567" t="str">
        <f>Q21</f>
        <v>基础设施水平</v>
      </c>
      <c r="AA21" s="3565">
        <f t="shared" ref="AA21" si="8">D21/F21</f>
        <v>1</v>
      </c>
      <c r="AB21" s="3565">
        <f t="shared" ref="AB21" si="9">D21/H21</f>
        <v>1</v>
      </c>
      <c r="AC21" s="1962">
        <f t="shared" ref="AC21" si="10">D21/J21</f>
        <v>1</v>
      </c>
    </row>
    <row r="22" spans="1:29" ht="15">
      <c r="A22" s="379"/>
      <c r="B22" s="581"/>
      <c r="C22" s="1964" t="s">
        <v>3684</v>
      </c>
      <c r="D22" s="399"/>
      <c r="E22" s="1964" t="s">
        <v>3684</v>
      </c>
      <c r="F22" s="399"/>
      <c r="G22" s="1964" t="s">
        <v>3684</v>
      </c>
      <c r="H22" s="399"/>
      <c r="I22" s="1964" t="s">
        <v>3684</v>
      </c>
      <c r="J22" s="399"/>
      <c r="K22" s="1130"/>
      <c r="L22" s="2722"/>
      <c r="M22" s="2716"/>
      <c r="N22" s="2716"/>
      <c r="O22" s="2716"/>
      <c r="P22" s="3819"/>
      <c r="Q22" s="3564"/>
      <c r="R22" s="705"/>
      <c r="S22" s="706"/>
      <c r="T22" s="705"/>
      <c r="U22" s="706"/>
      <c r="V22" s="705"/>
      <c r="W22" s="706"/>
      <c r="X22" s="3568"/>
      <c r="Y22" s="3821"/>
      <c r="Z22" s="3567"/>
      <c r="AA22" s="3565">
        <v>1</v>
      </c>
      <c r="AB22" s="3565">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19"/>
      <c r="Q23" s="3564" t="str">
        <f>B23</f>
        <v>环境质量</v>
      </c>
      <c r="R23" s="705" t="s">
        <v>14</v>
      </c>
      <c r="S23" s="706">
        <f>F23</f>
        <v>100</v>
      </c>
      <c r="T23" s="705" t="s">
        <v>14</v>
      </c>
      <c r="U23" s="706">
        <f>H23</f>
        <v>100</v>
      </c>
      <c r="V23" s="705" t="s">
        <v>14</v>
      </c>
      <c r="W23" s="706">
        <f>J23</f>
        <v>100</v>
      </c>
      <c r="X23" s="3568"/>
      <c r="Y23" s="3821"/>
      <c r="Z23" s="3567" t="str">
        <f>Q23</f>
        <v>环境质量</v>
      </c>
      <c r="AA23" s="3565">
        <f t="shared" si="3"/>
        <v>1</v>
      </c>
      <c r="AB23" s="3565">
        <f t="shared" si="4"/>
        <v>1</v>
      </c>
      <c r="AC23" s="1962">
        <f t="shared" si="5"/>
        <v>1</v>
      </c>
    </row>
    <row r="24" spans="1:29" ht="15">
      <c r="A24" s="379"/>
      <c r="B24" s="581"/>
      <c r="C24" s="1904" t="s">
        <v>3683</v>
      </c>
      <c r="D24" s="399"/>
      <c r="E24" s="1904" t="s">
        <v>3683</v>
      </c>
      <c r="F24" s="399"/>
      <c r="G24" s="1904" t="s">
        <v>3683</v>
      </c>
      <c r="H24" s="399"/>
      <c r="I24" s="1904" t="s">
        <v>3683</v>
      </c>
      <c r="J24" s="399"/>
      <c r="K24" s="564"/>
      <c r="L24" s="2722"/>
      <c r="M24" s="2716"/>
      <c r="N24" s="2716"/>
      <c r="O24" s="2716"/>
      <c r="P24" s="3819"/>
      <c r="Q24" s="3564"/>
      <c r="R24" s="705"/>
      <c r="S24" s="706"/>
      <c r="T24" s="705"/>
      <c r="U24" s="706"/>
      <c r="V24" s="705"/>
      <c r="W24" s="706"/>
      <c r="X24" s="3568"/>
      <c r="Y24" s="3821"/>
      <c r="Z24" s="3567"/>
      <c r="AA24" s="3565">
        <v>1</v>
      </c>
      <c r="AB24" s="3565">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19"/>
      <c r="Q25" s="3564" t="str">
        <f>B25</f>
        <v>毗邻道路的类型与等级</v>
      </c>
      <c r="R25" s="705" t="s">
        <v>14</v>
      </c>
      <c r="S25" s="706">
        <f>F25</f>
        <v>100</v>
      </c>
      <c r="T25" s="705" t="s">
        <v>14</v>
      </c>
      <c r="U25" s="706">
        <f>H25</f>
        <v>100</v>
      </c>
      <c r="V25" s="705" t="s">
        <v>14</v>
      </c>
      <c r="W25" s="706">
        <f>J25</f>
        <v>100</v>
      </c>
      <c r="X25" s="3568"/>
      <c r="Y25" s="3821"/>
      <c r="Z25" s="3567" t="str">
        <f>Q25</f>
        <v>毗邻道路的类型与等级</v>
      </c>
      <c r="AA25" s="3565">
        <f t="shared" si="3"/>
        <v>1</v>
      </c>
      <c r="AB25" s="3565">
        <f t="shared" si="4"/>
        <v>1</v>
      </c>
      <c r="AC25" s="1962">
        <f t="shared" si="5"/>
        <v>1</v>
      </c>
    </row>
    <row r="26" spans="1:29" ht="28.5">
      <c r="A26" s="358"/>
      <c r="B26" s="580"/>
      <c r="C26" s="582" t="s">
        <v>3719</v>
      </c>
      <c r="D26" s="386"/>
      <c r="E26" s="565" t="s">
        <v>3719</v>
      </c>
      <c r="F26" s="386"/>
      <c r="G26" s="582" t="s">
        <v>3720</v>
      </c>
      <c r="H26" s="386"/>
      <c r="I26" s="565" t="s">
        <v>3720</v>
      </c>
      <c r="J26" s="386"/>
      <c r="K26" s="564"/>
      <c r="L26" s="2722"/>
      <c r="M26" s="2716"/>
      <c r="N26" s="2716"/>
      <c r="O26" s="2716"/>
      <c r="P26" s="3819"/>
      <c r="Q26" s="3564"/>
      <c r="R26" s="705"/>
      <c r="S26" s="706"/>
      <c r="T26" s="705"/>
      <c r="U26" s="706"/>
      <c r="V26" s="705"/>
      <c r="W26" s="706"/>
      <c r="X26" s="3568"/>
      <c r="Y26" s="3821"/>
      <c r="Z26" s="3567"/>
      <c r="AA26" s="3565">
        <v>1</v>
      </c>
      <c r="AB26" s="3565">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19"/>
      <c r="Q27" s="3564" t="str">
        <f t="shared" ref="Q27:Q47" si="11">B27</f>
        <v>楼层</v>
      </c>
      <c r="R27" s="705" t="s">
        <v>14</v>
      </c>
      <c r="S27" s="706">
        <f>F27</f>
        <v>100</v>
      </c>
      <c r="T27" s="705" t="s">
        <v>14</v>
      </c>
      <c r="U27" s="706">
        <f>H27</f>
        <v>100</v>
      </c>
      <c r="V27" s="705" t="s">
        <v>14</v>
      </c>
      <c r="W27" s="706">
        <f>J27</f>
        <v>100</v>
      </c>
      <c r="X27" s="3568"/>
      <c r="Y27" s="3821"/>
      <c r="Z27" s="3567" t="str">
        <f>Q27</f>
        <v>楼层</v>
      </c>
      <c r="AA27" s="3565">
        <f t="shared" si="3"/>
        <v>1</v>
      </c>
      <c r="AB27" s="3565">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19"/>
      <c r="Q28" s="3551" t="str">
        <f t="shared" si="11"/>
        <v>朝向</v>
      </c>
      <c r="R28" s="701" t="s">
        <v>14</v>
      </c>
      <c r="S28" s="702">
        <f>F28</f>
        <v>100</v>
      </c>
      <c r="T28" s="701" t="s">
        <v>14</v>
      </c>
      <c r="U28" s="702">
        <f>H28</f>
        <v>100</v>
      </c>
      <c r="V28" s="701" t="s">
        <v>14</v>
      </c>
      <c r="W28" s="702">
        <f>J28</f>
        <v>100</v>
      </c>
      <c r="X28" s="703"/>
      <c r="Y28" s="3821"/>
      <c r="Z28" s="3550" t="str">
        <f>Q28</f>
        <v>朝向</v>
      </c>
      <c r="AA28" s="3565">
        <f>D28/F28</f>
        <v>1</v>
      </c>
      <c r="AB28" s="3565">
        <f>D28/H28</f>
        <v>1</v>
      </c>
      <c r="AC28" s="1962">
        <f>D28/J28</f>
        <v>1</v>
      </c>
    </row>
    <row r="29" spans="1:29" ht="15.75" thickBot="1">
      <c r="A29" s="379"/>
      <c r="B29" s="3570" t="s">
        <v>3700</v>
      </c>
      <c r="C29" s="1908" t="s">
        <v>3705</v>
      </c>
      <c r="D29" s="386">
        <v>100</v>
      </c>
      <c r="E29" s="383" t="s">
        <v>3724</v>
      </c>
      <c r="F29" s="386">
        <f>SUMIF(93:93,E29,94:94)-SUMIF(93:93,C29,94:94)+100</f>
        <v>100</v>
      </c>
      <c r="G29" s="1960" t="s">
        <v>3722</v>
      </c>
      <c r="H29" s="386">
        <f>SUMIF(93:93,G29,94:94)-SUMIF(93:93,C29,94:94)+100</f>
        <v>102</v>
      </c>
      <c r="I29" s="383" t="s">
        <v>3723</v>
      </c>
      <c r="J29" s="386">
        <f>SUMIF(93:93,I29,94:94)-SUMIF(93:93,C29,94:94)+100</f>
        <v>98</v>
      </c>
      <c r="K29" s="562"/>
      <c r="L29" s="2722"/>
      <c r="M29" s="2716"/>
      <c r="N29" s="2716"/>
      <c r="O29" s="2716"/>
      <c r="P29" s="3819"/>
      <c r="Q29" s="3564" t="str">
        <f t="shared" si="11"/>
        <v>楼层</v>
      </c>
      <c r="R29" s="705" t="s">
        <v>14</v>
      </c>
      <c r="S29" s="706">
        <f t="shared" ref="S29:S47" si="12">F29</f>
        <v>100</v>
      </c>
      <c r="T29" s="705" t="s">
        <v>14</v>
      </c>
      <c r="U29" s="706">
        <f t="shared" ref="U29:U47" si="13">H29</f>
        <v>102</v>
      </c>
      <c r="V29" s="705" t="s">
        <v>14</v>
      </c>
      <c r="W29" s="706">
        <f t="shared" ref="W29:W47" si="14">J29</f>
        <v>98</v>
      </c>
      <c r="X29" s="3568"/>
      <c r="Y29" s="3821"/>
      <c r="Z29" s="3567" t="str">
        <f t="shared" ref="Z29:Z47" si="15">Q29</f>
        <v>楼层</v>
      </c>
      <c r="AA29" s="3565">
        <f t="shared" si="3"/>
        <v>1</v>
      </c>
      <c r="AB29" s="3565">
        <f t="shared" si="4"/>
        <v>0.98039215686274506</v>
      </c>
      <c r="AC29" s="1962">
        <f t="shared" si="5"/>
        <v>1.0204081632653061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19"/>
      <c r="Q30" s="3564">
        <f t="shared" si="11"/>
        <v>111</v>
      </c>
      <c r="R30" s="705" t="s">
        <v>14</v>
      </c>
      <c r="S30" s="706">
        <f t="shared" si="12"/>
        <v>100</v>
      </c>
      <c r="T30" s="705" t="s">
        <v>14</v>
      </c>
      <c r="U30" s="706">
        <f t="shared" si="13"/>
        <v>100</v>
      </c>
      <c r="V30" s="705" t="s">
        <v>14</v>
      </c>
      <c r="W30" s="706">
        <f t="shared" si="14"/>
        <v>100</v>
      </c>
      <c r="X30" s="3568"/>
      <c r="Y30" s="3821"/>
      <c r="Z30" s="3567">
        <f t="shared" si="15"/>
        <v>111</v>
      </c>
      <c r="AA30" s="3565">
        <f t="shared" si="3"/>
        <v>1</v>
      </c>
      <c r="AB30" s="3565">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19"/>
      <c r="Q31" s="3564">
        <f t="shared" si="11"/>
        <v>111</v>
      </c>
      <c r="R31" s="705" t="s">
        <v>14</v>
      </c>
      <c r="S31" s="706">
        <f t="shared" si="12"/>
        <v>100</v>
      </c>
      <c r="T31" s="705" t="s">
        <v>14</v>
      </c>
      <c r="U31" s="706">
        <f t="shared" si="13"/>
        <v>100</v>
      </c>
      <c r="V31" s="705" t="s">
        <v>14</v>
      </c>
      <c r="W31" s="706">
        <f t="shared" si="14"/>
        <v>100</v>
      </c>
      <c r="X31" s="3568"/>
      <c r="Y31" s="3821"/>
      <c r="Z31" s="3567">
        <f t="shared" si="15"/>
        <v>111</v>
      </c>
      <c r="AA31" s="3565">
        <f t="shared" si="3"/>
        <v>1</v>
      </c>
      <c r="AB31" s="3565">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19"/>
      <c r="Q32" s="3564">
        <f t="shared" si="11"/>
        <v>111</v>
      </c>
      <c r="R32" s="705" t="s">
        <v>14</v>
      </c>
      <c r="S32" s="706">
        <f t="shared" si="12"/>
        <v>100</v>
      </c>
      <c r="T32" s="705" t="s">
        <v>14</v>
      </c>
      <c r="U32" s="706">
        <f t="shared" si="13"/>
        <v>100</v>
      </c>
      <c r="V32" s="705" t="s">
        <v>14</v>
      </c>
      <c r="W32" s="706">
        <f t="shared" si="14"/>
        <v>100</v>
      </c>
      <c r="X32" s="3568"/>
      <c r="Y32" s="3821"/>
      <c r="Z32" s="3567">
        <f t="shared" si="15"/>
        <v>111</v>
      </c>
      <c r="AA32" s="3565">
        <f t="shared" si="3"/>
        <v>1</v>
      </c>
      <c r="AB32" s="3565">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22" t="s">
        <v>1696</v>
      </c>
      <c r="Q33" s="3564" t="str">
        <f t="shared" si="11"/>
        <v>建筑类型</v>
      </c>
      <c r="R33" s="705" t="s">
        <v>14</v>
      </c>
      <c r="S33" s="706">
        <f t="shared" si="12"/>
        <v>100</v>
      </c>
      <c r="T33" s="705" t="s">
        <v>14</v>
      </c>
      <c r="U33" s="706">
        <f t="shared" si="13"/>
        <v>100</v>
      </c>
      <c r="V33" s="705" t="s">
        <v>14</v>
      </c>
      <c r="W33" s="706">
        <f t="shared" si="14"/>
        <v>100</v>
      </c>
      <c r="X33" s="3568"/>
      <c r="Y33" s="3825" t="s">
        <v>1696</v>
      </c>
      <c r="Z33" s="3567" t="str">
        <f t="shared" si="15"/>
        <v>建筑类型</v>
      </c>
      <c r="AA33" s="3565">
        <f t="shared" si="3"/>
        <v>1</v>
      </c>
      <c r="AB33" s="3565">
        <f t="shared" si="4"/>
        <v>1</v>
      </c>
      <c r="AC33" s="1962">
        <f t="shared" si="5"/>
        <v>1</v>
      </c>
    </row>
    <row r="34" spans="1:29" s="422" customFormat="1" ht="15">
      <c r="A34" s="419"/>
      <c r="B34" s="375" t="s">
        <v>1697</v>
      </c>
      <c r="C34" s="420">
        <f>'数据-汇总表'!E20</f>
        <v>1336.34</v>
      </c>
      <c r="D34" s="127">
        <v>100</v>
      </c>
      <c r="E34" s="381">
        <v>300</v>
      </c>
      <c r="F34" s="376">
        <f>LOOKUP(E34,104:104,105:105)-LOOKUP(C34,104:104,105:105)+100</f>
        <v>104</v>
      </c>
      <c r="G34" s="380">
        <v>1880</v>
      </c>
      <c r="H34" s="127">
        <f>LOOKUP(G34,104:104,105:105)-LOOKUP(C34,104:104,105:105)+100</f>
        <v>98</v>
      </c>
      <c r="I34" s="380">
        <v>1473</v>
      </c>
      <c r="J34" s="127">
        <f>LOOKUP(I34,104:104,105:105)-LOOKUP(C34,104:104,105:105)+100</f>
        <v>100</v>
      </c>
      <c r="K34" s="562"/>
      <c r="L34" s="2721"/>
      <c r="M34" s="2723"/>
      <c r="N34" s="2723"/>
      <c r="O34" s="2723"/>
      <c r="P34" s="3823"/>
      <c r="Q34" s="707" t="str">
        <f t="shared" si="11"/>
        <v>项目建筑规模</v>
      </c>
      <c r="R34" s="708" t="s">
        <v>14</v>
      </c>
      <c r="S34" s="709">
        <f t="shared" si="12"/>
        <v>104</v>
      </c>
      <c r="T34" s="708" t="s">
        <v>14</v>
      </c>
      <c r="U34" s="709">
        <f t="shared" si="13"/>
        <v>98</v>
      </c>
      <c r="V34" s="708" t="s">
        <v>14</v>
      </c>
      <c r="W34" s="709">
        <f t="shared" si="14"/>
        <v>100</v>
      </c>
      <c r="X34" s="710"/>
      <c r="Y34" s="3825"/>
      <c r="Z34" s="711" t="str">
        <f t="shared" si="15"/>
        <v>项目建筑规模</v>
      </c>
      <c r="AA34" s="3565">
        <f t="shared" si="3"/>
        <v>0.96153846153846156</v>
      </c>
      <c r="AB34" s="3565">
        <f t="shared" si="4"/>
        <v>1.0204081632653061</v>
      </c>
      <c r="AC34" s="1962">
        <f t="shared" si="5"/>
        <v>1</v>
      </c>
    </row>
    <row r="35" spans="1:29" ht="15">
      <c r="A35" s="423"/>
      <c r="B35" s="375" t="s">
        <v>1698</v>
      </c>
      <c r="C35" s="411" t="s">
        <v>3706</v>
      </c>
      <c r="D35" s="386">
        <v>100</v>
      </c>
      <c r="E35" s="411" t="s">
        <v>3706</v>
      </c>
      <c r="F35" s="412">
        <f>SUMIF(106:106,E35,107:107)-SUMIF(106:106,C35,107:107)+100</f>
        <v>100</v>
      </c>
      <c r="G35" s="411" t="s">
        <v>3706</v>
      </c>
      <c r="H35" s="386">
        <f>SUMIF(106:106,G35,107:107)-SUMIF(106:106,C35,107:107)+100</f>
        <v>100</v>
      </c>
      <c r="I35" s="411" t="s">
        <v>3706</v>
      </c>
      <c r="J35" s="386">
        <f>SUMIF(106:106,I35,107:107)-SUMIF(106:106,C35,107:107)+100</f>
        <v>100</v>
      </c>
      <c r="K35" s="561"/>
      <c r="L35" s="2722"/>
      <c r="M35" s="2716"/>
      <c r="N35" s="2716"/>
      <c r="O35" s="2716"/>
      <c r="P35" s="3823"/>
      <c r="Q35" s="3564" t="str">
        <f t="shared" si="11"/>
        <v>建筑结构</v>
      </c>
      <c r="R35" s="705" t="s">
        <v>14</v>
      </c>
      <c r="S35" s="706">
        <f t="shared" si="12"/>
        <v>100</v>
      </c>
      <c r="T35" s="705" t="s">
        <v>14</v>
      </c>
      <c r="U35" s="706">
        <f t="shared" si="13"/>
        <v>100</v>
      </c>
      <c r="V35" s="705" t="s">
        <v>14</v>
      </c>
      <c r="W35" s="706">
        <f t="shared" si="14"/>
        <v>100</v>
      </c>
      <c r="X35" s="3568"/>
      <c r="Y35" s="3825"/>
      <c r="Z35" s="3567" t="str">
        <f t="shared" si="15"/>
        <v>建筑结构</v>
      </c>
      <c r="AA35" s="3565">
        <f t="shared" si="3"/>
        <v>1</v>
      </c>
      <c r="AB35" s="3565">
        <f t="shared" si="4"/>
        <v>1</v>
      </c>
      <c r="AC35" s="1962">
        <f t="shared" si="5"/>
        <v>1</v>
      </c>
    </row>
    <row r="36" spans="1:29" ht="15">
      <c r="A36" s="423"/>
      <c r="B36" s="375" t="s">
        <v>1785</v>
      </c>
      <c r="C36" s="411" t="s">
        <v>3708</v>
      </c>
      <c r="D36" s="386">
        <v>100</v>
      </c>
      <c r="E36" s="411" t="s">
        <v>3708</v>
      </c>
      <c r="F36" s="412">
        <f>SUMIF(108:108,E36,109:109)-SUMIF(108:108,C36,109:109)+100</f>
        <v>100</v>
      </c>
      <c r="G36" s="411" t="s">
        <v>3708</v>
      </c>
      <c r="H36" s="386">
        <f>SUMIF(108:108,G36,109:109)-SUMIF(108:108,C36,109:109)+100</f>
        <v>100</v>
      </c>
      <c r="I36" s="411" t="s">
        <v>3708</v>
      </c>
      <c r="J36" s="386">
        <f>SUMIF(108:108,I36,109:109)-SUMIF(108:108,C36,109:109)+100</f>
        <v>100</v>
      </c>
      <c r="K36" s="561"/>
      <c r="L36" s="2722"/>
      <c r="M36" s="2716"/>
      <c r="N36" s="2716"/>
      <c r="O36" s="2716"/>
      <c r="P36" s="3823"/>
      <c r="Q36" s="3564" t="str">
        <f t="shared" si="11"/>
        <v>公共部分装修</v>
      </c>
      <c r="R36" s="705" t="s">
        <v>14</v>
      </c>
      <c r="S36" s="706">
        <f t="shared" si="12"/>
        <v>100</v>
      </c>
      <c r="T36" s="705" t="s">
        <v>14</v>
      </c>
      <c r="U36" s="706">
        <f t="shared" si="13"/>
        <v>100</v>
      </c>
      <c r="V36" s="705" t="s">
        <v>14</v>
      </c>
      <c r="W36" s="706">
        <f t="shared" si="14"/>
        <v>100</v>
      </c>
      <c r="X36" s="3568"/>
      <c r="Y36" s="3825"/>
      <c r="Z36" s="3567" t="str">
        <f t="shared" si="15"/>
        <v>公共部分装修</v>
      </c>
      <c r="AA36" s="3565">
        <f t="shared" si="3"/>
        <v>1</v>
      </c>
      <c r="AB36" s="3565">
        <f t="shared" si="4"/>
        <v>1</v>
      </c>
      <c r="AC36" s="1962">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22"/>
      <c r="M37" s="2716"/>
      <c r="N37" s="2716"/>
      <c r="O37" s="2716"/>
      <c r="P37" s="3823"/>
      <c r="Q37" s="3564" t="str">
        <f t="shared" si="11"/>
        <v>成新度</v>
      </c>
      <c r="R37" s="705" t="s">
        <v>14</v>
      </c>
      <c r="S37" s="706">
        <f t="shared" si="12"/>
        <v>100</v>
      </c>
      <c r="T37" s="705" t="s">
        <v>14</v>
      </c>
      <c r="U37" s="706">
        <f t="shared" si="13"/>
        <v>100</v>
      </c>
      <c r="V37" s="705" t="s">
        <v>14</v>
      </c>
      <c r="W37" s="706">
        <f t="shared" si="14"/>
        <v>100</v>
      </c>
      <c r="X37" s="3568"/>
      <c r="Y37" s="3825"/>
      <c r="Z37" s="3567" t="str">
        <f t="shared" si="15"/>
        <v>成新度</v>
      </c>
      <c r="AA37" s="3565">
        <f t="shared" si="3"/>
        <v>1</v>
      </c>
      <c r="AB37" s="3565">
        <f t="shared" si="4"/>
        <v>1</v>
      </c>
      <c r="AC37" s="1962">
        <f t="shared" si="5"/>
        <v>1</v>
      </c>
    </row>
    <row r="38" spans="1:29" s="108" customFormat="1" ht="15">
      <c r="A38" s="424"/>
      <c r="B38" s="375" t="s">
        <v>1818</v>
      </c>
      <c r="C38" s="411" t="s">
        <v>3710</v>
      </c>
      <c r="D38" s="127">
        <v>100</v>
      </c>
      <c r="E38" s="411" t="s">
        <v>3710</v>
      </c>
      <c r="F38" s="412">
        <f>SUMIF(113:113,E38,114:114)-SUMIF(113:113,C38,114:114)+100</f>
        <v>100</v>
      </c>
      <c r="G38" s="411" t="s">
        <v>3710</v>
      </c>
      <c r="H38" s="386">
        <f>SUMIF(113:113,G38,114:114)-SUMIF(113:113,C38,114:114)+100</f>
        <v>100</v>
      </c>
      <c r="I38" s="411" t="s">
        <v>3710</v>
      </c>
      <c r="J38" s="386">
        <f>SUMIF(113:113,I38,114:114)-SUMIF(113:113,C38,114:114)+100</f>
        <v>100</v>
      </c>
      <c r="K38" s="561"/>
      <c r="L38" s="2717"/>
      <c r="M38" s="2718"/>
      <c r="N38" s="2718"/>
      <c r="O38" s="2718"/>
      <c r="P38" s="3823"/>
      <c r="Q38" s="3551" t="str">
        <f t="shared" si="11"/>
        <v>写字楼等级</v>
      </c>
      <c r="R38" s="701" t="s">
        <v>14</v>
      </c>
      <c r="S38" s="702">
        <f t="shared" si="12"/>
        <v>100</v>
      </c>
      <c r="T38" s="701" t="s">
        <v>14</v>
      </c>
      <c r="U38" s="702">
        <f t="shared" si="13"/>
        <v>100</v>
      </c>
      <c r="V38" s="701" t="s">
        <v>14</v>
      </c>
      <c r="W38" s="702">
        <f t="shared" si="14"/>
        <v>100</v>
      </c>
      <c r="X38" s="703"/>
      <c r="Y38" s="3825"/>
      <c r="Z38" s="3550" t="str">
        <f t="shared" si="15"/>
        <v>写字楼等级</v>
      </c>
      <c r="AA38" s="704">
        <f t="shared" si="3"/>
        <v>1</v>
      </c>
      <c r="AB38" s="704">
        <f t="shared" si="4"/>
        <v>1</v>
      </c>
      <c r="AC38" s="1959">
        <f t="shared" si="5"/>
        <v>1</v>
      </c>
    </row>
    <row r="39" spans="1:29" ht="15">
      <c r="A39" s="423"/>
      <c r="B39" s="375" t="s">
        <v>1819</v>
      </c>
      <c r="C39" s="411" t="s">
        <v>3712</v>
      </c>
      <c r="D39" s="386">
        <v>100</v>
      </c>
      <c r="E39" s="411" t="s">
        <v>3712</v>
      </c>
      <c r="F39" s="412">
        <f>SUMIF(115:115,E39,116:116)-SUMIF(115:115,C39,116:116)+100</f>
        <v>100</v>
      </c>
      <c r="G39" s="411" t="s">
        <v>3712</v>
      </c>
      <c r="H39" s="386">
        <f>SUMIF(115:115,G39,116:116)-SUMIF(115:115,C39,116:116)+100</f>
        <v>100</v>
      </c>
      <c r="I39" s="411" t="s">
        <v>3712</v>
      </c>
      <c r="J39" s="386">
        <f>SUMIF(115:115,I39,116:116)-SUMIF(115:115,C39,116:116)+100</f>
        <v>100</v>
      </c>
      <c r="K39" s="561"/>
      <c r="L39" s="2722"/>
      <c r="M39" s="2716"/>
      <c r="N39" s="2716"/>
      <c r="O39" s="2716"/>
      <c r="P39" s="3823" t="s">
        <v>1696</v>
      </c>
      <c r="Q39" s="3564" t="str">
        <f t="shared" si="11"/>
        <v>物业管理</v>
      </c>
      <c r="R39" s="705" t="s">
        <v>14</v>
      </c>
      <c r="S39" s="706">
        <f t="shared" si="12"/>
        <v>100</v>
      </c>
      <c r="T39" s="705" t="s">
        <v>14</v>
      </c>
      <c r="U39" s="706">
        <f t="shared" si="13"/>
        <v>100</v>
      </c>
      <c r="V39" s="705" t="s">
        <v>14</v>
      </c>
      <c r="W39" s="706">
        <f t="shared" si="14"/>
        <v>100</v>
      </c>
      <c r="X39" s="3568"/>
      <c r="Y39" s="3825" t="s">
        <v>1696</v>
      </c>
      <c r="Z39" s="3567" t="str">
        <f t="shared" si="15"/>
        <v>物业管理</v>
      </c>
      <c r="AA39" s="3565">
        <f t="shared" si="3"/>
        <v>1</v>
      </c>
      <c r="AB39" s="3565">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23"/>
      <c r="Q40" s="3564" t="str">
        <f t="shared" si="11"/>
        <v>市政基础设施</v>
      </c>
      <c r="R40" s="705" t="s">
        <v>14</v>
      </c>
      <c r="S40" s="706">
        <f t="shared" si="12"/>
        <v>100</v>
      </c>
      <c r="T40" s="705" t="s">
        <v>14</v>
      </c>
      <c r="U40" s="706">
        <f t="shared" si="13"/>
        <v>100</v>
      </c>
      <c r="V40" s="705" t="s">
        <v>14</v>
      </c>
      <c r="W40" s="706">
        <f t="shared" si="14"/>
        <v>100</v>
      </c>
      <c r="X40" s="3568"/>
      <c r="Y40" s="3825"/>
      <c r="Z40" s="3567" t="str">
        <f t="shared" si="15"/>
        <v>市政基础设施</v>
      </c>
      <c r="AA40" s="3565">
        <f t="shared" si="3"/>
        <v>1</v>
      </c>
      <c r="AB40" s="3565">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23"/>
      <c r="Q41" s="3564" t="str">
        <f t="shared" si="11"/>
        <v>层高</v>
      </c>
      <c r="R41" s="705" t="s">
        <v>14</v>
      </c>
      <c r="S41" s="706">
        <f t="shared" si="12"/>
        <v>100</v>
      </c>
      <c r="T41" s="705" t="s">
        <v>14</v>
      </c>
      <c r="U41" s="706">
        <f t="shared" si="13"/>
        <v>100</v>
      </c>
      <c r="V41" s="705" t="s">
        <v>14</v>
      </c>
      <c r="W41" s="706">
        <f t="shared" si="14"/>
        <v>100</v>
      </c>
      <c r="X41" s="3568"/>
      <c r="Y41" s="3825"/>
      <c r="Z41" s="3567" t="str">
        <f t="shared" si="15"/>
        <v>层高</v>
      </c>
      <c r="AA41" s="3565">
        <f t="shared" si="3"/>
        <v>1</v>
      </c>
      <c r="AB41" s="3565">
        <f t="shared" si="4"/>
        <v>1</v>
      </c>
      <c r="AC41" s="1962">
        <f t="shared" si="5"/>
        <v>1</v>
      </c>
    </row>
    <row r="42" spans="1:29" s="422" customFormat="1" ht="15" hidden="1">
      <c r="A42" s="419"/>
      <c r="B42" s="356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23"/>
      <c r="Q42" s="707" t="str">
        <f t="shared" si="11"/>
        <v>单套建筑面积</v>
      </c>
      <c r="R42" s="708" t="s">
        <v>14</v>
      </c>
      <c r="S42" s="709">
        <f t="shared" si="12"/>
        <v>100</v>
      </c>
      <c r="T42" s="708" t="s">
        <v>14</v>
      </c>
      <c r="U42" s="709">
        <f t="shared" si="13"/>
        <v>100</v>
      </c>
      <c r="V42" s="708" t="s">
        <v>14</v>
      </c>
      <c r="W42" s="709">
        <f t="shared" si="14"/>
        <v>100</v>
      </c>
      <c r="X42" s="710"/>
      <c r="Y42" s="3825"/>
      <c r="Z42" s="711" t="str">
        <f t="shared" si="15"/>
        <v>单套建筑面积</v>
      </c>
      <c r="AA42" s="3565">
        <f t="shared" si="3"/>
        <v>1</v>
      </c>
      <c r="AB42" s="3565">
        <f t="shared" si="4"/>
        <v>1</v>
      </c>
      <c r="AC42" s="1962">
        <f t="shared" si="5"/>
        <v>1</v>
      </c>
    </row>
    <row r="43" spans="1:29" ht="15" hidden="1">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23"/>
      <c r="Q43" s="3564" t="str">
        <f t="shared" si="11"/>
        <v>内部装修</v>
      </c>
      <c r="R43" s="705" t="s">
        <v>14</v>
      </c>
      <c r="S43" s="706">
        <f t="shared" si="12"/>
        <v>100</v>
      </c>
      <c r="T43" s="705" t="s">
        <v>14</v>
      </c>
      <c r="U43" s="706">
        <f t="shared" si="13"/>
        <v>100</v>
      </c>
      <c r="V43" s="705" t="s">
        <v>14</v>
      </c>
      <c r="W43" s="706">
        <f t="shared" si="14"/>
        <v>100</v>
      </c>
      <c r="X43" s="3568"/>
      <c r="Y43" s="3825"/>
      <c r="Z43" s="3567" t="str">
        <f t="shared" si="15"/>
        <v>内部装修</v>
      </c>
      <c r="AA43" s="3565">
        <f t="shared" si="3"/>
        <v>1</v>
      </c>
      <c r="AB43" s="3565">
        <f t="shared" si="4"/>
        <v>1</v>
      </c>
      <c r="AC43" s="1962">
        <f t="shared" si="5"/>
        <v>1</v>
      </c>
    </row>
    <row r="44" spans="1:29" ht="15">
      <c r="A44" s="423"/>
      <c r="B44" s="375" t="s">
        <v>1707</v>
      </c>
      <c r="C44" s="411" t="s">
        <v>3683</v>
      </c>
      <c r="D44" s="386">
        <v>100</v>
      </c>
      <c r="E44" s="411" t="s">
        <v>3683</v>
      </c>
      <c r="F44" s="412">
        <f>SUMIF(125:125,E44,126:126)-SUMIF(125:125,C44,126:126)+100</f>
        <v>100</v>
      </c>
      <c r="G44" s="411" t="s">
        <v>3683</v>
      </c>
      <c r="H44" s="386">
        <f>SUMIF(125:125,G44,126:126)-SUMIF(125:125,C44,126:126)+100</f>
        <v>100</v>
      </c>
      <c r="I44" s="411" t="s">
        <v>3683</v>
      </c>
      <c r="J44" s="386">
        <f>SUMIF(125:125,I44,126:126)-SUMIF(125:125,C44,126:126)+100</f>
        <v>100</v>
      </c>
      <c r="K44" s="561"/>
      <c r="L44" s="2722"/>
      <c r="M44" s="2716"/>
      <c r="N44" s="2716"/>
      <c r="O44" s="2716"/>
      <c r="P44" s="3823"/>
      <c r="Q44" s="3564" t="str">
        <f t="shared" si="11"/>
        <v>内部装修维护情况</v>
      </c>
      <c r="R44" s="705" t="s">
        <v>14</v>
      </c>
      <c r="S44" s="706">
        <f t="shared" si="12"/>
        <v>100</v>
      </c>
      <c r="T44" s="705" t="s">
        <v>14</v>
      </c>
      <c r="U44" s="706">
        <f t="shared" si="13"/>
        <v>100</v>
      </c>
      <c r="V44" s="705" t="s">
        <v>14</v>
      </c>
      <c r="W44" s="706">
        <f t="shared" si="14"/>
        <v>100</v>
      </c>
      <c r="X44" s="3568"/>
      <c r="Y44" s="3825"/>
      <c r="Z44" s="3567" t="str">
        <f t="shared" si="15"/>
        <v>内部装修维护情况</v>
      </c>
      <c r="AA44" s="3565">
        <f t="shared" si="3"/>
        <v>1</v>
      </c>
      <c r="AB44" s="3565">
        <f t="shared" si="4"/>
        <v>1</v>
      </c>
      <c r="AC44" s="1962">
        <f t="shared" si="5"/>
        <v>1</v>
      </c>
    </row>
    <row r="45" spans="1:29" s="108" customFormat="1" ht="15">
      <c r="A45" s="424"/>
      <c r="B45" s="3572" t="s">
        <v>3725</v>
      </c>
      <c r="C45" s="420">
        <v>2001</v>
      </c>
      <c r="D45" s="127">
        <v>100</v>
      </c>
      <c r="E45" s="383">
        <v>2001</v>
      </c>
      <c r="F45" s="376">
        <f>SUMIF(127:127,E45,128:128)-SUMIF(127:127,C45,128:128)+100</f>
        <v>100</v>
      </c>
      <c r="G45" s="383">
        <v>2005</v>
      </c>
      <c r="H45" s="127">
        <f>SUMIF(127:127,G45,128:128)-SUMIF(127:127,C45,128:128)+100</f>
        <v>100.4</v>
      </c>
      <c r="I45" s="383">
        <v>2001</v>
      </c>
      <c r="J45" s="127">
        <f>SUMIF(127:127,I45,128:128)-SUMIF(127:127,C45,128:128)+100</f>
        <v>100</v>
      </c>
      <c r="K45" s="562"/>
      <c r="L45" s="2717"/>
      <c r="M45" s="2718"/>
      <c r="N45" s="2718"/>
      <c r="O45" s="2718"/>
      <c r="P45" s="3823"/>
      <c r="Q45" s="3551" t="str">
        <f t="shared" si="11"/>
        <v>建成年份</v>
      </c>
      <c r="R45" s="701" t="s">
        <v>14</v>
      </c>
      <c r="S45" s="702">
        <f t="shared" si="12"/>
        <v>100</v>
      </c>
      <c r="T45" s="701" t="s">
        <v>14</v>
      </c>
      <c r="U45" s="702">
        <f t="shared" si="13"/>
        <v>100.4</v>
      </c>
      <c r="V45" s="701" t="s">
        <v>14</v>
      </c>
      <c r="W45" s="702">
        <f t="shared" si="14"/>
        <v>100</v>
      </c>
      <c r="X45" s="703"/>
      <c r="Y45" s="3825"/>
      <c r="Z45" s="3550" t="str">
        <f t="shared" si="15"/>
        <v>建成年份</v>
      </c>
      <c r="AA45" s="704">
        <f t="shared" si="3"/>
        <v>1</v>
      </c>
      <c r="AB45" s="704">
        <f t="shared" si="4"/>
        <v>0.99601593625497997</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23"/>
      <c r="Q46" s="3564">
        <f t="shared" si="11"/>
        <v>111</v>
      </c>
      <c r="R46" s="705" t="s">
        <v>14</v>
      </c>
      <c r="S46" s="706">
        <f t="shared" si="12"/>
        <v>100</v>
      </c>
      <c r="T46" s="705" t="s">
        <v>14</v>
      </c>
      <c r="U46" s="706">
        <f t="shared" si="13"/>
        <v>100</v>
      </c>
      <c r="V46" s="705" t="s">
        <v>14</v>
      </c>
      <c r="W46" s="706">
        <f t="shared" si="14"/>
        <v>100</v>
      </c>
      <c r="X46" s="3568"/>
      <c r="Y46" s="3825"/>
      <c r="Z46" s="3567">
        <f t="shared" si="15"/>
        <v>111</v>
      </c>
      <c r="AA46" s="3565">
        <f t="shared" si="3"/>
        <v>1</v>
      </c>
      <c r="AB46" s="3565">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24"/>
      <c r="Q47" s="3564">
        <f t="shared" si="11"/>
        <v>111</v>
      </c>
      <c r="R47" s="705" t="s">
        <v>14</v>
      </c>
      <c r="S47" s="706">
        <f t="shared" si="12"/>
        <v>100</v>
      </c>
      <c r="T47" s="705" t="s">
        <v>14</v>
      </c>
      <c r="U47" s="706">
        <f t="shared" si="13"/>
        <v>100</v>
      </c>
      <c r="V47" s="705" t="s">
        <v>14</v>
      </c>
      <c r="W47" s="706">
        <f t="shared" si="14"/>
        <v>100</v>
      </c>
      <c r="X47" s="3568"/>
      <c r="Y47" s="3826"/>
      <c r="Z47" s="3567">
        <f t="shared" si="15"/>
        <v>111</v>
      </c>
      <c r="AA47" s="3565">
        <f t="shared" si="3"/>
        <v>1</v>
      </c>
      <c r="AB47" s="3565">
        <f t="shared" si="4"/>
        <v>1</v>
      </c>
      <c r="AC47" s="1962">
        <f t="shared" si="5"/>
        <v>1</v>
      </c>
    </row>
    <row r="48" spans="1:29" ht="15">
      <c r="A48" s="430" t="s">
        <v>1708</v>
      </c>
      <c r="B48" s="431"/>
      <c r="C48" s="1154" t="s">
        <v>0</v>
      </c>
      <c r="D48" s="1155"/>
      <c r="E48" s="1156">
        <v>36000</v>
      </c>
      <c r="F48" s="1157"/>
      <c r="G48" s="1158">
        <v>36702</v>
      </c>
      <c r="H48" s="1159"/>
      <c r="I48" s="1156">
        <v>35003</v>
      </c>
      <c r="J48" s="436"/>
      <c r="K48" s="714"/>
      <c r="L48" s="2724"/>
      <c r="M48" s="2716"/>
      <c r="N48" s="2716"/>
      <c r="O48" s="2716"/>
      <c r="P48" s="3830" t="str">
        <f>A48</f>
        <v>成交单价（元/平方米）</v>
      </c>
      <c r="Q48" s="3813"/>
      <c r="R48" s="3814">
        <f>E48</f>
        <v>36000</v>
      </c>
      <c r="S48" s="3814"/>
      <c r="T48" s="3814">
        <f>G48</f>
        <v>36702</v>
      </c>
      <c r="U48" s="3814"/>
      <c r="V48" s="3814">
        <f>I48</f>
        <v>35003</v>
      </c>
      <c r="W48" s="3814"/>
      <c r="X48" s="397"/>
      <c r="Y48" s="712"/>
      <c r="Z48" s="397"/>
      <c r="AA48" s="397"/>
      <c r="AB48" s="397"/>
      <c r="AC48" s="578"/>
    </row>
    <row r="49" spans="1:29" ht="15.75" thickBot="1">
      <c r="A49" s="437" t="s">
        <v>1793</v>
      </c>
      <c r="B49" s="438"/>
      <c r="C49" s="1160">
        <f>R50</f>
        <v>35634.400000000001</v>
      </c>
      <c r="D49" s="2317" t="s">
        <v>2138</v>
      </c>
      <c r="E49" s="1161">
        <f>R49</f>
        <v>34615.4</v>
      </c>
      <c r="F49" s="2318"/>
      <c r="G49" s="1160">
        <f>T49</f>
        <v>36570.400000000001</v>
      </c>
      <c r="H49" s="2318"/>
      <c r="I49" s="1161">
        <f>V49</f>
        <v>35717.300000000003</v>
      </c>
      <c r="J49" s="2318"/>
      <c r="K49" s="2320">
        <f>F49+H49+J49</f>
        <v>0</v>
      </c>
      <c r="L49" s="2724"/>
      <c r="M49" s="2716"/>
      <c r="N49" s="2716"/>
      <c r="O49" s="2716"/>
      <c r="P49" s="3830" t="str">
        <f>A49</f>
        <v>比较价值（元/平方米）</v>
      </c>
      <c r="Q49" s="3813"/>
      <c r="R49" s="3814">
        <f>IF(F1="售价",ROUND(PRODUCT(R48,AA7:AA47),0),ROUND(PRODUCT(R48,AA7:AA47),1))</f>
        <v>34615.4</v>
      </c>
      <c r="S49" s="3814"/>
      <c r="T49" s="3814">
        <f>IF(F1="售价",ROUND(PRODUCT(T48,AB7:AB47),0),ROUND(PRODUCT(T48,AB7:AB47),1))</f>
        <v>36570.400000000001</v>
      </c>
      <c r="U49" s="3814"/>
      <c r="V49" s="3814">
        <f>IF(F1="售价",ROUND(PRODUCT(V48,AC7:AC47),0),ROUND(PRODUCT(V48,AC7:AC47),1))</f>
        <v>35717.300000000003</v>
      </c>
      <c r="W49" s="3814"/>
      <c r="X49" s="397"/>
      <c r="Y49" s="397"/>
      <c r="Z49" s="397"/>
      <c r="AA49" s="397"/>
      <c r="AB49" s="397"/>
      <c r="AC49" s="578"/>
    </row>
    <row r="50" spans="1:29" ht="15.75" thickBot="1">
      <c r="A50" s="441" t="s">
        <v>1710</v>
      </c>
      <c r="B50" s="442"/>
      <c r="C50" s="1163">
        <f>R50</f>
        <v>35634.400000000001</v>
      </c>
      <c r="D50" s="1163"/>
      <c r="E50" s="1163"/>
      <c r="F50" s="1163"/>
      <c r="G50" s="1163"/>
      <c r="H50" s="1163"/>
      <c r="I50" s="1163"/>
      <c r="J50" s="443"/>
      <c r="K50" s="715"/>
      <c r="L50" s="2724"/>
      <c r="M50" s="2716"/>
      <c r="N50" s="2716"/>
      <c r="O50" s="2716"/>
      <c r="P50" s="3891" t="str">
        <f>A50</f>
        <v>估价对象XX用房的比较价值（楼面单价，元/平方米）</v>
      </c>
      <c r="Q50" s="3892"/>
      <c r="R50" s="3893">
        <f>IF(F1="售价",ROUND(IF(D49="简单平均",AVERAGE(R49:V49),R49*F49+T49*H49+V49*J49),0),ROUND(IF(D49="简单平均",AVERAGE(R49:V49),R49*F49+T49*H49+V49*J49),1))</f>
        <v>35634.400000000001</v>
      </c>
      <c r="S50" s="3893"/>
      <c r="T50" s="3893"/>
      <c r="U50" s="3893"/>
      <c r="V50" s="3893"/>
      <c r="W50" s="389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3.9999537777983152E-2</v>
      </c>
      <c r="F53" s="449" t="str">
        <f>IF(OR(E53&gt;=0.3,E53&lt;=-0.3),"超过30%","")</f>
        <v/>
      </c>
      <c r="G53" s="448">
        <f>IF(G48&lt;G49,G49/G48-1,G48/G49-1)</f>
        <v>3.5985387089012555E-3</v>
      </c>
      <c r="H53" s="449" t="str">
        <f>IF(OR(G53&gt;=0.3,G53&lt;=-0.3),"超过30%","")</f>
        <v/>
      </c>
      <c r="I53" s="448">
        <f>IF(I48&lt;I49,I49/I48-1,I48/I49-1)</f>
        <v>2.0406822272376779E-2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5.6477752676554305E-2</v>
      </c>
      <c r="F54" s="449" t="str">
        <f>IF(OR(E54&gt;=0.2,E54&lt;=-0.2),"超过20%","")</f>
        <v/>
      </c>
      <c r="G54" s="448">
        <f>IF(G49&lt;I49,I49/G49-1,G49/I49-1)</f>
        <v>2.3884784124219793E-2</v>
      </c>
      <c r="H54" s="449" t="str">
        <f>IF(OR(G54&gt;=0.2,G54&lt;=-0.2),"超过20%","")</f>
        <v/>
      </c>
      <c r="I54" s="448">
        <f>IF(I49&lt;E49,E49/I49-1,I49/E49-1)</f>
        <v>3.1832652518821059E-2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1.9500000000000073E-2</v>
      </c>
      <c r="F55" s="449" t="str">
        <f>IF(OR(E55&gt;=0.3,E55&lt;=-0.3),"超过30%","")</f>
        <v/>
      </c>
      <c r="G55" s="448">
        <f>IF(G48&lt;I48,I48/G48-1,G48/I48-1)</f>
        <v>4.8538696683141369E-2</v>
      </c>
      <c r="H55" s="449" t="str">
        <f>IF(OR(G55&gt;=0.3,G55&lt;=-0.3),"超过30%","")</f>
        <v/>
      </c>
      <c r="I55" s="448">
        <f>IF(I48&lt;E48,E48/I48-1,I48/E48-1)</f>
        <v>2.8483272862326103E-2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8.5" thickTop="1">
      <c r="A87" s="528"/>
      <c r="B87" s="487" t="s">
        <v>1823</v>
      </c>
      <c r="C87" s="503" t="s">
        <v>3717</v>
      </c>
      <c r="D87" s="503" t="s">
        <v>3718</v>
      </c>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t="str">
        <f>B29</f>
        <v>楼层</v>
      </c>
      <c r="C93" s="503" t="str">
        <f>C29</f>
        <v>中楼层/28</v>
      </c>
      <c r="D93" s="503"/>
      <c r="E93" s="1960" t="str">
        <f>G29</f>
        <v>高楼层/20</v>
      </c>
      <c r="F93" s="503" t="str">
        <f>I29</f>
        <v>低楼层/28</v>
      </c>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v>100</v>
      </c>
      <c r="D94" s="485"/>
      <c r="E94" s="485">
        <v>102</v>
      </c>
      <c r="F94" s="485">
        <v>98</v>
      </c>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0(含)-500</v>
      </c>
      <c r="D103" s="527" t="str">
        <f t="shared" ref="D103:L103" si="23">D104&amp;"(含)"&amp;"-"&amp;E104</f>
        <v>500(含)-1000</v>
      </c>
      <c r="E103" s="527" t="str">
        <f t="shared" si="23"/>
        <v>1000(含)-1500</v>
      </c>
      <c r="F103" s="527" t="str">
        <f t="shared" si="23"/>
        <v>1500(含)-2000</v>
      </c>
      <c r="G103" s="527" t="str">
        <f t="shared" si="23"/>
        <v>2000(含)-2500</v>
      </c>
      <c r="H103" s="527" t="str">
        <f t="shared" si="23"/>
        <v>2500(含)-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v>2000</v>
      </c>
      <c r="H104" s="544">
        <v>2500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v>92</v>
      </c>
      <c r="H105" s="485">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571" t="s">
        <v>3707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571" t="s">
        <v>3709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571" t="s">
        <v>3711</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571" t="s">
        <v>3713</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571" t="s">
        <v>3714</v>
      </c>
      <c r="D117" s="3571" t="s">
        <v>3715</v>
      </c>
      <c r="E117" s="3571" t="s">
        <v>3716</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建成年份</v>
      </c>
      <c r="C127" s="503">
        <v>2001</v>
      </c>
      <c r="D127" s="503">
        <v>2005</v>
      </c>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v>100</v>
      </c>
      <c r="D128" s="485">
        <v>100.4</v>
      </c>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
  <sheetViews>
    <sheetView topLeftCell="A170" workbookViewId="0">
      <selection activeCell="A180" sqref="A180"/>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 zoomScale="90" zoomScaleNormal="70" zoomScaleSheetLayoutView="90" workbookViewId="0">
      <selection activeCell="J52" sqref="J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6.8</v>
      </c>
      <c r="C3" s="354" t="s">
        <v>1768</v>
      </c>
      <c r="D3" s="353">
        <f>IF(D1="",'数据-汇总表'!E3,SUMIF('数据-汇总表'!$C19:$C33,D1,'数据-汇总表'!$E19:$E33))</f>
        <v>1336.34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841" t="s">
        <v>1770</v>
      </c>
      <c r="D4" s="3842"/>
      <c r="E4" s="3843" t="s">
        <v>1771</v>
      </c>
      <c r="F4" s="3844"/>
      <c r="G4" s="3841" t="s">
        <v>1772</v>
      </c>
      <c r="H4" s="3842"/>
      <c r="I4" s="3841" t="s">
        <v>1773</v>
      </c>
      <c r="J4" s="3842"/>
      <c r="K4" s="559" t="s">
        <v>1774</v>
      </c>
      <c r="L4" s="2715"/>
      <c r="M4" s="2716"/>
      <c r="N4" s="2716"/>
      <c r="O4" s="2716"/>
      <c r="P4" s="3902" t="s">
        <v>1775</v>
      </c>
      <c r="Q4" s="3903"/>
      <c r="R4" s="3895" t="s">
        <v>1771</v>
      </c>
      <c r="S4" s="3896"/>
      <c r="T4" s="3895" t="s">
        <v>1772</v>
      </c>
      <c r="U4" s="3896"/>
      <c r="V4" s="3897" t="s">
        <v>1773</v>
      </c>
      <c r="W4" s="3897"/>
      <c r="X4" s="1958"/>
      <c r="Y4" s="3895" t="s">
        <v>1775</v>
      </c>
      <c r="Z4" s="3896"/>
      <c r="AA4" s="3898" t="s">
        <v>1771</v>
      </c>
      <c r="AB4" s="3898" t="s">
        <v>1772</v>
      </c>
      <c r="AC4" s="3899" t="s">
        <v>1773</v>
      </c>
    </row>
    <row r="5" spans="1:29" ht="15">
      <c r="A5" s="358"/>
      <c r="B5" s="359"/>
      <c r="C5" s="3851" t="s">
        <v>3680</v>
      </c>
      <c r="D5" s="3852"/>
      <c r="E5" s="3889" t="str">
        <f>C5</f>
        <v>启迪科技大厦</v>
      </c>
      <c r="F5" s="3854"/>
      <c r="G5" s="3851" t="s">
        <v>3685</v>
      </c>
      <c r="H5" s="3852"/>
      <c r="I5" s="3851" t="s">
        <v>3702</v>
      </c>
      <c r="J5" s="3852"/>
      <c r="K5" s="559"/>
      <c r="L5" s="2715"/>
      <c r="M5" s="2716"/>
      <c r="N5" s="2716"/>
      <c r="O5" s="2716"/>
      <c r="P5" s="3904"/>
      <c r="Q5" s="3848"/>
      <c r="R5" s="3833"/>
      <c r="S5" s="3834"/>
      <c r="T5" s="3833"/>
      <c r="U5" s="3834"/>
      <c r="V5" s="3827"/>
      <c r="W5" s="3827"/>
      <c r="X5" s="1355"/>
      <c r="Y5" s="3833"/>
      <c r="Z5" s="3834"/>
      <c r="AA5" s="3838"/>
      <c r="AB5" s="3838"/>
      <c r="AC5" s="3900"/>
    </row>
    <row r="6" spans="1:29" ht="15.75" thickBot="1">
      <c r="A6" s="360"/>
      <c r="B6" s="361"/>
      <c r="C6" s="3855" t="s">
        <v>1677</v>
      </c>
      <c r="D6" s="3856"/>
      <c r="E6" s="3857" t="s">
        <v>1677</v>
      </c>
      <c r="F6" s="3858"/>
      <c r="G6" s="3855" t="s">
        <v>1677</v>
      </c>
      <c r="H6" s="3856"/>
      <c r="I6" s="3855" t="s">
        <v>1677</v>
      </c>
      <c r="J6" s="3856"/>
      <c r="K6" s="559" t="s">
        <v>1678</v>
      </c>
      <c r="L6" s="2715"/>
      <c r="M6" s="2716"/>
      <c r="N6" s="2716"/>
      <c r="O6" s="2716"/>
      <c r="P6" s="3905"/>
      <c r="Q6" s="3850"/>
      <c r="R6" s="3833"/>
      <c r="S6" s="3834"/>
      <c r="T6" s="3835"/>
      <c r="U6" s="3836"/>
      <c r="V6" s="3827"/>
      <c r="W6" s="3827"/>
      <c r="X6" s="1355"/>
      <c r="Y6" s="3835"/>
      <c r="Z6" s="3836"/>
      <c r="AA6" s="3839"/>
      <c r="AB6" s="3839"/>
      <c r="AC6" s="3901"/>
    </row>
    <row r="7" spans="1:29" s="108" customFormat="1" ht="15.75" thickBot="1">
      <c r="A7" s="362" t="s">
        <v>1679</v>
      </c>
      <c r="B7" s="363"/>
      <c r="C7" s="364">
        <f>'数据-取费表'!B2</f>
        <v>45478</v>
      </c>
      <c r="D7" s="365">
        <v>100</v>
      </c>
      <c r="E7" s="366">
        <f>C7</f>
        <v>45478</v>
      </c>
      <c r="F7" s="367">
        <f>SUMIF(59:59,YEAR(E7)&amp;"-"&amp;MONTH(E7),60:60)</f>
        <v>100</v>
      </c>
      <c r="G7" s="366">
        <f>C7</f>
        <v>45478</v>
      </c>
      <c r="H7" s="365">
        <f>SUMIF(59:59,YEAR(G7)&amp;"-"&amp;MONTH(G7),60:60)</f>
        <v>100</v>
      </c>
      <c r="I7" s="366">
        <f>C7</f>
        <v>45478</v>
      </c>
      <c r="J7" s="365">
        <f>SUMIF(59:59,YEAR(I7)&amp;"-"&amp;MONTH(I7),60:60)</f>
        <v>100</v>
      </c>
      <c r="K7" s="560"/>
      <c r="L7" s="2717"/>
      <c r="M7" s="2718"/>
      <c r="N7" s="2718"/>
      <c r="O7" s="2718"/>
      <c r="P7" s="3894" t="s">
        <v>1680</v>
      </c>
      <c r="Q7" s="3840"/>
      <c r="R7" s="701" t="s">
        <v>14</v>
      </c>
      <c r="S7" s="702">
        <f t="shared" ref="S7:S15" si="0">F7</f>
        <v>100</v>
      </c>
      <c r="T7" s="701" t="s">
        <v>14</v>
      </c>
      <c r="U7" s="702">
        <f t="shared" ref="U7:U15" si="1">H7</f>
        <v>100</v>
      </c>
      <c r="V7" s="701" t="s">
        <v>14</v>
      </c>
      <c r="W7" s="702">
        <f t="shared" ref="W7:W15" si="2">J7</f>
        <v>100</v>
      </c>
      <c r="X7" s="703"/>
      <c r="Y7" s="3828" t="s">
        <v>1680</v>
      </c>
      <c r="Z7" s="3829"/>
      <c r="AA7" s="704">
        <f>D7/F7</f>
        <v>1</v>
      </c>
      <c r="AB7" s="704">
        <f>D7/H7</f>
        <v>1</v>
      </c>
      <c r="AC7" s="1959">
        <f>D7/J7</f>
        <v>1</v>
      </c>
    </row>
    <row r="8" spans="1:29" s="108" customFormat="1" ht="15.75" thickBot="1">
      <c r="A8" s="362" t="s">
        <v>1681</v>
      </c>
      <c r="B8" s="363"/>
      <c r="C8" s="368" t="s">
        <v>3681</v>
      </c>
      <c r="D8" s="365">
        <v>100</v>
      </c>
      <c r="E8" s="368" t="s">
        <v>3681</v>
      </c>
      <c r="F8" s="367">
        <f>SUMIF(62:62,E8,63:63)-SUMIF(62:62,C8,63:63)+100</f>
        <v>100</v>
      </c>
      <c r="G8" s="368" t="s">
        <v>3681</v>
      </c>
      <c r="H8" s="365">
        <f>SUMIF(62:62,G8,63:63)-SUMIF(62:62,C8,63:63)+100</f>
        <v>100</v>
      </c>
      <c r="I8" s="368" t="s">
        <v>3681</v>
      </c>
      <c r="J8" s="365">
        <f>SUMIF(62:62,I8,63:63)-SUMIF(62:62,C8,63:63)+100</f>
        <v>100</v>
      </c>
      <c r="K8" s="560"/>
      <c r="L8" s="2717"/>
      <c r="M8" s="2718"/>
      <c r="N8" s="2718"/>
      <c r="O8" s="2718"/>
      <c r="P8" s="3894" t="s">
        <v>1683</v>
      </c>
      <c r="Q8" s="3829"/>
      <c r="R8" s="701" t="s">
        <v>14</v>
      </c>
      <c r="S8" s="702">
        <f t="shared" si="0"/>
        <v>100</v>
      </c>
      <c r="T8" s="701" t="s">
        <v>14</v>
      </c>
      <c r="U8" s="702">
        <f t="shared" si="1"/>
        <v>100</v>
      </c>
      <c r="V8" s="701" t="s">
        <v>14</v>
      </c>
      <c r="W8" s="702">
        <f t="shared" si="2"/>
        <v>100</v>
      </c>
      <c r="X8" s="703"/>
      <c r="Y8" s="3828" t="s">
        <v>1683</v>
      </c>
      <c r="Z8" s="3829"/>
      <c r="AA8" s="704">
        <f t="shared" ref="AA8:AA47" si="3">D8/F8</f>
        <v>1</v>
      </c>
      <c r="AB8" s="704">
        <f t="shared" ref="AB8:AB47" si="4">D8/H8</f>
        <v>1</v>
      </c>
      <c r="AC8" s="1959">
        <f t="shared" ref="AC8:AC47" si="5">D8/J8</f>
        <v>1</v>
      </c>
    </row>
    <row r="9" spans="1:29" s="108" customFormat="1" ht="15" thickBot="1">
      <c r="A9" s="369" t="s">
        <v>1684</v>
      </c>
      <c r="B9" s="63" t="s">
        <v>1685</v>
      </c>
      <c r="C9" s="3549" t="s">
        <v>3686</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830" t="s">
        <v>1686</v>
      </c>
      <c r="Q9" s="1343" t="str">
        <f t="shared" ref="Q9:Q15" si="6">B9</f>
        <v>用途</v>
      </c>
      <c r="R9" s="701" t="s">
        <v>14</v>
      </c>
      <c r="S9" s="702">
        <f t="shared" si="0"/>
        <v>100</v>
      </c>
      <c r="T9" s="701" t="s">
        <v>14</v>
      </c>
      <c r="U9" s="702">
        <f t="shared" si="1"/>
        <v>100</v>
      </c>
      <c r="V9" s="701" t="s">
        <v>14</v>
      </c>
      <c r="W9" s="702">
        <f t="shared" si="2"/>
        <v>100</v>
      </c>
      <c r="X9" s="703"/>
      <c r="Y9" s="3738" t="s">
        <v>1687</v>
      </c>
      <c r="Z9" s="52" t="str">
        <f t="shared" ref="Z9:Z15" si="7">Q9</f>
        <v>用途</v>
      </c>
      <c r="AA9" s="704">
        <f t="shared" si="3"/>
        <v>1</v>
      </c>
      <c r="AB9" s="704">
        <f t="shared" si="4"/>
        <v>1</v>
      </c>
      <c r="AC9" s="1959">
        <f t="shared" si="5"/>
        <v>1</v>
      </c>
    </row>
    <row r="10" spans="1:29" s="378" customFormat="1" ht="27" hidden="1">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30"/>
      <c r="Q10" s="1343" t="str">
        <f t="shared" si="6"/>
        <v>土地使用年限（年）</v>
      </c>
      <c r="R10" s="701" t="s">
        <v>14</v>
      </c>
      <c r="S10" s="702">
        <f t="shared" si="0"/>
        <v>100</v>
      </c>
      <c r="T10" s="701" t="s">
        <v>14</v>
      </c>
      <c r="U10" s="702">
        <f t="shared" si="1"/>
        <v>100</v>
      </c>
      <c r="V10" s="701" t="s">
        <v>14</v>
      </c>
      <c r="W10" s="702">
        <f t="shared" si="2"/>
        <v>100</v>
      </c>
      <c r="X10" s="703"/>
      <c r="Y10" s="3738"/>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30"/>
      <c r="Q11" s="1343" t="str">
        <f t="shared" si="6"/>
        <v>容积率</v>
      </c>
      <c r="R11" s="701" t="s">
        <v>14</v>
      </c>
      <c r="S11" s="702">
        <f t="shared" si="0"/>
        <v>100</v>
      </c>
      <c r="T11" s="701" t="s">
        <v>14</v>
      </c>
      <c r="U11" s="702">
        <f t="shared" si="1"/>
        <v>100</v>
      </c>
      <c r="V11" s="701" t="s">
        <v>14</v>
      </c>
      <c r="W11" s="702">
        <f t="shared" si="2"/>
        <v>100</v>
      </c>
      <c r="X11" s="703"/>
      <c r="Y11" s="373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30"/>
      <c r="Q12" s="1343">
        <f t="shared" si="6"/>
        <v>111</v>
      </c>
      <c r="R12" s="701" t="s">
        <v>14</v>
      </c>
      <c r="S12" s="702">
        <f t="shared" si="0"/>
        <v>100</v>
      </c>
      <c r="T12" s="701" t="s">
        <v>14</v>
      </c>
      <c r="U12" s="702">
        <f t="shared" si="1"/>
        <v>100</v>
      </c>
      <c r="V12" s="701" t="s">
        <v>14</v>
      </c>
      <c r="W12" s="702">
        <f t="shared" si="2"/>
        <v>100</v>
      </c>
      <c r="X12" s="703"/>
      <c r="Y12" s="373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30"/>
      <c r="Q13" s="1343">
        <f t="shared" si="6"/>
        <v>111</v>
      </c>
      <c r="R13" s="701" t="s">
        <v>14</v>
      </c>
      <c r="S13" s="702">
        <f t="shared" si="0"/>
        <v>100</v>
      </c>
      <c r="T13" s="701" t="s">
        <v>14</v>
      </c>
      <c r="U13" s="702">
        <f t="shared" si="1"/>
        <v>100</v>
      </c>
      <c r="V13" s="701" t="s">
        <v>14</v>
      </c>
      <c r="W13" s="702">
        <f t="shared" si="2"/>
        <v>100</v>
      </c>
      <c r="X13" s="703"/>
      <c r="Y13" s="373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30"/>
      <c r="Q14" s="1343">
        <f t="shared" si="6"/>
        <v>111</v>
      </c>
      <c r="R14" s="701" t="s">
        <v>14</v>
      </c>
      <c r="S14" s="702">
        <f t="shared" si="0"/>
        <v>100</v>
      </c>
      <c r="T14" s="701" t="s">
        <v>14</v>
      </c>
      <c r="U14" s="702">
        <f t="shared" si="1"/>
        <v>100</v>
      </c>
      <c r="V14" s="701" t="s">
        <v>14</v>
      </c>
      <c r="W14" s="702">
        <f t="shared" si="2"/>
        <v>100</v>
      </c>
      <c r="X14" s="703"/>
      <c r="Y14" s="373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18" t="s">
        <v>1691</v>
      </c>
      <c r="Q15" s="1352" t="str">
        <f t="shared" si="6"/>
        <v>办公集聚程度</v>
      </c>
      <c r="R15" s="705" t="s">
        <v>14</v>
      </c>
      <c r="S15" s="706">
        <f t="shared" si="0"/>
        <v>100</v>
      </c>
      <c r="T15" s="705" t="s">
        <v>14</v>
      </c>
      <c r="U15" s="706">
        <f t="shared" si="1"/>
        <v>100</v>
      </c>
      <c r="V15" s="705" t="s">
        <v>14</v>
      </c>
      <c r="W15" s="706">
        <f t="shared" si="2"/>
        <v>100</v>
      </c>
      <c r="X15" s="1355"/>
      <c r="Y15" s="3820" t="s">
        <v>1691</v>
      </c>
      <c r="Z15" s="1356" t="str">
        <f t="shared" si="7"/>
        <v>办公集聚程度</v>
      </c>
      <c r="AA15" s="1353">
        <f t="shared" si="3"/>
        <v>1</v>
      </c>
      <c r="AB15" s="1353">
        <f t="shared" si="4"/>
        <v>1</v>
      </c>
      <c r="AC15" s="1962">
        <f t="shared" si="5"/>
        <v>1</v>
      </c>
    </row>
    <row r="16" spans="1:29" ht="15">
      <c r="A16" s="379"/>
      <c r="B16" s="578"/>
      <c r="C16" s="1904" t="s">
        <v>3683</v>
      </c>
      <c r="D16" s="399"/>
      <c r="E16" s="1904" t="s">
        <v>3683</v>
      </c>
      <c r="F16" s="399"/>
      <c r="G16" s="1904" t="s">
        <v>3683</v>
      </c>
      <c r="H16" s="401"/>
      <c r="I16" s="1904" t="s">
        <v>3683</v>
      </c>
      <c r="J16" s="399"/>
      <c r="K16" s="564"/>
      <c r="L16" s="2722"/>
      <c r="M16" s="2716"/>
      <c r="N16" s="2716"/>
      <c r="O16" s="2716"/>
      <c r="P16" s="3819"/>
      <c r="Q16" s="1352"/>
      <c r="R16" s="705"/>
      <c r="S16" s="706"/>
      <c r="T16" s="705"/>
      <c r="U16" s="706"/>
      <c r="V16" s="705"/>
      <c r="W16" s="706"/>
      <c r="X16" s="1355"/>
      <c r="Y16" s="382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19"/>
      <c r="Q17" s="1352" t="str">
        <f>B17</f>
        <v>交通便捷度</v>
      </c>
      <c r="R17" s="705" t="s">
        <v>14</v>
      </c>
      <c r="S17" s="706">
        <f>F17</f>
        <v>100</v>
      </c>
      <c r="T17" s="705" t="s">
        <v>14</v>
      </c>
      <c r="U17" s="706">
        <f>H17</f>
        <v>100</v>
      </c>
      <c r="V17" s="705" t="s">
        <v>14</v>
      </c>
      <c r="W17" s="706">
        <f>J17</f>
        <v>100</v>
      </c>
      <c r="X17" s="1355"/>
      <c r="Y17" s="3821"/>
      <c r="Z17" s="1356" t="str">
        <f>Q17</f>
        <v>交通便捷度</v>
      </c>
      <c r="AA17" s="1353">
        <f t="shared" si="3"/>
        <v>1</v>
      </c>
      <c r="AB17" s="1353">
        <f t="shared" si="4"/>
        <v>1</v>
      </c>
      <c r="AC17" s="1962">
        <f t="shared" si="5"/>
        <v>1</v>
      </c>
    </row>
    <row r="18" spans="1:29" ht="15">
      <c r="A18" s="379"/>
      <c r="B18" s="580"/>
      <c r="C18" s="1904" t="s">
        <v>3683</v>
      </c>
      <c r="D18" s="401"/>
      <c r="E18" s="1904" t="s">
        <v>3683</v>
      </c>
      <c r="F18" s="401"/>
      <c r="G18" s="1904" t="s">
        <v>3683</v>
      </c>
      <c r="H18" s="399"/>
      <c r="I18" s="1904" t="s">
        <v>3683</v>
      </c>
      <c r="J18" s="399"/>
      <c r="K18" s="564"/>
      <c r="L18" s="2722"/>
      <c r="M18" s="2716"/>
      <c r="N18" s="2716"/>
      <c r="O18" s="2716"/>
      <c r="P18" s="3819"/>
      <c r="Q18" s="1352"/>
      <c r="R18" s="705"/>
      <c r="S18" s="706"/>
      <c r="T18" s="705"/>
      <c r="U18" s="706"/>
      <c r="V18" s="705"/>
      <c r="W18" s="706"/>
      <c r="X18" s="1355"/>
      <c r="Y18" s="382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19"/>
      <c r="Q19" s="1352" t="str">
        <f>B19</f>
        <v>公共配套设施</v>
      </c>
      <c r="R19" s="705" t="s">
        <v>14</v>
      </c>
      <c r="S19" s="706">
        <f>F19</f>
        <v>100</v>
      </c>
      <c r="T19" s="705" t="s">
        <v>14</v>
      </c>
      <c r="U19" s="706">
        <f>H19</f>
        <v>100</v>
      </c>
      <c r="V19" s="705" t="s">
        <v>14</v>
      </c>
      <c r="W19" s="706">
        <f>J19</f>
        <v>100</v>
      </c>
      <c r="X19" s="1355"/>
      <c r="Y19" s="3821"/>
      <c r="Z19" s="1356" t="str">
        <f>Q19</f>
        <v>公共配套设施</v>
      </c>
      <c r="AA19" s="1353">
        <f t="shared" si="3"/>
        <v>1</v>
      </c>
      <c r="AB19" s="1353">
        <f t="shared" si="4"/>
        <v>1</v>
      </c>
      <c r="AC19" s="1962">
        <f t="shared" si="5"/>
        <v>1</v>
      </c>
    </row>
    <row r="20" spans="1:29" ht="15">
      <c r="A20" s="379"/>
      <c r="B20" s="580"/>
      <c r="C20" s="1904" t="s">
        <v>3683</v>
      </c>
      <c r="D20" s="399"/>
      <c r="E20" s="1904" t="s">
        <v>3683</v>
      </c>
      <c r="F20" s="399"/>
      <c r="G20" s="1904" t="s">
        <v>3683</v>
      </c>
      <c r="H20" s="399"/>
      <c r="I20" s="1904" t="s">
        <v>3683</v>
      </c>
      <c r="J20" s="399"/>
      <c r="K20" s="564"/>
      <c r="L20" s="2722"/>
      <c r="M20" s="2716"/>
      <c r="N20" s="2716"/>
      <c r="O20" s="2716"/>
      <c r="P20" s="3819"/>
      <c r="Q20" s="1352"/>
      <c r="R20" s="705"/>
      <c r="S20" s="706"/>
      <c r="T20" s="705"/>
      <c r="U20" s="706"/>
      <c r="V20" s="705"/>
      <c r="W20" s="706"/>
      <c r="X20" s="1355"/>
      <c r="Y20" s="382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19"/>
      <c r="Q21" s="1352" t="str">
        <f>B21</f>
        <v>基础设施水平</v>
      </c>
      <c r="R21" s="705" t="s">
        <v>14</v>
      </c>
      <c r="S21" s="706">
        <f>F21</f>
        <v>100</v>
      </c>
      <c r="T21" s="705" t="s">
        <v>14</v>
      </c>
      <c r="U21" s="706">
        <f>H21</f>
        <v>100</v>
      </c>
      <c r="V21" s="705" t="s">
        <v>14</v>
      </c>
      <c r="W21" s="706">
        <f>J21</f>
        <v>100</v>
      </c>
      <c r="X21" s="1355"/>
      <c r="Y21" s="3821"/>
      <c r="Z21" s="1356" t="str">
        <f>Q21</f>
        <v>基础设施水平</v>
      </c>
      <c r="AA21" s="1353">
        <f t="shared" ref="AA21" si="8">D21/F21</f>
        <v>1</v>
      </c>
      <c r="AB21" s="1353">
        <f t="shared" ref="AB21" si="9">D21/H21</f>
        <v>1</v>
      </c>
      <c r="AC21" s="1962">
        <f t="shared" ref="AC21" si="10">D21/J21</f>
        <v>1</v>
      </c>
    </row>
    <row r="22" spans="1:29" ht="15">
      <c r="A22" s="379"/>
      <c r="B22" s="581"/>
      <c r="C22" s="1964" t="s">
        <v>3684</v>
      </c>
      <c r="D22" s="399"/>
      <c r="E22" s="1964" t="s">
        <v>3684</v>
      </c>
      <c r="F22" s="399"/>
      <c r="G22" s="1964" t="s">
        <v>3684</v>
      </c>
      <c r="H22" s="399"/>
      <c r="I22" s="1964" t="s">
        <v>3684</v>
      </c>
      <c r="J22" s="399"/>
      <c r="K22" s="1130"/>
      <c r="L22" s="2722"/>
      <c r="M22" s="2716"/>
      <c r="N22" s="2716"/>
      <c r="O22" s="2716"/>
      <c r="P22" s="3819"/>
      <c r="Q22" s="1352"/>
      <c r="R22" s="705"/>
      <c r="S22" s="706"/>
      <c r="T22" s="705"/>
      <c r="U22" s="706"/>
      <c r="V22" s="705"/>
      <c r="W22" s="706"/>
      <c r="X22" s="1355"/>
      <c r="Y22" s="382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19"/>
      <c r="Q23" s="1352" t="str">
        <f>B23</f>
        <v>环境质量</v>
      </c>
      <c r="R23" s="705" t="s">
        <v>14</v>
      </c>
      <c r="S23" s="706">
        <f>F23</f>
        <v>100</v>
      </c>
      <c r="T23" s="705" t="s">
        <v>14</v>
      </c>
      <c r="U23" s="706">
        <f>H23</f>
        <v>100</v>
      </c>
      <c r="V23" s="705" t="s">
        <v>14</v>
      </c>
      <c r="W23" s="706">
        <f>J23</f>
        <v>100</v>
      </c>
      <c r="X23" s="1355"/>
      <c r="Y23" s="3821"/>
      <c r="Z23" s="1356" t="str">
        <f>Q23</f>
        <v>环境质量</v>
      </c>
      <c r="AA23" s="1353">
        <f t="shared" si="3"/>
        <v>1</v>
      </c>
      <c r="AB23" s="1353">
        <f t="shared" si="4"/>
        <v>1</v>
      </c>
      <c r="AC23" s="1962">
        <f t="shared" si="5"/>
        <v>1</v>
      </c>
    </row>
    <row r="24" spans="1:29" ht="15">
      <c r="A24" s="379"/>
      <c r="B24" s="581"/>
      <c r="C24" s="1904" t="s">
        <v>3683</v>
      </c>
      <c r="D24" s="399"/>
      <c r="E24" s="1904" t="s">
        <v>3683</v>
      </c>
      <c r="F24" s="399"/>
      <c r="G24" s="1904" t="s">
        <v>3683</v>
      </c>
      <c r="H24" s="399"/>
      <c r="I24" s="1904" t="s">
        <v>3683</v>
      </c>
      <c r="J24" s="399"/>
      <c r="K24" s="564"/>
      <c r="L24" s="2722"/>
      <c r="M24" s="2716"/>
      <c r="N24" s="2716"/>
      <c r="O24" s="2716"/>
      <c r="P24" s="3819"/>
      <c r="Q24" s="1352"/>
      <c r="R24" s="705"/>
      <c r="S24" s="706"/>
      <c r="T24" s="705"/>
      <c r="U24" s="706"/>
      <c r="V24" s="705"/>
      <c r="W24" s="706"/>
      <c r="X24" s="1355"/>
      <c r="Y24" s="382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19"/>
      <c r="Q25" s="1352" t="str">
        <f>B25</f>
        <v>毗邻道路的类型与等级</v>
      </c>
      <c r="R25" s="705" t="s">
        <v>14</v>
      </c>
      <c r="S25" s="706">
        <f>F25</f>
        <v>100</v>
      </c>
      <c r="T25" s="705" t="s">
        <v>14</v>
      </c>
      <c r="U25" s="706">
        <f>H25</f>
        <v>100</v>
      </c>
      <c r="V25" s="705" t="s">
        <v>14</v>
      </c>
      <c r="W25" s="706">
        <f>J25</f>
        <v>100</v>
      </c>
      <c r="X25" s="1355"/>
      <c r="Y25" s="3821"/>
      <c r="Z25" s="1356" t="str">
        <f>Q25</f>
        <v>毗邻道路的类型与等级</v>
      </c>
      <c r="AA25" s="1353">
        <f t="shared" si="3"/>
        <v>1</v>
      </c>
      <c r="AB25" s="1353">
        <f t="shared" si="4"/>
        <v>1</v>
      </c>
      <c r="AC25" s="1962">
        <f t="shared" si="5"/>
        <v>1</v>
      </c>
    </row>
    <row r="26" spans="1:29" ht="28.5">
      <c r="A26" s="358"/>
      <c r="B26" s="580"/>
      <c r="C26" s="582" t="s">
        <v>3719</v>
      </c>
      <c r="D26" s="386"/>
      <c r="E26" s="565" t="s">
        <v>3719</v>
      </c>
      <c r="F26" s="386"/>
      <c r="G26" s="582" t="s">
        <v>3720</v>
      </c>
      <c r="H26" s="386"/>
      <c r="I26" s="565" t="s">
        <v>3720</v>
      </c>
      <c r="J26" s="386"/>
      <c r="K26" s="564"/>
      <c r="L26" s="2722"/>
      <c r="M26" s="2716"/>
      <c r="N26" s="2716"/>
      <c r="O26" s="2716"/>
      <c r="P26" s="3819"/>
      <c r="Q26" s="1352"/>
      <c r="R26" s="705"/>
      <c r="S26" s="706"/>
      <c r="T26" s="705"/>
      <c r="U26" s="706"/>
      <c r="V26" s="705"/>
      <c r="W26" s="706"/>
      <c r="X26" s="1355"/>
      <c r="Y26" s="3821"/>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19"/>
      <c r="Q27" s="1352" t="str">
        <f t="shared" ref="Q27:Q47" si="11">B27</f>
        <v>楼层</v>
      </c>
      <c r="R27" s="705" t="s">
        <v>14</v>
      </c>
      <c r="S27" s="706">
        <f>F27</f>
        <v>100</v>
      </c>
      <c r="T27" s="705" t="s">
        <v>14</v>
      </c>
      <c r="U27" s="706">
        <f>H27</f>
        <v>100</v>
      </c>
      <c r="V27" s="705" t="s">
        <v>14</v>
      </c>
      <c r="W27" s="706">
        <f>J27</f>
        <v>100</v>
      </c>
      <c r="X27" s="1355"/>
      <c r="Y27" s="3821"/>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19"/>
      <c r="Q28" s="1343" t="str">
        <f t="shared" si="11"/>
        <v>朝向</v>
      </c>
      <c r="R28" s="701" t="s">
        <v>14</v>
      </c>
      <c r="S28" s="702">
        <f>F28</f>
        <v>100</v>
      </c>
      <c r="T28" s="701" t="s">
        <v>14</v>
      </c>
      <c r="U28" s="702">
        <f>H28</f>
        <v>100</v>
      </c>
      <c r="V28" s="701" t="s">
        <v>14</v>
      </c>
      <c r="W28" s="702">
        <f>J28</f>
        <v>100</v>
      </c>
      <c r="X28" s="703"/>
      <c r="Y28" s="3821"/>
      <c r="Z28" s="52" t="str">
        <f>Q28</f>
        <v>朝向</v>
      </c>
      <c r="AA28" s="1353">
        <f>D28/F28</f>
        <v>1</v>
      </c>
      <c r="AB28" s="1353">
        <f>D28/H28</f>
        <v>1</v>
      </c>
      <c r="AC28" s="1962">
        <f>D28/J28</f>
        <v>1</v>
      </c>
    </row>
    <row r="29" spans="1:29" ht="15.75" thickBot="1">
      <c r="A29" s="379"/>
      <c r="B29" s="3570" t="s">
        <v>3700</v>
      </c>
      <c r="C29" s="1908" t="s">
        <v>3705</v>
      </c>
      <c r="D29" s="386">
        <v>100</v>
      </c>
      <c r="E29" s="383" t="s">
        <v>3704</v>
      </c>
      <c r="F29" s="386">
        <f>SUMIF(93:93,E29,94:94)-SUMIF(93:93,C29,94:94)+100</f>
        <v>102</v>
      </c>
      <c r="G29" s="1960" t="s">
        <v>3701</v>
      </c>
      <c r="H29" s="386">
        <f>SUMIF(93:93,G29,94:94)-SUMIF(93:93,C29,94:94)+100</f>
        <v>100</v>
      </c>
      <c r="I29" s="383" t="s">
        <v>3703</v>
      </c>
      <c r="J29" s="386">
        <f>SUMIF(93:93,I29,94:94)-SUMIF(93:93,C29,94:94)+100</f>
        <v>102</v>
      </c>
      <c r="K29" s="562"/>
      <c r="L29" s="2722"/>
      <c r="M29" s="2716"/>
      <c r="N29" s="2716"/>
      <c r="O29" s="2716"/>
      <c r="P29" s="3819"/>
      <c r="Q29" s="1352" t="str">
        <f t="shared" si="11"/>
        <v>楼层</v>
      </c>
      <c r="R29" s="705" t="s">
        <v>14</v>
      </c>
      <c r="S29" s="706">
        <f t="shared" ref="S29:S47" si="12">F29</f>
        <v>102</v>
      </c>
      <c r="T29" s="705" t="s">
        <v>14</v>
      </c>
      <c r="U29" s="706">
        <f t="shared" ref="U29:U47" si="13">H29</f>
        <v>100</v>
      </c>
      <c r="V29" s="705" t="s">
        <v>14</v>
      </c>
      <c r="W29" s="706">
        <f t="shared" ref="W29:W47" si="14">J29</f>
        <v>102</v>
      </c>
      <c r="X29" s="1355"/>
      <c r="Y29" s="3821"/>
      <c r="Z29" s="1356" t="str">
        <f t="shared" ref="Z29:Z47" si="15">Q29</f>
        <v>楼层</v>
      </c>
      <c r="AA29" s="1353">
        <f t="shared" si="3"/>
        <v>0.98039215686274506</v>
      </c>
      <c r="AB29" s="1353">
        <f t="shared" si="4"/>
        <v>1</v>
      </c>
      <c r="AC29" s="1962">
        <f t="shared" si="5"/>
        <v>0.98039215686274506</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19"/>
      <c r="Q30" s="1352">
        <f t="shared" si="11"/>
        <v>111</v>
      </c>
      <c r="R30" s="705" t="s">
        <v>14</v>
      </c>
      <c r="S30" s="706">
        <f t="shared" si="12"/>
        <v>100</v>
      </c>
      <c r="T30" s="705" t="s">
        <v>14</v>
      </c>
      <c r="U30" s="706">
        <f t="shared" si="13"/>
        <v>100</v>
      </c>
      <c r="V30" s="705" t="s">
        <v>14</v>
      </c>
      <c r="W30" s="706">
        <f t="shared" si="14"/>
        <v>100</v>
      </c>
      <c r="X30" s="1355"/>
      <c r="Y30" s="382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19"/>
      <c r="Q31" s="1352">
        <f t="shared" si="11"/>
        <v>111</v>
      </c>
      <c r="R31" s="705" t="s">
        <v>14</v>
      </c>
      <c r="S31" s="706">
        <f t="shared" si="12"/>
        <v>100</v>
      </c>
      <c r="T31" s="705" t="s">
        <v>14</v>
      </c>
      <c r="U31" s="706">
        <f t="shared" si="13"/>
        <v>100</v>
      </c>
      <c r="V31" s="705" t="s">
        <v>14</v>
      </c>
      <c r="W31" s="706">
        <f t="shared" si="14"/>
        <v>100</v>
      </c>
      <c r="X31" s="1355"/>
      <c r="Y31" s="3821"/>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19"/>
      <c r="Q32" s="1352">
        <f t="shared" si="11"/>
        <v>111</v>
      </c>
      <c r="R32" s="705" t="s">
        <v>14</v>
      </c>
      <c r="S32" s="706">
        <f t="shared" si="12"/>
        <v>100</v>
      </c>
      <c r="T32" s="705" t="s">
        <v>14</v>
      </c>
      <c r="U32" s="706">
        <f t="shared" si="13"/>
        <v>100</v>
      </c>
      <c r="V32" s="705" t="s">
        <v>14</v>
      </c>
      <c r="W32" s="706">
        <f t="shared" si="14"/>
        <v>100</v>
      </c>
      <c r="X32" s="1355"/>
      <c r="Y32" s="382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22" t="s">
        <v>1696</v>
      </c>
      <c r="Q33" s="1352" t="str">
        <f t="shared" si="11"/>
        <v>建筑类型</v>
      </c>
      <c r="R33" s="705" t="s">
        <v>14</v>
      </c>
      <c r="S33" s="706">
        <f t="shared" si="12"/>
        <v>100</v>
      </c>
      <c r="T33" s="705" t="s">
        <v>14</v>
      </c>
      <c r="U33" s="706">
        <f t="shared" si="13"/>
        <v>100</v>
      </c>
      <c r="V33" s="705" t="s">
        <v>14</v>
      </c>
      <c r="W33" s="706">
        <f t="shared" si="14"/>
        <v>100</v>
      </c>
      <c r="X33" s="1355"/>
      <c r="Y33" s="3825" t="s">
        <v>1696</v>
      </c>
      <c r="Z33" s="1356" t="str">
        <f t="shared" si="15"/>
        <v>建筑类型</v>
      </c>
      <c r="AA33" s="1353">
        <f t="shared" si="3"/>
        <v>1</v>
      </c>
      <c r="AB33" s="1353">
        <f t="shared" si="4"/>
        <v>1</v>
      </c>
      <c r="AC33" s="1962">
        <f t="shared" si="5"/>
        <v>1</v>
      </c>
    </row>
    <row r="34" spans="1:29" s="422" customFormat="1" ht="15">
      <c r="A34" s="419"/>
      <c r="B34" s="375" t="s">
        <v>1697</v>
      </c>
      <c r="C34" s="420">
        <f>'数据-汇总表'!E20</f>
        <v>1336.34</v>
      </c>
      <c r="D34" s="127">
        <v>100</v>
      </c>
      <c r="E34" s="381">
        <v>300</v>
      </c>
      <c r="F34" s="376">
        <f>LOOKUP(E34,104:104,105:105)-LOOKUP(C34,104:104,105:105)+100</f>
        <v>104</v>
      </c>
      <c r="G34" s="380">
        <v>1000</v>
      </c>
      <c r="H34" s="127">
        <f>LOOKUP(G34,104:104,105:105)-LOOKUP(C34,104:104,105:105)+100</f>
        <v>100</v>
      </c>
      <c r="I34" s="380">
        <v>1200</v>
      </c>
      <c r="J34" s="127">
        <f>LOOKUP(I34,104:104,105:105)-LOOKUP(C34,104:104,105:105)+100</f>
        <v>100</v>
      </c>
      <c r="K34" s="562"/>
      <c r="L34" s="2721"/>
      <c r="M34" s="2723"/>
      <c r="N34" s="2723"/>
      <c r="O34" s="2723"/>
      <c r="P34" s="3823"/>
      <c r="Q34" s="707" t="str">
        <f t="shared" si="11"/>
        <v>项目建筑规模</v>
      </c>
      <c r="R34" s="708" t="s">
        <v>14</v>
      </c>
      <c r="S34" s="709">
        <f t="shared" si="12"/>
        <v>104</v>
      </c>
      <c r="T34" s="708" t="s">
        <v>14</v>
      </c>
      <c r="U34" s="709">
        <f t="shared" si="13"/>
        <v>100</v>
      </c>
      <c r="V34" s="708" t="s">
        <v>14</v>
      </c>
      <c r="W34" s="709">
        <f t="shared" si="14"/>
        <v>100</v>
      </c>
      <c r="X34" s="710"/>
      <c r="Y34" s="3825"/>
      <c r="Z34" s="711" t="str">
        <f t="shared" si="15"/>
        <v>项目建筑规模</v>
      </c>
      <c r="AA34" s="1353">
        <f t="shared" si="3"/>
        <v>0.96153846153846156</v>
      </c>
      <c r="AB34" s="1353">
        <f t="shared" si="4"/>
        <v>1</v>
      </c>
      <c r="AC34" s="1962">
        <f t="shared" si="5"/>
        <v>1</v>
      </c>
    </row>
    <row r="35" spans="1:29" ht="15">
      <c r="A35" s="423"/>
      <c r="B35" s="375" t="s">
        <v>1698</v>
      </c>
      <c r="C35" s="411" t="s">
        <v>3706</v>
      </c>
      <c r="D35" s="386">
        <v>100</v>
      </c>
      <c r="E35" s="411" t="s">
        <v>3706</v>
      </c>
      <c r="F35" s="412">
        <f>SUMIF(106:106,E35,107:107)-SUMIF(106:106,C35,107:107)+100</f>
        <v>100</v>
      </c>
      <c r="G35" s="411" t="s">
        <v>3706</v>
      </c>
      <c r="H35" s="386">
        <f>SUMIF(106:106,G35,107:107)-SUMIF(106:106,C35,107:107)+100</f>
        <v>100</v>
      </c>
      <c r="I35" s="411" t="s">
        <v>3706</v>
      </c>
      <c r="J35" s="386">
        <f>SUMIF(106:106,I35,107:107)-SUMIF(106:106,C35,107:107)+100</f>
        <v>100</v>
      </c>
      <c r="K35" s="561"/>
      <c r="L35" s="2722"/>
      <c r="M35" s="2716"/>
      <c r="N35" s="2716"/>
      <c r="O35" s="2716"/>
      <c r="P35" s="3823"/>
      <c r="Q35" s="1352" t="str">
        <f t="shared" si="11"/>
        <v>建筑结构</v>
      </c>
      <c r="R35" s="705" t="s">
        <v>14</v>
      </c>
      <c r="S35" s="706">
        <f t="shared" si="12"/>
        <v>100</v>
      </c>
      <c r="T35" s="705" t="s">
        <v>14</v>
      </c>
      <c r="U35" s="706">
        <f t="shared" si="13"/>
        <v>100</v>
      </c>
      <c r="V35" s="705" t="s">
        <v>14</v>
      </c>
      <c r="W35" s="706">
        <f t="shared" si="14"/>
        <v>100</v>
      </c>
      <c r="X35" s="1355"/>
      <c r="Y35" s="3825"/>
      <c r="Z35" s="1356" t="str">
        <f t="shared" si="15"/>
        <v>建筑结构</v>
      </c>
      <c r="AA35" s="1353">
        <f t="shared" si="3"/>
        <v>1</v>
      </c>
      <c r="AB35" s="1353">
        <f t="shared" si="4"/>
        <v>1</v>
      </c>
      <c r="AC35" s="1962">
        <f t="shared" si="5"/>
        <v>1</v>
      </c>
    </row>
    <row r="36" spans="1:29" ht="15">
      <c r="A36" s="423"/>
      <c r="B36" s="375" t="s">
        <v>1785</v>
      </c>
      <c r="C36" s="411" t="s">
        <v>3708</v>
      </c>
      <c r="D36" s="386">
        <v>100</v>
      </c>
      <c r="E36" s="411" t="s">
        <v>3708</v>
      </c>
      <c r="F36" s="412">
        <f>SUMIF(108:108,E36,109:109)-SUMIF(108:108,C36,109:109)+100</f>
        <v>100</v>
      </c>
      <c r="G36" s="411" t="s">
        <v>3708</v>
      </c>
      <c r="H36" s="386">
        <f>SUMIF(108:108,G36,109:109)-SUMIF(108:108,C36,109:109)+100</f>
        <v>100</v>
      </c>
      <c r="I36" s="411" t="s">
        <v>3708</v>
      </c>
      <c r="J36" s="386">
        <f>SUMIF(108:108,I36,109:109)-SUMIF(108:108,C36,109:109)+100</f>
        <v>100</v>
      </c>
      <c r="K36" s="561"/>
      <c r="L36" s="2722"/>
      <c r="M36" s="2716"/>
      <c r="N36" s="2716"/>
      <c r="O36" s="2716"/>
      <c r="P36" s="3823"/>
      <c r="Q36" s="1352" t="str">
        <f t="shared" si="11"/>
        <v>公共部分装修</v>
      </c>
      <c r="R36" s="705" t="s">
        <v>14</v>
      </c>
      <c r="S36" s="706">
        <f t="shared" si="12"/>
        <v>100</v>
      </c>
      <c r="T36" s="705" t="s">
        <v>14</v>
      </c>
      <c r="U36" s="706">
        <f t="shared" si="13"/>
        <v>100</v>
      </c>
      <c r="V36" s="705" t="s">
        <v>14</v>
      </c>
      <c r="W36" s="706">
        <f t="shared" si="14"/>
        <v>100</v>
      </c>
      <c r="X36" s="1355"/>
      <c r="Y36" s="3825"/>
      <c r="Z36" s="1356" t="str">
        <f t="shared" si="15"/>
        <v>公共部分装修</v>
      </c>
      <c r="AA36" s="1353">
        <f t="shared" si="3"/>
        <v>1</v>
      </c>
      <c r="AB36" s="1353">
        <f t="shared" si="4"/>
        <v>1</v>
      </c>
      <c r="AC36" s="1962">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22"/>
      <c r="M37" s="2716"/>
      <c r="N37" s="2716"/>
      <c r="O37" s="2716"/>
      <c r="P37" s="3823"/>
      <c r="Q37" s="1352" t="str">
        <f t="shared" si="11"/>
        <v>成新度</v>
      </c>
      <c r="R37" s="705" t="s">
        <v>14</v>
      </c>
      <c r="S37" s="706">
        <f t="shared" si="12"/>
        <v>100</v>
      </c>
      <c r="T37" s="705" t="s">
        <v>14</v>
      </c>
      <c r="U37" s="706">
        <f t="shared" si="13"/>
        <v>100</v>
      </c>
      <c r="V37" s="705" t="s">
        <v>14</v>
      </c>
      <c r="W37" s="706">
        <f t="shared" si="14"/>
        <v>100</v>
      </c>
      <c r="X37" s="1355"/>
      <c r="Y37" s="3825"/>
      <c r="Z37" s="1356" t="str">
        <f t="shared" si="15"/>
        <v>成新度</v>
      </c>
      <c r="AA37" s="1353">
        <f t="shared" si="3"/>
        <v>1</v>
      </c>
      <c r="AB37" s="1353">
        <f t="shared" si="4"/>
        <v>1</v>
      </c>
      <c r="AC37" s="1962">
        <f t="shared" si="5"/>
        <v>1</v>
      </c>
    </row>
    <row r="38" spans="1:29" s="108" customFormat="1" ht="15">
      <c r="A38" s="424"/>
      <c r="B38" s="375" t="s">
        <v>1818</v>
      </c>
      <c r="C38" s="411" t="s">
        <v>3710</v>
      </c>
      <c r="D38" s="127">
        <v>100</v>
      </c>
      <c r="E38" s="411" t="s">
        <v>3710</v>
      </c>
      <c r="F38" s="412">
        <f>SUMIF(113:113,E38,114:114)-SUMIF(113:113,C38,114:114)+100</f>
        <v>100</v>
      </c>
      <c r="G38" s="411" t="s">
        <v>3710</v>
      </c>
      <c r="H38" s="386">
        <f>SUMIF(113:113,G38,114:114)-SUMIF(113:113,C38,114:114)+100</f>
        <v>100</v>
      </c>
      <c r="I38" s="411" t="s">
        <v>3710</v>
      </c>
      <c r="J38" s="386">
        <f>SUMIF(113:113,I38,114:114)-SUMIF(113:113,C38,114:114)+100</f>
        <v>100</v>
      </c>
      <c r="K38" s="561"/>
      <c r="L38" s="2717"/>
      <c r="M38" s="2718"/>
      <c r="N38" s="2718"/>
      <c r="O38" s="2718"/>
      <c r="P38" s="3823"/>
      <c r="Q38" s="1343" t="str">
        <f t="shared" si="11"/>
        <v>写字楼等级</v>
      </c>
      <c r="R38" s="701" t="s">
        <v>14</v>
      </c>
      <c r="S38" s="702">
        <f t="shared" si="12"/>
        <v>100</v>
      </c>
      <c r="T38" s="701" t="s">
        <v>14</v>
      </c>
      <c r="U38" s="702">
        <f t="shared" si="13"/>
        <v>100</v>
      </c>
      <c r="V38" s="701" t="s">
        <v>14</v>
      </c>
      <c r="W38" s="702">
        <f t="shared" si="14"/>
        <v>100</v>
      </c>
      <c r="X38" s="703"/>
      <c r="Y38" s="3825"/>
      <c r="Z38" s="52" t="str">
        <f t="shared" si="15"/>
        <v>写字楼等级</v>
      </c>
      <c r="AA38" s="704">
        <f t="shared" si="3"/>
        <v>1</v>
      </c>
      <c r="AB38" s="704">
        <f t="shared" si="4"/>
        <v>1</v>
      </c>
      <c r="AC38" s="1959">
        <f t="shared" si="5"/>
        <v>1</v>
      </c>
    </row>
    <row r="39" spans="1:29" ht="15">
      <c r="A39" s="423"/>
      <c r="B39" s="375" t="s">
        <v>1819</v>
      </c>
      <c r="C39" s="411" t="s">
        <v>3712</v>
      </c>
      <c r="D39" s="386">
        <v>100</v>
      </c>
      <c r="E39" s="411" t="s">
        <v>3712</v>
      </c>
      <c r="F39" s="412">
        <f>SUMIF(115:115,E39,116:116)-SUMIF(115:115,C39,116:116)+100</f>
        <v>100</v>
      </c>
      <c r="G39" s="411" t="s">
        <v>3712</v>
      </c>
      <c r="H39" s="386">
        <f>SUMIF(115:115,G39,116:116)-SUMIF(115:115,C39,116:116)+100</f>
        <v>100</v>
      </c>
      <c r="I39" s="411" t="s">
        <v>3712</v>
      </c>
      <c r="J39" s="386">
        <f>SUMIF(115:115,I39,116:116)-SUMIF(115:115,C39,116:116)+100</f>
        <v>100</v>
      </c>
      <c r="K39" s="561"/>
      <c r="L39" s="2722"/>
      <c r="M39" s="2716"/>
      <c r="N39" s="2716"/>
      <c r="O39" s="2716"/>
      <c r="P39" s="3823" t="s">
        <v>1696</v>
      </c>
      <c r="Q39" s="1352" t="str">
        <f t="shared" si="11"/>
        <v>物业管理</v>
      </c>
      <c r="R39" s="705" t="s">
        <v>14</v>
      </c>
      <c r="S39" s="706">
        <f t="shared" si="12"/>
        <v>100</v>
      </c>
      <c r="T39" s="705" t="s">
        <v>14</v>
      </c>
      <c r="U39" s="706">
        <f t="shared" si="13"/>
        <v>100</v>
      </c>
      <c r="V39" s="705" t="s">
        <v>14</v>
      </c>
      <c r="W39" s="706">
        <f t="shared" si="14"/>
        <v>100</v>
      </c>
      <c r="X39" s="1355"/>
      <c r="Y39" s="382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23"/>
      <c r="Q40" s="1352" t="str">
        <f t="shared" si="11"/>
        <v>市政基础设施</v>
      </c>
      <c r="R40" s="705" t="s">
        <v>14</v>
      </c>
      <c r="S40" s="706">
        <f t="shared" si="12"/>
        <v>100</v>
      </c>
      <c r="T40" s="705" t="s">
        <v>14</v>
      </c>
      <c r="U40" s="706">
        <f t="shared" si="13"/>
        <v>100</v>
      </c>
      <c r="V40" s="705" t="s">
        <v>14</v>
      </c>
      <c r="W40" s="706">
        <f t="shared" si="14"/>
        <v>100</v>
      </c>
      <c r="X40" s="1355"/>
      <c r="Y40" s="3825"/>
      <c r="Z40" s="1356" t="str">
        <f t="shared" si="15"/>
        <v>市政基础设施</v>
      </c>
      <c r="AA40" s="1353">
        <f t="shared" si="3"/>
        <v>1</v>
      </c>
      <c r="AB40" s="1353">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23"/>
      <c r="Q41" s="1352" t="str">
        <f t="shared" si="11"/>
        <v>层高</v>
      </c>
      <c r="R41" s="705" t="s">
        <v>14</v>
      </c>
      <c r="S41" s="706">
        <f t="shared" si="12"/>
        <v>100</v>
      </c>
      <c r="T41" s="705" t="s">
        <v>14</v>
      </c>
      <c r="U41" s="706">
        <f t="shared" si="13"/>
        <v>100</v>
      </c>
      <c r="V41" s="705" t="s">
        <v>14</v>
      </c>
      <c r="W41" s="706">
        <f t="shared" si="14"/>
        <v>100</v>
      </c>
      <c r="X41" s="1355"/>
      <c r="Y41" s="3825"/>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23"/>
      <c r="Q42" s="707" t="str">
        <f t="shared" si="11"/>
        <v>单套建筑面积</v>
      </c>
      <c r="R42" s="708" t="s">
        <v>14</v>
      </c>
      <c r="S42" s="709">
        <f t="shared" si="12"/>
        <v>100</v>
      </c>
      <c r="T42" s="708" t="s">
        <v>14</v>
      </c>
      <c r="U42" s="709">
        <f t="shared" si="13"/>
        <v>100</v>
      </c>
      <c r="V42" s="708" t="s">
        <v>14</v>
      </c>
      <c r="W42" s="709">
        <f t="shared" si="14"/>
        <v>100</v>
      </c>
      <c r="X42" s="710"/>
      <c r="Y42" s="3825"/>
      <c r="Z42" s="711" t="str">
        <f t="shared" si="15"/>
        <v>单套建筑面积</v>
      </c>
      <c r="AA42" s="1353">
        <f t="shared" si="3"/>
        <v>1</v>
      </c>
      <c r="AB42" s="1353">
        <f t="shared" si="4"/>
        <v>1</v>
      </c>
      <c r="AC42" s="1962">
        <f t="shared" si="5"/>
        <v>1</v>
      </c>
    </row>
    <row r="43" spans="1:29" ht="15" hidden="1">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23"/>
      <c r="Q43" s="1352" t="str">
        <f t="shared" si="11"/>
        <v>内部装修</v>
      </c>
      <c r="R43" s="705" t="s">
        <v>14</v>
      </c>
      <c r="S43" s="706">
        <f t="shared" si="12"/>
        <v>100</v>
      </c>
      <c r="T43" s="705" t="s">
        <v>14</v>
      </c>
      <c r="U43" s="706">
        <f t="shared" si="13"/>
        <v>100</v>
      </c>
      <c r="V43" s="705" t="s">
        <v>14</v>
      </c>
      <c r="W43" s="706">
        <f t="shared" si="14"/>
        <v>100</v>
      </c>
      <c r="X43" s="1355"/>
      <c r="Y43" s="3825"/>
      <c r="Z43" s="1356" t="str">
        <f t="shared" si="15"/>
        <v>内部装修</v>
      </c>
      <c r="AA43" s="1353">
        <f t="shared" si="3"/>
        <v>1</v>
      </c>
      <c r="AB43" s="1353">
        <f t="shared" si="4"/>
        <v>1</v>
      </c>
      <c r="AC43" s="1962">
        <f t="shared" si="5"/>
        <v>1</v>
      </c>
    </row>
    <row r="44" spans="1:29" ht="15.75" thickBot="1">
      <c r="A44" s="423"/>
      <c r="B44" s="375" t="s">
        <v>1707</v>
      </c>
      <c r="C44" s="411" t="s">
        <v>3683</v>
      </c>
      <c r="D44" s="386">
        <v>100</v>
      </c>
      <c r="E44" s="411" t="s">
        <v>3683</v>
      </c>
      <c r="F44" s="412">
        <f>SUMIF(125:125,E44,126:126)-SUMIF(125:125,C44,126:126)+100</f>
        <v>100</v>
      </c>
      <c r="G44" s="411" t="s">
        <v>3683</v>
      </c>
      <c r="H44" s="386">
        <f>SUMIF(125:125,G44,126:126)-SUMIF(125:125,C44,126:126)+100</f>
        <v>100</v>
      </c>
      <c r="I44" s="411" t="s">
        <v>3683</v>
      </c>
      <c r="J44" s="386">
        <f>SUMIF(125:125,I44,126:126)-SUMIF(125:125,C44,126:126)+100</f>
        <v>100</v>
      </c>
      <c r="K44" s="561"/>
      <c r="L44" s="2722"/>
      <c r="M44" s="2716"/>
      <c r="N44" s="2716"/>
      <c r="O44" s="2716"/>
      <c r="P44" s="3823"/>
      <c r="Q44" s="1352" t="str">
        <f t="shared" si="11"/>
        <v>内部装修维护情况</v>
      </c>
      <c r="R44" s="705" t="s">
        <v>14</v>
      </c>
      <c r="S44" s="706">
        <f t="shared" si="12"/>
        <v>100</v>
      </c>
      <c r="T44" s="705" t="s">
        <v>14</v>
      </c>
      <c r="U44" s="706">
        <f t="shared" si="13"/>
        <v>100</v>
      </c>
      <c r="V44" s="705" t="s">
        <v>14</v>
      </c>
      <c r="W44" s="706">
        <f t="shared" si="14"/>
        <v>100</v>
      </c>
      <c r="X44" s="1355"/>
      <c r="Y44" s="3825"/>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23"/>
      <c r="Q45" s="1343">
        <f t="shared" si="11"/>
        <v>111</v>
      </c>
      <c r="R45" s="701" t="s">
        <v>14</v>
      </c>
      <c r="S45" s="702">
        <f t="shared" si="12"/>
        <v>100</v>
      </c>
      <c r="T45" s="701" t="s">
        <v>14</v>
      </c>
      <c r="U45" s="702">
        <f t="shared" si="13"/>
        <v>100</v>
      </c>
      <c r="V45" s="701" t="s">
        <v>14</v>
      </c>
      <c r="W45" s="702">
        <f t="shared" si="14"/>
        <v>100</v>
      </c>
      <c r="X45" s="703"/>
      <c r="Y45" s="3825"/>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23"/>
      <c r="Q46" s="1352">
        <f t="shared" si="11"/>
        <v>111</v>
      </c>
      <c r="R46" s="705" t="s">
        <v>14</v>
      </c>
      <c r="S46" s="706">
        <f t="shared" si="12"/>
        <v>100</v>
      </c>
      <c r="T46" s="705" t="s">
        <v>14</v>
      </c>
      <c r="U46" s="706">
        <f t="shared" si="13"/>
        <v>100</v>
      </c>
      <c r="V46" s="705" t="s">
        <v>14</v>
      </c>
      <c r="W46" s="706">
        <f t="shared" si="14"/>
        <v>100</v>
      </c>
      <c r="X46" s="1355"/>
      <c r="Y46" s="3825"/>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24"/>
      <c r="Q47" s="1352">
        <f t="shared" si="11"/>
        <v>111</v>
      </c>
      <c r="R47" s="705" t="s">
        <v>14</v>
      </c>
      <c r="S47" s="706">
        <f t="shared" si="12"/>
        <v>100</v>
      </c>
      <c r="T47" s="705" t="s">
        <v>14</v>
      </c>
      <c r="U47" s="706">
        <f t="shared" si="13"/>
        <v>100</v>
      </c>
      <c r="V47" s="705" t="s">
        <v>14</v>
      </c>
      <c r="W47" s="706">
        <f t="shared" si="14"/>
        <v>100</v>
      </c>
      <c r="X47" s="1355"/>
      <c r="Y47" s="3826"/>
      <c r="Z47" s="1356">
        <f t="shared" si="15"/>
        <v>111</v>
      </c>
      <c r="AA47" s="1353">
        <f t="shared" si="3"/>
        <v>1</v>
      </c>
      <c r="AB47" s="1353">
        <f t="shared" si="4"/>
        <v>1</v>
      </c>
      <c r="AC47" s="1962">
        <f t="shared" si="5"/>
        <v>1</v>
      </c>
    </row>
    <row r="48" spans="1:29" ht="15">
      <c r="A48" s="430" t="s">
        <v>1708</v>
      </c>
      <c r="B48" s="431"/>
      <c r="C48" s="1154" t="s">
        <v>0</v>
      </c>
      <c r="D48" s="1155"/>
      <c r="E48" s="1156">
        <v>7</v>
      </c>
      <c r="F48" s="1157"/>
      <c r="G48" s="1158">
        <v>7</v>
      </c>
      <c r="H48" s="1159"/>
      <c r="I48" s="1156">
        <v>7</v>
      </c>
      <c r="J48" s="436"/>
      <c r="K48" s="714"/>
      <c r="L48" s="2724"/>
      <c r="M48" s="2716"/>
      <c r="N48" s="2716"/>
      <c r="O48" s="2716"/>
      <c r="P48" s="3830" t="str">
        <f>A48</f>
        <v>成交单价（元/平方米）</v>
      </c>
      <c r="Q48" s="3813"/>
      <c r="R48" s="3814">
        <f>E48</f>
        <v>7</v>
      </c>
      <c r="S48" s="3814"/>
      <c r="T48" s="3814">
        <f>G48</f>
        <v>7</v>
      </c>
      <c r="U48" s="3814"/>
      <c r="V48" s="3814">
        <f>I48</f>
        <v>7</v>
      </c>
      <c r="W48" s="3814"/>
      <c r="X48" s="397"/>
      <c r="Y48" s="712"/>
      <c r="Z48" s="397"/>
      <c r="AA48" s="397"/>
      <c r="AB48" s="397"/>
      <c r="AC48" s="578"/>
    </row>
    <row r="49" spans="1:29" ht="15.75" thickBot="1">
      <c r="A49" s="437" t="s">
        <v>1793</v>
      </c>
      <c r="B49" s="438"/>
      <c r="C49" s="1160">
        <f>R50</f>
        <v>6.8</v>
      </c>
      <c r="D49" s="2317" t="s">
        <v>2138</v>
      </c>
      <c r="E49" s="1161">
        <f>R49</f>
        <v>6.6</v>
      </c>
      <c r="F49" s="2318"/>
      <c r="G49" s="1160">
        <f>T49</f>
        <v>7</v>
      </c>
      <c r="H49" s="2318"/>
      <c r="I49" s="1161">
        <f>V49</f>
        <v>6.9</v>
      </c>
      <c r="J49" s="2318"/>
      <c r="K49" s="2320">
        <f>F49+H49+J49</f>
        <v>0</v>
      </c>
      <c r="L49" s="2724"/>
      <c r="M49" s="2716"/>
      <c r="N49" s="2716"/>
      <c r="O49" s="2716"/>
      <c r="P49" s="3830" t="str">
        <f>A49</f>
        <v>比较价值（元/平方米）</v>
      </c>
      <c r="Q49" s="3813"/>
      <c r="R49" s="3814">
        <f>IF(F1="售价",ROUND(PRODUCT(R48,AA7:AA47),0),ROUND(PRODUCT(R48,AA7:AA47),1))</f>
        <v>6.6</v>
      </c>
      <c r="S49" s="3814"/>
      <c r="T49" s="3814">
        <f>IF(F1="售价",ROUND(PRODUCT(T48,AB7:AB47),0),ROUND(PRODUCT(T48,AB7:AB47),1))</f>
        <v>7</v>
      </c>
      <c r="U49" s="3814"/>
      <c r="V49" s="3814">
        <f>IF(F1="售价",ROUND(PRODUCT(V48,AC7:AC47),0),ROUND(PRODUCT(V48,AC7:AC47),1))</f>
        <v>6.9</v>
      </c>
      <c r="W49" s="3814"/>
      <c r="X49" s="397"/>
      <c r="Y49" s="397"/>
      <c r="Z49" s="397"/>
      <c r="AA49" s="397"/>
      <c r="AB49" s="397"/>
      <c r="AC49" s="578"/>
    </row>
    <row r="50" spans="1:29" ht="15.75" thickBot="1">
      <c r="A50" s="441" t="s">
        <v>1794</v>
      </c>
      <c r="B50" s="442"/>
      <c r="C50" s="1163">
        <f>R50</f>
        <v>6.8</v>
      </c>
      <c r="D50" s="1163"/>
      <c r="E50" s="1163"/>
      <c r="F50" s="1163"/>
      <c r="G50" s="1163"/>
      <c r="H50" s="1163"/>
      <c r="I50" s="1163"/>
      <c r="J50" s="443"/>
      <c r="K50" s="715"/>
      <c r="L50" s="2724"/>
      <c r="M50" s="2716"/>
      <c r="N50" s="2716"/>
      <c r="O50" s="2716"/>
      <c r="P50" s="3891" t="str">
        <f>A50</f>
        <v>估价对象XX用房的比较价值（楼面单价，元/平方米）</v>
      </c>
      <c r="Q50" s="3892"/>
      <c r="R50" s="3893">
        <f>IF(F1="售价",ROUND(IF(D49="简单平均",AVERAGE(R49:V49),R49*F49+T49*H49+V49*J49),0),ROUND(IF(D49="简单平均",AVERAGE(R49:V49),R49*F49+T49*H49+V49*J49),1))</f>
        <v>6.8</v>
      </c>
      <c r="S50" s="3893"/>
      <c r="T50" s="3893"/>
      <c r="U50" s="3893"/>
      <c r="V50" s="3893"/>
      <c r="W50" s="389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6.0606060606060552E-2</v>
      </c>
      <c r="F53" s="449" t="str">
        <f>IF(OR(E53&gt;=0.3,E53&lt;=-0.3),"超过30%","")</f>
        <v/>
      </c>
      <c r="G53" s="448">
        <f>IF(G48&lt;G49,G49/G48-1,G48/G49-1)</f>
        <v>0</v>
      </c>
      <c r="H53" s="449" t="str">
        <f>IF(OR(G53&gt;=0.3,G53&lt;=-0.3),"超过30%","")</f>
        <v/>
      </c>
      <c r="I53" s="448">
        <f>IF(I48&lt;I49,I49/I48-1,I48/I49-1)</f>
        <v>1.4492753623188248E-2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6.0606060606060552E-2</v>
      </c>
      <c r="F54" s="449" t="str">
        <f>IF(OR(E54&gt;=0.2,E54&lt;=-0.2),"超过20%","")</f>
        <v/>
      </c>
      <c r="G54" s="448">
        <f>IF(G49&lt;I49,I49/G49-1,G49/I49-1)</f>
        <v>1.4492753623188248E-2</v>
      </c>
      <c r="H54" s="449" t="str">
        <f>IF(OR(G54&gt;=0.2,G54&lt;=-0.2),"超过20%","")</f>
        <v/>
      </c>
      <c r="I54" s="448">
        <f>IF(I49&lt;E49,E49/I49-1,I49/E49-1)</f>
        <v>4.5454545454545636E-2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8.5" thickTop="1">
      <c r="A87" s="528"/>
      <c r="B87" s="487" t="s">
        <v>1823</v>
      </c>
      <c r="C87" s="503" t="s">
        <v>3717</v>
      </c>
      <c r="D87" s="503" t="s">
        <v>3718</v>
      </c>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t="str">
        <f>B29</f>
        <v>楼层</v>
      </c>
      <c r="C93" s="503" t="str">
        <f>C29</f>
        <v>中楼层/28</v>
      </c>
      <c r="D93" s="503" t="str">
        <f>E29</f>
        <v>高楼层/28</v>
      </c>
      <c r="E93" s="503" t="str">
        <f>G29</f>
        <v>中楼层/20</v>
      </c>
      <c r="F93" s="503" t="str">
        <f>I29</f>
        <v>高楼层/17</v>
      </c>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v>100</v>
      </c>
      <c r="D94" s="485">
        <v>102</v>
      </c>
      <c r="E94" s="485">
        <v>100</v>
      </c>
      <c r="F94" s="485">
        <v>102</v>
      </c>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0(含)-500</v>
      </c>
      <c r="D103" s="527" t="str">
        <f t="shared" ref="D103:L103" si="23">D104&amp;"(含)"&amp;"-"&amp;E104</f>
        <v>500(含)-1000</v>
      </c>
      <c r="E103" s="527" t="str">
        <f t="shared" si="23"/>
        <v>1000(含)-1500</v>
      </c>
      <c r="F103" s="527" t="str">
        <f t="shared" si="23"/>
        <v>1500(含)-2000</v>
      </c>
      <c r="G103" s="527" t="str">
        <f t="shared" si="23"/>
        <v>2000(含)-2500</v>
      </c>
      <c r="H103" s="527" t="str">
        <f t="shared" si="23"/>
        <v>2500(含)-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500</v>
      </c>
      <c r="E104" s="544">
        <v>1000</v>
      </c>
      <c r="F104" s="544">
        <v>1500</v>
      </c>
      <c r="G104" s="544">
        <v>2000</v>
      </c>
      <c r="H104" s="544">
        <v>2500</v>
      </c>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v>92</v>
      </c>
      <c r="H105" s="485">
        <v>90</v>
      </c>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571" t="s">
        <v>3707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571" t="s">
        <v>3709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571" t="s">
        <v>3711</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571" t="s">
        <v>3713</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571" t="s">
        <v>3714</v>
      </c>
      <c r="D117" s="3571" t="s">
        <v>3715</v>
      </c>
      <c r="E117" s="3571" t="s">
        <v>3716</v>
      </c>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D9"/>
  <sheetViews>
    <sheetView topLeftCell="A223" workbookViewId="0">
      <selection activeCell="J11" sqref="J11"/>
    </sheetView>
  </sheetViews>
  <sheetFormatPr defaultRowHeight="13.5"/>
  <cols>
    <col min="1" max="1" width="17.375" customWidth="1"/>
    <col min="2" max="2" width="14.125" customWidth="1"/>
  </cols>
  <sheetData>
    <row r="1" spans="1:4">
      <c r="A1" s="3456" t="s">
        <v>3687</v>
      </c>
    </row>
    <row r="2" spans="1:4">
      <c r="A2" s="3456" t="s">
        <v>3688</v>
      </c>
    </row>
    <row r="3" spans="1:4">
      <c r="A3" s="3456" t="s">
        <v>3689</v>
      </c>
    </row>
    <row r="4" spans="1:4">
      <c r="A4" s="3456" t="s">
        <v>3690</v>
      </c>
    </row>
    <row r="5" spans="1:4">
      <c r="A5" s="3456" t="s">
        <v>3691</v>
      </c>
      <c r="B5" s="3456" t="s">
        <v>3695</v>
      </c>
      <c r="C5" s="3456" t="s">
        <v>3696</v>
      </c>
    </row>
    <row r="7" spans="1:4">
      <c r="A7" s="3456" t="s">
        <v>3692</v>
      </c>
    </row>
    <row r="8" spans="1:4">
      <c r="A8" s="3456" t="s">
        <v>3693</v>
      </c>
      <c r="B8" s="3456" t="s">
        <v>3697</v>
      </c>
      <c r="C8" s="3456" t="s">
        <v>3698</v>
      </c>
      <c r="D8" s="3456" t="s">
        <v>3699</v>
      </c>
    </row>
    <row r="9" spans="1:4">
      <c r="A9" s="3456" t="s">
        <v>3694</v>
      </c>
      <c r="B9" s="3456" t="s">
        <v>3697</v>
      </c>
      <c r="C9" s="3456" t="s">
        <v>3698</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2414.4300000000003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41" t="s">
        <v>1770</v>
      </c>
      <c r="D4" s="3842"/>
      <c r="E4" s="3843" t="s">
        <v>1771</v>
      </c>
      <c r="F4" s="3844"/>
      <c r="G4" s="3841" t="s">
        <v>1772</v>
      </c>
      <c r="H4" s="3842"/>
      <c r="I4" s="3841" t="s">
        <v>1773</v>
      </c>
      <c r="J4" s="3842"/>
      <c r="K4" s="559" t="s">
        <v>1774</v>
      </c>
      <c r="L4" s="913"/>
      <c r="M4" s="914"/>
      <c r="N4" s="914"/>
      <c r="O4" s="914"/>
      <c r="P4" s="3845" t="s">
        <v>1775</v>
      </c>
      <c r="Q4" s="3846"/>
      <c r="R4" s="3831" t="s">
        <v>1771</v>
      </c>
      <c r="S4" s="3832"/>
      <c r="T4" s="3831" t="s">
        <v>1772</v>
      </c>
      <c r="U4" s="3832"/>
      <c r="V4" s="3827" t="s">
        <v>1773</v>
      </c>
      <c r="W4" s="3827"/>
      <c r="X4" s="1355"/>
      <c r="Y4" s="3831" t="s">
        <v>1775</v>
      </c>
      <c r="Z4" s="3832"/>
      <c r="AA4" s="3837" t="s">
        <v>1771</v>
      </c>
      <c r="AB4" s="3838" t="s">
        <v>1772</v>
      </c>
      <c r="AC4" s="3837" t="s">
        <v>1773</v>
      </c>
    </row>
    <row r="5" spans="1:29" ht="15">
      <c r="A5" s="358"/>
      <c r="B5" s="359"/>
      <c r="C5" s="3859" t="s">
        <v>1673</v>
      </c>
      <c r="D5" s="3852"/>
      <c r="E5" s="3889" t="s">
        <v>1674</v>
      </c>
      <c r="F5" s="3854"/>
      <c r="G5" s="3859" t="s">
        <v>1675</v>
      </c>
      <c r="H5" s="3852"/>
      <c r="I5" s="3859" t="s">
        <v>1676</v>
      </c>
      <c r="J5" s="3852"/>
      <c r="K5" s="559"/>
      <c r="L5" s="913"/>
      <c r="M5" s="914"/>
      <c r="N5" s="914"/>
      <c r="O5" s="914"/>
      <c r="P5" s="3847"/>
      <c r="Q5" s="3848"/>
      <c r="R5" s="3833"/>
      <c r="S5" s="3834"/>
      <c r="T5" s="3833"/>
      <c r="U5" s="3834"/>
      <c r="V5" s="3827"/>
      <c r="W5" s="3827"/>
      <c r="X5" s="1355"/>
      <c r="Y5" s="3833"/>
      <c r="Z5" s="3834"/>
      <c r="AA5" s="3838"/>
      <c r="AB5" s="3838"/>
      <c r="AC5" s="3838"/>
    </row>
    <row r="6" spans="1:29" ht="15.75" thickBot="1">
      <c r="A6" s="360"/>
      <c r="B6" s="361"/>
      <c r="C6" s="3855" t="s">
        <v>1677</v>
      </c>
      <c r="D6" s="3856"/>
      <c r="E6" s="3857" t="s">
        <v>1677</v>
      </c>
      <c r="F6" s="3858"/>
      <c r="G6" s="3855" t="s">
        <v>1677</v>
      </c>
      <c r="H6" s="3856"/>
      <c r="I6" s="3855" t="s">
        <v>1677</v>
      </c>
      <c r="J6" s="3856"/>
      <c r="K6" s="559" t="s">
        <v>1678</v>
      </c>
      <c r="L6" s="913"/>
      <c r="M6" s="914"/>
      <c r="N6" s="914"/>
      <c r="O6" s="914"/>
      <c r="P6" s="3849"/>
      <c r="Q6" s="3850"/>
      <c r="R6" s="3833"/>
      <c r="S6" s="3834"/>
      <c r="T6" s="3835"/>
      <c r="U6" s="3836"/>
      <c r="V6" s="3827"/>
      <c r="W6" s="3827"/>
      <c r="X6" s="1355"/>
      <c r="Y6" s="3835"/>
      <c r="Z6" s="3836"/>
      <c r="AA6" s="3839"/>
      <c r="AB6" s="3839"/>
      <c r="AC6" s="3839"/>
    </row>
    <row r="7" spans="1:29" s="108" customFormat="1" ht="15.75" thickBot="1">
      <c r="A7" s="362" t="s">
        <v>1679</v>
      </c>
      <c r="B7" s="363"/>
      <c r="C7" s="364">
        <f>'数据-取费表'!B2</f>
        <v>45478</v>
      </c>
      <c r="D7" s="365">
        <v>100</v>
      </c>
      <c r="E7" s="366"/>
      <c r="F7" s="367">
        <f>SUMIF(52:52,YEAR(E7)&amp;"-"&amp;MONTH(E7),53:53)</f>
        <v>0</v>
      </c>
      <c r="G7" s="366"/>
      <c r="H7" s="365">
        <f>SUMIF(52:52,YEAR(G7)&amp;"-"&amp;MONTH(G7),53:53)</f>
        <v>0</v>
      </c>
      <c r="I7" s="366"/>
      <c r="J7" s="365">
        <f>SUMIF(52:52,YEAR(I7)&amp;"-"&amp;MONTH(I7),53:53)</f>
        <v>0</v>
      </c>
      <c r="K7" s="560"/>
      <c r="L7" s="915"/>
      <c r="M7" s="916"/>
      <c r="N7" s="916"/>
      <c r="O7" s="916"/>
      <c r="P7" s="3828" t="s">
        <v>1680</v>
      </c>
      <c r="Q7" s="3840"/>
      <c r="R7" s="701" t="s">
        <v>14</v>
      </c>
      <c r="S7" s="702">
        <f t="shared" ref="S7:S15" si="0">F7</f>
        <v>0</v>
      </c>
      <c r="T7" s="701" t="s">
        <v>14</v>
      </c>
      <c r="U7" s="702">
        <f t="shared" ref="U7:U15" si="1">H7</f>
        <v>0</v>
      </c>
      <c r="V7" s="701" t="s">
        <v>14</v>
      </c>
      <c r="W7" s="702">
        <f t="shared" ref="W7:W15" si="2">J7</f>
        <v>0</v>
      </c>
      <c r="X7" s="703"/>
      <c r="Y7" s="3828" t="s">
        <v>1680</v>
      </c>
      <c r="Z7" s="382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8" t="s">
        <v>1683</v>
      </c>
      <c r="Q8" s="3829"/>
      <c r="R8" s="701" t="s">
        <v>14</v>
      </c>
      <c r="S8" s="702">
        <f t="shared" si="0"/>
        <v>100</v>
      </c>
      <c r="T8" s="701" t="s">
        <v>14</v>
      </c>
      <c r="U8" s="702">
        <f t="shared" si="1"/>
        <v>100</v>
      </c>
      <c r="V8" s="701" t="s">
        <v>14</v>
      </c>
      <c r="W8" s="702">
        <f t="shared" si="2"/>
        <v>100</v>
      </c>
      <c r="X8" s="703"/>
      <c r="Y8" s="3828" t="s">
        <v>1683</v>
      </c>
      <c r="Z8" s="382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3" t="s">
        <v>1686</v>
      </c>
      <c r="Q9" s="1343" t="str">
        <f t="shared" ref="Q9:Q15" si="6">B9</f>
        <v>用途</v>
      </c>
      <c r="R9" s="701" t="s">
        <v>14</v>
      </c>
      <c r="S9" s="702">
        <f t="shared" si="0"/>
        <v>100</v>
      </c>
      <c r="T9" s="701" t="s">
        <v>14</v>
      </c>
      <c r="U9" s="702">
        <f t="shared" si="1"/>
        <v>100</v>
      </c>
      <c r="V9" s="701" t="s">
        <v>14</v>
      </c>
      <c r="W9" s="702">
        <f t="shared" si="2"/>
        <v>100</v>
      </c>
      <c r="X9" s="703"/>
      <c r="Y9" s="373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13"/>
      <c r="Q10" s="1343" t="str">
        <f t="shared" si="6"/>
        <v>土地使用年限（年）</v>
      </c>
      <c r="R10" s="701" t="s">
        <v>14</v>
      </c>
      <c r="S10" s="702">
        <f t="shared" si="0"/>
        <v>100</v>
      </c>
      <c r="T10" s="701" t="s">
        <v>14</v>
      </c>
      <c r="U10" s="702">
        <f t="shared" si="1"/>
        <v>100</v>
      </c>
      <c r="V10" s="701" t="s">
        <v>14</v>
      </c>
      <c r="W10" s="702">
        <f t="shared" si="2"/>
        <v>100</v>
      </c>
      <c r="X10" s="703"/>
      <c r="Y10" s="37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3"/>
      <c r="Q11" s="1343" t="str">
        <f t="shared" si="6"/>
        <v>容积率</v>
      </c>
      <c r="R11" s="701" t="s">
        <v>14</v>
      </c>
      <c r="S11" s="702">
        <f t="shared" si="0"/>
        <v>100</v>
      </c>
      <c r="T11" s="701" t="s">
        <v>14</v>
      </c>
      <c r="U11" s="702">
        <f t="shared" si="1"/>
        <v>100</v>
      </c>
      <c r="V11" s="701" t="s">
        <v>14</v>
      </c>
      <c r="W11" s="702">
        <f t="shared" si="2"/>
        <v>100</v>
      </c>
      <c r="X11" s="703"/>
      <c r="Y11" s="37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13"/>
      <c r="Q12" s="1343">
        <f t="shared" si="6"/>
        <v>111</v>
      </c>
      <c r="R12" s="701" t="s">
        <v>14</v>
      </c>
      <c r="S12" s="702">
        <f t="shared" si="0"/>
        <v>100</v>
      </c>
      <c r="T12" s="701" t="s">
        <v>14</v>
      </c>
      <c r="U12" s="702">
        <f t="shared" si="1"/>
        <v>100</v>
      </c>
      <c r="V12" s="701" t="s">
        <v>14</v>
      </c>
      <c r="W12" s="702">
        <f t="shared" si="2"/>
        <v>100</v>
      </c>
      <c r="X12" s="703"/>
      <c r="Y12" s="37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13"/>
      <c r="Q13" s="1343">
        <f t="shared" si="6"/>
        <v>111</v>
      </c>
      <c r="R13" s="701" t="s">
        <v>14</v>
      </c>
      <c r="S13" s="702">
        <f t="shared" si="0"/>
        <v>100</v>
      </c>
      <c r="T13" s="701" t="s">
        <v>14</v>
      </c>
      <c r="U13" s="702">
        <f t="shared" si="1"/>
        <v>100</v>
      </c>
      <c r="V13" s="701" t="s">
        <v>14</v>
      </c>
      <c r="W13" s="702">
        <f t="shared" si="2"/>
        <v>100</v>
      </c>
      <c r="X13" s="703"/>
      <c r="Y13" s="37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13"/>
      <c r="Q14" s="1343">
        <f t="shared" si="6"/>
        <v>111</v>
      </c>
      <c r="R14" s="701" t="s">
        <v>14</v>
      </c>
      <c r="S14" s="702">
        <f t="shared" si="0"/>
        <v>100</v>
      </c>
      <c r="T14" s="701" t="s">
        <v>14</v>
      </c>
      <c r="U14" s="702">
        <f t="shared" si="1"/>
        <v>100</v>
      </c>
      <c r="V14" s="701" t="s">
        <v>14</v>
      </c>
      <c r="W14" s="702">
        <f t="shared" si="2"/>
        <v>100</v>
      </c>
      <c r="X14" s="703"/>
      <c r="Y14" s="373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0" t="s">
        <v>1691</v>
      </c>
      <c r="Q15" s="1352" t="str">
        <f t="shared" si="6"/>
        <v>产业集聚程度</v>
      </c>
      <c r="R15" s="705" t="s">
        <v>14</v>
      </c>
      <c r="S15" s="706">
        <f t="shared" si="0"/>
        <v>100</v>
      </c>
      <c r="T15" s="705" t="s">
        <v>14</v>
      </c>
      <c r="U15" s="706">
        <f t="shared" si="1"/>
        <v>100</v>
      </c>
      <c r="V15" s="705" t="s">
        <v>14</v>
      </c>
      <c r="W15" s="706">
        <f t="shared" si="2"/>
        <v>100</v>
      </c>
      <c r="X15" s="1355"/>
      <c r="Y15" s="382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1"/>
      <c r="Q16" s="1352"/>
      <c r="R16" s="705"/>
      <c r="S16" s="706"/>
      <c r="T16" s="705"/>
      <c r="U16" s="706"/>
      <c r="V16" s="705"/>
      <c r="W16" s="706"/>
      <c r="X16" s="1355"/>
      <c r="Y16" s="382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1"/>
      <c r="Q17" s="1352" t="str">
        <f>B17</f>
        <v>交通便捷度</v>
      </c>
      <c r="R17" s="705" t="s">
        <v>14</v>
      </c>
      <c r="S17" s="706">
        <f>F17</f>
        <v>100</v>
      </c>
      <c r="T17" s="705" t="s">
        <v>14</v>
      </c>
      <c r="U17" s="706">
        <f>H17</f>
        <v>100</v>
      </c>
      <c r="V17" s="705" t="s">
        <v>14</v>
      </c>
      <c r="W17" s="706">
        <f>J17</f>
        <v>100</v>
      </c>
      <c r="X17" s="1355"/>
      <c r="Y17" s="38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1"/>
      <c r="Q18" s="1352"/>
      <c r="R18" s="705"/>
      <c r="S18" s="706"/>
      <c r="T18" s="705"/>
      <c r="U18" s="706"/>
      <c r="V18" s="705"/>
      <c r="W18" s="706"/>
      <c r="X18" s="1355"/>
      <c r="Y18" s="382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1"/>
      <c r="Q19" s="1352" t="str">
        <f>B19</f>
        <v>公共配套设施</v>
      </c>
      <c r="R19" s="705" t="s">
        <v>14</v>
      </c>
      <c r="S19" s="706">
        <f>F19</f>
        <v>100</v>
      </c>
      <c r="T19" s="705" t="s">
        <v>14</v>
      </c>
      <c r="U19" s="706">
        <f>H19</f>
        <v>100</v>
      </c>
      <c r="V19" s="705" t="s">
        <v>14</v>
      </c>
      <c r="W19" s="706">
        <f>J19</f>
        <v>100</v>
      </c>
      <c r="X19" s="1355"/>
      <c r="Y19" s="38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1"/>
      <c r="Q20" s="1352"/>
      <c r="R20" s="705"/>
      <c r="S20" s="706"/>
      <c r="T20" s="705"/>
      <c r="U20" s="706"/>
      <c r="V20" s="705"/>
      <c r="W20" s="706"/>
      <c r="X20" s="1355"/>
      <c r="Y20" s="382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1"/>
      <c r="Q21" s="1352" t="str">
        <f>B21</f>
        <v>基础设施水平</v>
      </c>
      <c r="R21" s="705" t="s">
        <v>14</v>
      </c>
      <c r="S21" s="706">
        <f>F21</f>
        <v>100</v>
      </c>
      <c r="T21" s="705" t="s">
        <v>14</v>
      </c>
      <c r="U21" s="706">
        <f>H21</f>
        <v>100</v>
      </c>
      <c r="V21" s="705" t="s">
        <v>14</v>
      </c>
      <c r="W21" s="706">
        <f>J21</f>
        <v>100</v>
      </c>
      <c r="X21" s="1355"/>
      <c r="Y21" s="38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1"/>
      <c r="Q22" s="1352"/>
      <c r="R22" s="705"/>
      <c r="S22" s="706"/>
      <c r="T22" s="705"/>
      <c r="U22" s="706"/>
      <c r="V22" s="705"/>
      <c r="W22" s="706"/>
      <c r="X22" s="1355"/>
      <c r="Y22" s="382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1"/>
      <c r="Q23" s="1352" t="str">
        <f>B23</f>
        <v>环境质量</v>
      </c>
      <c r="R23" s="705" t="s">
        <v>14</v>
      </c>
      <c r="S23" s="706">
        <f>F23</f>
        <v>100</v>
      </c>
      <c r="T23" s="705" t="s">
        <v>14</v>
      </c>
      <c r="U23" s="706">
        <f>H23</f>
        <v>100</v>
      </c>
      <c r="V23" s="705" t="s">
        <v>14</v>
      </c>
      <c r="W23" s="706">
        <f>J23</f>
        <v>100</v>
      </c>
      <c r="X23" s="1355"/>
      <c r="Y23" s="382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1"/>
      <c r="Q24" s="1352"/>
      <c r="R24" s="705"/>
      <c r="S24" s="706"/>
      <c r="T24" s="705"/>
      <c r="U24" s="706"/>
      <c r="V24" s="705"/>
      <c r="W24" s="706"/>
      <c r="X24" s="1355"/>
      <c r="Y24" s="382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1"/>
      <c r="Q25" s="1352">
        <f>B25</f>
        <v>111</v>
      </c>
      <c r="R25" s="705" t="s">
        <v>14</v>
      </c>
      <c r="S25" s="706">
        <f>F25</f>
        <v>100</v>
      </c>
      <c r="T25" s="705" t="s">
        <v>14</v>
      </c>
      <c r="U25" s="706">
        <f>H25</f>
        <v>100</v>
      </c>
      <c r="V25" s="705" t="s">
        <v>14</v>
      </c>
      <c r="W25" s="706">
        <f>J25</f>
        <v>100</v>
      </c>
      <c r="X25" s="1355"/>
      <c r="Y25" s="382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1"/>
      <c r="Q26" s="1352">
        <f t="shared" ref="Q26:Q40" si="11">B26</f>
        <v>111</v>
      </c>
      <c r="R26" s="705" t="s">
        <v>14</v>
      </c>
      <c r="S26" s="706">
        <f>F26</f>
        <v>100</v>
      </c>
      <c r="T26" s="705" t="s">
        <v>14</v>
      </c>
      <c r="U26" s="706">
        <f>H26</f>
        <v>100</v>
      </c>
      <c r="V26" s="705" t="s">
        <v>14</v>
      </c>
      <c r="W26" s="706">
        <f>J26</f>
        <v>100</v>
      </c>
      <c r="X26" s="1355"/>
      <c r="Y26" s="382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1"/>
      <c r="Q27" s="1343">
        <f t="shared" si="11"/>
        <v>111</v>
      </c>
      <c r="R27" s="701" t="s">
        <v>14</v>
      </c>
      <c r="S27" s="702">
        <f>F27</f>
        <v>100</v>
      </c>
      <c r="T27" s="701" t="s">
        <v>14</v>
      </c>
      <c r="U27" s="702">
        <f>H27</f>
        <v>100</v>
      </c>
      <c r="V27" s="701" t="s">
        <v>14</v>
      </c>
      <c r="W27" s="702">
        <f>J27</f>
        <v>100</v>
      </c>
      <c r="X27" s="703"/>
      <c r="Y27" s="382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1"/>
      <c r="Q28" s="1352">
        <f t="shared" si="11"/>
        <v>111</v>
      </c>
      <c r="R28" s="705" t="s">
        <v>14</v>
      </c>
      <c r="S28" s="706">
        <f t="shared" ref="S28:S40" si="12">F28</f>
        <v>100</v>
      </c>
      <c r="T28" s="705" t="s">
        <v>14</v>
      </c>
      <c r="U28" s="706">
        <f t="shared" ref="U28:U40" si="13">H28</f>
        <v>100</v>
      </c>
      <c r="V28" s="705" t="s">
        <v>14</v>
      </c>
      <c r="W28" s="706">
        <f t="shared" ref="W28:W40" si="14">J28</f>
        <v>100</v>
      </c>
      <c r="X28" s="1355"/>
      <c r="Y28" s="382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06" t="s">
        <v>1696</v>
      </c>
      <c r="Q29" s="1352" t="str">
        <f t="shared" si="11"/>
        <v>建筑类型</v>
      </c>
      <c r="R29" s="705" t="s">
        <v>14</v>
      </c>
      <c r="S29" s="706">
        <f t="shared" si="12"/>
        <v>100</v>
      </c>
      <c r="T29" s="705" t="s">
        <v>14</v>
      </c>
      <c r="U29" s="706">
        <f t="shared" si="13"/>
        <v>100</v>
      </c>
      <c r="V29" s="705" t="s">
        <v>14</v>
      </c>
      <c r="W29" s="706">
        <f t="shared" si="14"/>
        <v>100</v>
      </c>
      <c r="X29" s="1355"/>
      <c r="Y29" s="382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5"/>
      <c r="Q30" s="707" t="str">
        <f t="shared" si="11"/>
        <v>项目建筑规模</v>
      </c>
      <c r="R30" s="708" t="s">
        <v>14</v>
      </c>
      <c r="S30" s="709" t="e">
        <f t="shared" si="12"/>
        <v>#N/A</v>
      </c>
      <c r="T30" s="708" t="s">
        <v>14</v>
      </c>
      <c r="U30" s="709" t="e">
        <f t="shared" si="13"/>
        <v>#N/A</v>
      </c>
      <c r="V30" s="708" t="s">
        <v>14</v>
      </c>
      <c r="W30" s="709" t="e">
        <f t="shared" si="14"/>
        <v>#N/A</v>
      </c>
      <c r="X30" s="710"/>
      <c r="Y30" s="382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5"/>
      <c r="Q31" s="1352" t="str">
        <f t="shared" si="11"/>
        <v>建筑结构</v>
      </c>
      <c r="R31" s="705" t="s">
        <v>14</v>
      </c>
      <c r="S31" s="706">
        <f t="shared" si="12"/>
        <v>100</v>
      </c>
      <c r="T31" s="705" t="s">
        <v>14</v>
      </c>
      <c r="U31" s="706">
        <f t="shared" si="13"/>
        <v>100</v>
      </c>
      <c r="V31" s="705" t="s">
        <v>14</v>
      </c>
      <c r="W31" s="706">
        <f t="shared" si="14"/>
        <v>100</v>
      </c>
      <c r="X31" s="1355"/>
      <c r="Y31" s="382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5"/>
      <c r="Q32" s="1352" t="str">
        <f t="shared" si="11"/>
        <v>公共部分装修</v>
      </c>
      <c r="R32" s="705" t="s">
        <v>14</v>
      </c>
      <c r="S32" s="706">
        <f t="shared" si="12"/>
        <v>100</v>
      </c>
      <c r="T32" s="705" t="s">
        <v>14</v>
      </c>
      <c r="U32" s="706">
        <f t="shared" si="13"/>
        <v>100</v>
      </c>
      <c r="V32" s="705" t="s">
        <v>14</v>
      </c>
      <c r="W32" s="706">
        <f t="shared" si="14"/>
        <v>100</v>
      </c>
      <c r="X32" s="1355"/>
      <c r="Y32" s="382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5"/>
      <c r="Q33" s="1352" t="str">
        <f t="shared" si="11"/>
        <v>成新度</v>
      </c>
      <c r="R33" s="705" t="s">
        <v>14</v>
      </c>
      <c r="S33" s="706" t="e">
        <f t="shared" si="12"/>
        <v>#N/A</v>
      </c>
      <c r="T33" s="705" t="s">
        <v>14</v>
      </c>
      <c r="U33" s="706" t="e">
        <f t="shared" si="13"/>
        <v>#N/A</v>
      </c>
      <c r="V33" s="705" t="s">
        <v>14</v>
      </c>
      <c r="W33" s="706" t="e">
        <f t="shared" si="14"/>
        <v>#N/A</v>
      </c>
      <c r="X33" s="1355"/>
      <c r="Y33" s="382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5"/>
      <c r="Q34" s="1343" t="str">
        <f t="shared" si="11"/>
        <v>物业管理</v>
      </c>
      <c r="R34" s="701" t="s">
        <v>14</v>
      </c>
      <c r="S34" s="702">
        <f t="shared" si="12"/>
        <v>100</v>
      </c>
      <c r="T34" s="701" t="s">
        <v>14</v>
      </c>
      <c r="U34" s="702">
        <f t="shared" si="13"/>
        <v>100</v>
      </c>
      <c r="V34" s="701" t="s">
        <v>14</v>
      </c>
      <c r="W34" s="702">
        <f t="shared" si="14"/>
        <v>100</v>
      </c>
      <c r="X34" s="703"/>
      <c r="Y34" s="382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5" t="s">
        <v>1696</v>
      </c>
      <c r="Q35" s="1352" t="str">
        <f t="shared" si="11"/>
        <v>市政基础设施</v>
      </c>
      <c r="R35" s="705" t="s">
        <v>14</v>
      </c>
      <c r="S35" s="706">
        <f t="shared" si="12"/>
        <v>100</v>
      </c>
      <c r="T35" s="705" t="s">
        <v>14</v>
      </c>
      <c r="U35" s="706">
        <f t="shared" si="13"/>
        <v>100</v>
      </c>
      <c r="V35" s="705" t="s">
        <v>14</v>
      </c>
      <c r="W35" s="706">
        <f t="shared" si="14"/>
        <v>100</v>
      </c>
      <c r="X35" s="1355"/>
      <c r="Y35" s="382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5"/>
      <c r="Q36" s="1352" t="str">
        <f t="shared" si="11"/>
        <v>内部装修</v>
      </c>
      <c r="R36" s="705" t="s">
        <v>14</v>
      </c>
      <c r="S36" s="706">
        <f t="shared" si="12"/>
        <v>100</v>
      </c>
      <c r="T36" s="705" t="s">
        <v>14</v>
      </c>
      <c r="U36" s="706">
        <f t="shared" si="13"/>
        <v>100</v>
      </c>
      <c r="V36" s="705" t="s">
        <v>14</v>
      </c>
      <c r="W36" s="706">
        <f t="shared" si="14"/>
        <v>100</v>
      </c>
      <c r="X36" s="1355"/>
      <c r="Y36" s="382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5"/>
      <c r="Q37" s="1352" t="str">
        <f t="shared" si="11"/>
        <v>内部装修状况</v>
      </c>
      <c r="R37" s="705" t="s">
        <v>14</v>
      </c>
      <c r="S37" s="706">
        <f t="shared" si="12"/>
        <v>100</v>
      </c>
      <c r="T37" s="705" t="s">
        <v>14</v>
      </c>
      <c r="U37" s="706">
        <f t="shared" si="13"/>
        <v>100</v>
      </c>
      <c r="V37" s="705" t="s">
        <v>14</v>
      </c>
      <c r="W37" s="706">
        <f t="shared" si="14"/>
        <v>100</v>
      </c>
      <c r="X37" s="1355"/>
      <c r="Y37" s="382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5"/>
      <c r="Q38" s="707">
        <f t="shared" si="11"/>
        <v>111</v>
      </c>
      <c r="R38" s="708" t="s">
        <v>14</v>
      </c>
      <c r="S38" s="709">
        <f t="shared" si="12"/>
        <v>100</v>
      </c>
      <c r="T38" s="708" t="s">
        <v>14</v>
      </c>
      <c r="U38" s="709">
        <f t="shared" si="13"/>
        <v>100</v>
      </c>
      <c r="V38" s="708" t="s">
        <v>14</v>
      </c>
      <c r="W38" s="709">
        <f t="shared" si="14"/>
        <v>100</v>
      </c>
      <c r="X38" s="710"/>
      <c r="Y38" s="382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5"/>
      <c r="Q39" s="1352">
        <f t="shared" si="11"/>
        <v>111</v>
      </c>
      <c r="R39" s="705" t="s">
        <v>14</v>
      </c>
      <c r="S39" s="706">
        <f t="shared" si="12"/>
        <v>100</v>
      </c>
      <c r="T39" s="705" t="s">
        <v>14</v>
      </c>
      <c r="U39" s="706">
        <f t="shared" si="13"/>
        <v>100</v>
      </c>
      <c r="V39" s="705" t="s">
        <v>14</v>
      </c>
      <c r="W39" s="706">
        <f t="shared" si="14"/>
        <v>100</v>
      </c>
      <c r="X39" s="1355"/>
      <c r="Y39" s="382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26"/>
      <c r="Q40" s="1352">
        <f t="shared" si="11"/>
        <v>111</v>
      </c>
      <c r="R40" s="705" t="s">
        <v>14</v>
      </c>
      <c r="S40" s="706">
        <f t="shared" si="12"/>
        <v>100</v>
      </c>
      <c r="T40" s="705" t="s">
        <v>14</v>
      </c>
      <c r="U40" s="706">
        <f t="shared" si="13"/>
        <v>100</v>
      </c>
      <c r="V40" s="705" t="s">
        <v>14</v>
      </c>
      <c r="W40" s="706">
        <f t="shared" si="14"/>
        <v>100</v>
      </c>
      <c r="X40" s="1355"/>
      <c r="Y40" s="382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13" t="str">
        <f>A41</f>
        <v>成交单价（元/平方米）</v>
      </c>
      <c r="Q41" s="3813"/>
      <c r="R41" s="3814">
        <f>E41</f>
        <v>0</v>
      </c>
      <c r="S41" s="3814"/>
      <c r="T41" s="3814">
        <f>G41</f>
        <v>0</v>
      </c>
      <c r="U41" s="3814"/>
      <c r="V41" s="3814">
        <f>I41</f>
        <v>0</v>
      </c>
      <c r="W41" s="381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13" t="str">
        <f>A42</f>
        <v>比较价值（元/平方米）</v>
      </c>
      <c r="Q42" s="3813"/>
      <c r="R42" s="3814" t="e">
        <f>IF(F1="售价",ROUND(PRODUCT(R41,AA7:AA40),0),ROUND(PRODUCT(R41,AA7:AA40),1))</f>
        <v>#DIV/0!</v>
      </c>
      <c r="S42" s="3814"/>
      <c r="T42" s="3814" t="e">
        <f>IF(F1="售价",ROUND(PRODUCT(T41,AB7:AB40),0),ROUND(PRODUCT(T41,AB7:AB40),1))</f>
        <v>#DIV/0!</v>
      </c>
      <c r="U42" s="3814"/>
      <c r="V42" s="3814" t="e">
        <f>IF(F1="售价",ROUND(PRODUCT(V41,AC7:AC40),0),ROUND(PRODUCT(V41,AC7:AC40),1))</f>
        <v>#DIV/0!</v>
      </c>
      <c r="W42" s="381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15" t="str">
        <f>A43</f>
        <v>估价对象XX用房的比较价值（楼面单价，元/平方米）</v>
      </c>
      <c r="Q43" s="3816"/>
      <c r="R43" s="3817" t="e">
        <f>IF(F1="售价",ROUND(IF(D42="简单平均",AVERAGE(R42:V42),R42*F42+T42*H42+V42*J42),0),ROUND(IF(D42="简单平均",AVERAGE(R42:V42),R42*F42+T42*H42+V42*J42),1))</f>
        <v>#DIV/0!</v>
      </c>
      <c r="S43" s="3817"/>
      <c r="T43" s="3817"/>
      <c r="U43" s="3817"/>
      <c r="V43" s="3817"/>
      <c r="W43" s="381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3"/>
      <c r="C2" s="3583"/>
      <c r="D2" s="3583"/>
      <c r="E2" s="3583"/>
    </row>
    <row r="3" spans="1:5" ht="18">
      <c r="A3" s="3584" t="str">
        <f>IF(项目基本情况!B9="房地产市场价值","估价结果一览表（市场价值不需“结果表-1”）","估价结果一览表")</f>
        <v>估价结果一览表</v>
      </c>
      <c r="B3" s="3584"/>
      <c r="C3" s="3584"/>
      <c r="D3" s="3584"/>
      <c r="E3" s="3584"/>
    </row>
    <row r="4" spans="1:5" ht="19.5" thickBot="1">
      <c r="A4" s="1493"/>
      <c r="B4" s="3582" t="s">
        <v>917</v>
      </c>
      <c r="C4" s="3582"/>
      <c r="D4" s="3582"/>
      <c r="E4" s="1493"/>
    </row>
    <row r="5" spans="1:5" ht="16.5" thickTop="1">
      <c r="A5" s="1491"/>
      <c r="B5" s="3580" t="s">
        <v>909</v>
      </c>
      <c r="C5" s="1494" t="s">
        <v>910</v>
      </c>
      <c r="D5" s="850" t="e">
        <f ca="1">结果表!H101</f>
        <v>#REF!</v>
      </c>
      <c r="E5" s="1491"/>
    </row>
    <row r="6" spans="1:5" ht="15.75">
      <c r="A6" s="1491"/>
      <c r="B6" s="3580"/>
      <c r="C6" s="1494" t="s">
        <v>911</v>
      </c>
      <c r="D6" s="850" t="e">
        <f ca="1">NUMBERSTRING(INT(D5*10000),2)&amp;"元整"</f>
        <v>#REF!</v>
      </c>
      <c r="E6" s="1491"/>
    </row>
    <row r="7" spans="1:5" ht="15.75">
      <c r="A7" s="1491"/>
      <c r="B7" s="3585"/>
      <c r="C7" s="1495" t="s">
        <v>912</v>
      </c>
      <c r="D7" s="851" t="e">
        <f ca="1">结果表!H102</f>
        <v>#REF!</v>
      </c>
      <c r="E7" s="1491"/>
    </row>
    <row r="8" spans="1:5" ht="15.75">
      <c r="A8" s="1491"/>
      <c r="B8" s="3586" t="str">
        <f>结果表!E103</f>
        <v>2.估价师知悉的法定优先受偿款</v>
      </c>
      <c r="C8" s="1496" t="s">
        <v>913</v>
      </c>
      <c r="D8" s="851">
        <f>结果表!H103</f>
        <v>0</v>
      </c>
      <c r="E8" s="1491"/>
    </row>
    <row r="9" spans="1:5" ht="15.75">
      <c r="A9" s="1491"/>
      <c r="B9" s="35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79" t="str">
        <f>结果表!E107</f>
        <v>3.房地产抵押价值</v>
      </c>
      <c r="C13" s="1499" t="s">
        <v>910</v>
      </c>
      <c r="D13" s="853" t="e">
        <f ca="1">结果表!H107</f>
        <v>#REF!</v>
      </c>
      <c r="E13" s="1491"/>
    </row>
    <row r="14" spans="1:5" ht="15.75">
      <c r="A14" s="1491"/>
      <c r="B14" s="3580"/>
      <c r="C14" s="1494" t="s">
        <v>911</v>
      </c>
      <c r="D14" s="850" t="e">
        <f ca="1">NUMBERSTRING(INT(D13*10000),2)&amp;"元整"</f>
        <v>#REF!</v>
      </c>
      <c r="E14" s="1491"/>
    </row>
    <row r="15" spans="1:5" ht="15">
      <c r="A15" s="1491"/>
      <c r="B15" s="3585"/>
      <c r="C15" s="1495" t="s">
        <v>921</v>
      </c>
      <c r="D15" s="859" t="e">
        <f ca="1">结果表!H108</f>
        <v>#REF!</v>
      </c>
      <c r="E15" s="1491"/>
    </row>
    <row r="16" spans="1:5" ht="15">
      <c r="A16" s="1491"/>
      <c r="B16" s="3586" t="str">
        <f>结果表!E109</f>
        <v>——</v>
      </c>
      <c r="C16" s="1499" t="s">
        <v>922</v>
      </c>
      <c r="D16" s="1500" t="str">
        <f>结果表!H109</f>
        <v>——</v>
      </c>
      <c r="E16" s="1491"/>
    </row>
    <row r="17" spans="1:5" ht="15.75">
      <c r="A17" s="1491"/>
      <c r="B17" s="3587"/>
      <c r="C17" s="1494" t="s">
        <v>923</v>
      </c>
      <c r="D17" s="850" t="e">
        <f>NUMBERSTRING(INT(D16*10000),2)&amp;"元整"</f>
        <v>#VALUE!</v>
      </c>
      <c r="E17" s="1491"/>
    </row>
    <row r="18" spans="1:5" ht="15">
      <c r="A18" s="1491"/>
      <c r="B18" s="3588"/>
      <c r="C18" s="1495" t="s">
        <v>912</v>
      </c>
      <c r="D18" s="859" t="str">
        <f>结果表!H110</f>
        <v>——</v>
      </c>
      <c r="E18" s="1491"/>
    </row>
    <row r="19" spans="1:5" ht="15.75">
      <c r="A19" s="1491"/>
      <c r="B19" s="3579" t="str">
        <f>结果表!E111</f>
        <v>——</v>
      </c>
      <c r="C19" s="1499" t="s">
        <v>910</v>
      </c>
      <c r="D19" s="851" t="str">
        <f>结果表!H111</f>
        <v>——</v>
      </c>
      <c r="E19" s="1491"/>
    </row>
    <row r="20" spans="1:5" ht="15.75">
      <c r="A20" s="1491"/>
      <c r="B20" s="3580"/>
      <c r="C20" s="1494" t="s">
        <v>923</v>
      </c>
      <c r="D20" s="850" t="e">
        <f>NUMBERSTRING(INT(D19*10000),2)&amp;"元整"</f>
        <v>#VALUE!</v>
      </c>
      <c r="E20" s="1491"/>
    </row>
    <row r="21" spans="1:5" ht="15.75" thickBot="1">
      <c r="A21" s="1491"/>
      <c r="B21" s="35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841" t="s">
        <v>1770</v>
      </c>
      <c r="D4" s="3842"/>
      <c r="E4" s="3843" t="s">
        <v>1771</v>
      </c>
      <c r="F4" s="3844"/>
      <c r="G4" s="3841" t="s">
        <v>1772</v>
      </c>
      <c r="H4" s="3842"/>
      <c r="I4" s="3841" t="s">
        <v>1773</v>
      </c>
      <c r="J4" s="3842"/>
      <c r="K4" s="559" t="s">
        <v>1774</v>
      </c>
      <c r="L4" s="2715"/>
      <c r="M4" s="2716"/>
      <c r="N4" s="2716"/>
      <c r="O4" s="2716"/>
      <c r="P4" s="3845" t="s">
        <v>1775</v>
      </c>
      <c r="Q4" s="3846"/>
      <c r="R4" s="3831" t="s">
        <v>1771</v>
      </c>
      <c r="S4" s="3832"/>
      <c r="T4" s="3831" t="s">
        <v>1772</v>
      </c>
      <c r="U4" s="3832"/>
      <c r="V4" s="3827" t="s">
        <v>1773</v>
      </c>
      <c r="W4" s="3827"/>
      <c r="X4" s="1355"/>
      <c r="Y4" s="3831" t="s">
        <v>1775</v>
      </c>
      <c r="Z4" s="3832"/>
      <c r="AA4" s="3837" t="s">
        <v>1771</v>
      </c>
      <c r="AB4" s="3838" t="s">
        <v>1772</v>
      </c>
      <c r="AC4" s="3837" t="s">
        <v>1773</v>
      </c>
    </row>
    <row r="5" spans="1:29" ht="15">
      <c r="A5" s="358"/>
      <c r="B5" s="359"/>
      <c r="C5" s="3859" t="s">
        <v>1673</v>
      </c>
      <c r="D5" s="3852"/>
      <c r="E5" s="3889" t="s">
        <v>1674</v>
      </c>
      <c r="F5" s="3854"/>
      <c r="G5" s="3859" t="s">
        <v>1675</v>
      </c>
      <c r="H5" s="3852"/>
      <c r="I5" s="3859" t="s">
        <v>1676</v>
      </c>
      <c r="J5" s="3852"/>
      <c r="K5" s="559"/>
      <c r="L5" s="2715"/>
      <c r="M5" s="2716"/>
      <c r="N5" s="2716"/>
      <c r="O5" s="2716"/>
      <c r="P5" s="3847"/>
      <c r="Q5" s="3848"/>
      <c r="R5" s="3833"/>
      <c r="S5" s="3834"/>
      <c r="T5" s="3833"/>
      <c r="U5" s="3834"/>
      <c r="V5" s="3827"/>
      <c r="W5" s="3827"/>
      <c r="X5" s="1355"/>
      <c r="Y5" s="3833"/>
      <c r="Z5" s="3834"/>
      <c r="AA5" s="3838"/>
      <c r="AB5" s="3838"/>
      <c r="AC5" s="3838"/>
    </row>
    <row r="6" spans="1:29" ht="15.75" thickBot="1">
      <c r="A6" s="360"/>
      <c r="B6" s="361"/>
      <c r="C6" s="3855" t="s">
        <v>1677</v>
      </c>
      <c r="D6" s="3856"/>
      <c r="E6" s="3857" t="s">
        <v>1677</v>
      </c>
      <c r="F6" s="3858"/>
      <c r="G6" s="3855" t="s">
        <v>1677</v>
      </c>
      <c r="H6" s="3856"/>
      <c r="I6" s="3855" t="s">
        <v>1677</v>
      </c>
      <c r="J6" s="3856"/>
      <c r="K6" s="559" t="s">
        <v>1678</v>
      </c>
      <c r="L6" s="2715"/>
      <c r="M6" s="2716"/>
      <c r="N6" s="2716"/>
      <c r="O6" s="2716"/>
      <c r="P6" s="3849"/>
      <c r="Q6" s="3850"/>
      <c r="R6" s="3833"/>
      <c r="S6" s="3834"/>
      <c r="T6" s="3835"/>
      <c r="U6" s="3836"/>
      <c r="V6" s="3827"/>
      <c r="W6" s="3827"/>
      <c r="X6" s="1355"/>
      <c r="Y6" s="3835"/>
      <c r="Z6" s="3836"/>
      <c r="AA6" s="3839"/>
      <c r="AB6" s="3839"/>
      <c r="AC6" s="3839"/>
    </row>
    <row r="7" spans="1:29" s="108" customFormat="1" ht="15.75" thickBot="1">
      <c r="A7" s="362" t="s">
        <v>1679</v>
      </c>
      <c r="B7" s="363"/>
      <c r="C7" s="364">
        <f>'数据-取费表'!B2</f>
        <v>45478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28" t="s">
        <v>1680</v>
      </c>
      <c r="Q7" s="3840"/>
      <c r="R7" s="701" t="s">
        <v>14</v>
      </c>
      <c r="S7" s="702">
        <f t="shared" ref="S7:S14" si="0">F7</f>
        <v>0</v>
      </c>
      <c r="T7" s="701" t="s">
        <v>14</v>
      </c>
      <c r="U7" s="702">
        <f t="shared" ref="U7:U14" si="1">H7</f>
        <v>0</v>
      </c>
      <c r="V7" s="701" t="s">
        <v>14</v>
      </c>
      <c r="W7" s="702">
        <f t="shared" ref="W7:W14" si="2">J7</f>
        <v>0</v>
      </c>
      <c r="X7" s="703"/>
      <c r="Y7" s="3828" t="s">
        <v>1680</v>
      </c>
      <c r="Z7" s="382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28" t="s">
        <v>1683</v>
      </c>
      <c r="Q8" s="3829"/>
      <c r="R8" s="701" t="s">
        <v>14</v>
      </c>
      <c r="S8" s="702">
        <f t="shared" si="0"/>
        <v>100</v>
      </c>
      <c r="T8" s="701" t="s">
        <v>14</v>
      </c>
      <c r="U8" s="702">
        <f t="shared" si="1"/>
        <v>100</v>
      </c>
      <c r="V8" s="701" t="s">
        <v>14</v>
      </c>
      <c r="W8" s="702">
        <f t="shared" si="2"/>
        <v>100</v>
      </c>
      <c r="X8" s="703"/>
      <c r="Y8" s="3828" t="s">
        <v>1683</v>
      </c>
      <c r="Z8" s="382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13" t="s">
        <v>1686</v>
      </c>
      <c r="Q9" s="1343" t="str">
        <f t="shared" ref="Q9:Q14" si="6">B9</f>
        <v>用途</v>
      </c>
      <c r="R9" s="701" t="s">
        <v>14</v>
      </c>
      <c r="S9" s="702">
        <f t="shared" si="0"/>
        <v>100</v>
      </c>
      <c r="T9" s="701" t="s">
        <v>14</v>
      </c>
      <c r="U9" s="702">
        <f t="shared" si="1"/>
        <v>100</v>
      </c>
      <c r="V9" s="701" t="s">
        <v>14</v>
      </c>
      <c r="W9" s="702">
        <f t="shared" si="2"/>
        <v>100</v>
      </c>
      <c r="X9" s="703"/>
      <c r="Y9" s="373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13"/>
      <c r="Q10" s="1343" t="str">
        <f t="shared" si="6"/>
        <v>土地使用年限（年）</v>
      </c>
      <c r="R10" s="701" t="s">
        <v>14</v>
      </c>
      <c r="S10" s="702">
        <f t="shared" si="0"/>
        <v>100</v>
      </c>
      <c r="T10" s="701" t="s">
        <v>14</v>
      </c>
      <c r="U10" s="702">
        <f t="shared" si="1"/>
        <v>100</v>
      </c>
      <c r="V10" s="701" t="s">
        <v>14</v>
      </c>
      <c r="W10" s="702">
        <f t="shared" si="2"/>
        <v>100</v>
      </c>
      <c r="X10" s="703"/>
      <c r="Y10" s="37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13"/>
      <c r="Q11" s="1343">
        <f t="shared" si="6"/>
        <v>111</v>
      </c>
      <c r="R11" s="701" t="s">
        <v>14</v>
      </c>
      <c r="S11" s="702">
        <f t="shared" si="0"/>
        <v>100</v>
      </c>
      <c r="T11" s="701" t="s">
        <v>14</v>
      </c>
      <c r="U11" s="702">
        <f t="shared" si="1"/>
        <v>100</v>
      </c>
      <c r="V11" s="701" t="s">
        <v>14</v>
      </c>
      <c r="W11" s="702">
        <f t="shared" si="2"/>
        <v>100</v>
      </c>
      <c r="X11" s="703"/>
      <c r="Y11" s="37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13"/>
      <c r="Q12" s="1343">
        <f t="shared" si="6"/>
        <v>111</v>
      </c>
      <c r="R12" s="701" t="s">
        <v>14</v>
      </c>
      <c r="S12" s="702">
        <f t="shared" si="0"/>
        <v>100</v>
      </c>
      <c r="T12" s="701" t="s">
        <v>14</v>
      </c>
      <c r="U12" s="702">
        <f t="shared" si="1"/>
        <v>100</v>
      </c>
      <c r="V12" s="701" t="s">
        <v>14</v>
      </c>
      <c r="W12" s="702">
        <f t="shared" si="2"/>
        <v>100</v>
      </c>
      <c r="X12" s="703"/>
      <c r="Y12" s="37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13"/>
      <c r="Q13" s="1343">
        <f t="shared" si="6"/>
        <v>111</v>
      </c>
      <c r="R13" s="701" t="s">
        <v>14</v>
      </c>
      <c r="S13" s="702">
        <f t="shared" si="0"/>
        <v>100</v>
      </c>
      <c r="T13" s="701" t="s">
        <v>14</v>
      </c>
      <c r="U13" s="702">
        <f t="shared" si="1"/>
        <v>100</v>
      </c>
      <c r="V13" s="701" t="s">
        <v>14</v>
      </c>
      <c r="W13" s="702">
        <f t="shared" si="2"/>
        <v>100</v>
      </c>
      <c r="X13" s="703"/>
      <c r="Y13" s="373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20" t="s">
        <v>1691</v>
      </c>
      <c r="Q14" s="1352" t="str">
        <f t="shared" si="6"/>
        <v>交通便捷度</v>
      </c>
      <c r="R14" s="705" t="s">
        <v>14</v>
      </c>
      <c r="S14" s="706">
        <f t="shared" si="0"/>
        <v>100</v>
      </c>
      <c r="T14" s="705" t="s">
        <v>14</v>
      </c>
      <c r="U14" s="706">
        <f t="shared" si="1"/>
        <v>100</v>
      </c>
      <c r="V14" s="705" t="s">
        <v>14</v>
      </c>
      <c r="W14" s="706">
        <f t="shared" si="2"/>
        <v>100</v>
      </c>
      <c r="X14" s="1355"/>
      <c r="Y14" s="382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21"/>
      <c r="Q15" s="1352"/>
      <c r="R15" s="705"/>
      <c r="S15" s="706"/>
      <c r="T15" s="705"/>
      <c r="U15" s="706"/>
      <c r="V15" s="705"/>
      <c r="W15" s="706"/>
      <c r="X15" s="1355"/>
      <c r="Y15" s="382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21"/>
      <c r="Q16" s="1352" t="str">
        <f>B16</f>
        <v>公共配套设施</v>
      </c>
      <c r="R16" s="705" t="s">
        <v>14</v>
      </c>
      <c r="S16" s="706">
        <f>F16</f>
        <v>100</v>
      </c>
      <c r="T16" s="705" t="s">
        <v>14</v>
      </c>
      <c r="U16" s="706">
        <f>H16</f>
        <v>100</v>
      </c>
      <c r="V16" s="705" t="s">
        <v>14</v>
      </c>
      <c r="W16" s="706">
        <f>J16</f>
        <v>100</v>
      </c>
      <c r="X16" s="1355"/>
      <c r="Y16" s="38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21"/>
      <c r="Q17" s="1352"/>
      <c r="R17" s="705"/>
      <c r="S17" s="706"/>
      <c r="T17" s="705"/>
      <c r="U17" s="706"/>
      <c r="V17" s="705"/>
      <c r="W17" s="706"/>
      <c r="X17" s="1355"/>
      <c r="Y17" s="382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21"/>
      <c r="Q18" s="1352" t="str">
        <f>B18</f>
        <v>基础设施水平</v>
      </c>
      <c r="R18" s="705" t="s">
        <v>14</v>
      </c>
      <c r="S18" s="706">
        <f>F18</f>
        <v>100</v>
      </c>
      <c r="T18" s="705" t="s">
        <v>14</v>
      </c>
      <c r="U18" s="706">
        <f>H18</f>
        <v>100</v>
      </c>
      <c r="V18" s="705" t="s">
        <v>14</v>
      </c>
      <c r="W18" s="706">
        <f>J18</f>
        <v>100</v>
      </c>
      <c r="X18" s="1355"/>
      <c r="Y18" s="38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21"/>
      <c r="Q19" s="1352"/>
      <c r="R19" s="705"/>
      <c r="S19" s="706"/>
      <c r="T19" s="705"/>
      <c r="U19" s="706"/>
      <c r="V19" s="705"/>
      <c r="W19" s="706"/>
      <c r="X19" s="1355"/>
      <c r="Y19" s="382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21"/>
      <c r="Q20" s="1352" t="str">
        <f>B20</f>
        <v>自然及人文环境</v>
      </c>
      <c r="R20" s="705" t="s">
        <v>14</v>
      </c>
      <c r="S20" s="706">
        <f>F20</f>
        <v>100</v>
      </c>
      <c r="T20" s="705" t="s">
        <v>14</v>
      </c>
      <c r="U20" s="706">
        <f>H20</f>
        <v>100</v>
      </c>
      <c r="V20" s="705" t="s">
        <v>14</v>
      </c>
      <c r="W20" s="706">
        <f>J20</f>
        <v>100</v>
      </c>
      <c r="X20" s="1355"/>
      <c r="Y20" s="38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21"/>
      <c r="Q21" s="1352"/>
      <c r="R21" s="705"/>
      <c r="S21" s="706"/>
      <c r="T21" s="705"/>
      <c r="U21" s="706"/>
      <c r="V21" s="705"/>
      <c r="W21" s="706"/>
      <c r="X21" s="1355"/>
      <c r="Y21" s="382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21"/>
      <c r="Q22" s="1352" t="str">
        <f>B22</f>
        <v>楼层</v>
      </c>
      <c r="R22" s="705" t="s">
        <v>14</v>
      </c>
      <c r="S22" s="706">
        <f>F22</f>
        <v>100</v>
      </c>
      <c r="T22" s="705" t="s">
        <v>14</v>
      </c>
      <c r="U22" s="706">
        <f>H22</f>
        <v>100</v>
      </c>
      <c r="V22" s="705" t="s">
        <v>14</v>
      </c>
      <c r="W22" s="706">
        <f>J22</f>
        <v>100</v>
      </c>
      <c r="X22" s="1355"/>
      <c r="Y22" s="38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21"/>
      <c r="Q23" s="1352">
        <f>B23</f>
        <v>111</v>
      </c>
      <c r="R23" s="705" t="s">
        <v>14</v>
      </c>
      <c r="S23" s="706">
        <f>F23</f>
        <v>100</v>
      </c>
      <c r="T23" s="705" t="s">
        <v>14</v>
      </c>
      <c r="U23" s="706">
        <f>H23</f>
        <v>100</v>
      </c>
      <c r="V23" s="705" t="s">
        <v>14</v>
      </c>
      <c r="W23" s="706">
        <f>J23</f>
        <v>100</v>
      </c>
      <c r="X23" s="1355"/>
      <c r="Y23" s="38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21"/>
      <c r="Q24" s="1352">
        <f t="shared" ref="Q24:Q36" si="11">B24</f>
        <v>111</v>
      </c>
      <c r="R24" s="705" t="s">
        <v>14</v>
      </c>
      <c r="S24" s="706">
        <f>F24</f>
        <v>100</v>
      </c>
      <c r="T24" s="705" t="s">
        <v>14</v>
      </c>
      <c r="U24" s="706">
        <f>H24</f>
        <v>100</v>
      </c>
      <c r="V24" s="705" t="s">
        <v>14</v>
      </c>
      <c r="W24" s="706">
        <f>J24</f>
        <v>100</v>
      </c>
      <c r="X24" s="1355"/>
      <c r="Y24" s="382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21"/>
      <c r="Q25" s="1343">
        <f t="shared" si="11"/>
        <v>111</v>
      </c>
      <c r="R25" s="701" t="s">
        <v>14</v>
      </c>
      <c r="S25" s="702">
        <f>F25</f>
        <v>100</v>
      </c>
      <c r="T25" s="701" t="s">
        <v>14</v>
      </c>
      <c r="U25" s="702">
        <f>H25</f>
        <v>100</v>
      </c>
      <c r="V25" s="701" t="s">
        <v>14</v>
      </c>
      <c r="W25" s="702">
        <f>J25</f>
        <v>100</v>
      </c>
      <c r="X25" s="703"/>
      <c r="Y25" s="382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0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25"/>
      <c r="Q27" s="707" t="str">
        <f t="shared" si="11"/>
        <v>项目停车位配比</v>
      </c>
      <c r="R27" s="708" t="s">
        <v>14</v>
      </c>
      <c r="S27" s="709">
        <f t="shared" si="12"/>
        <v>100</v>
      </c>
      <c r="T27" s="708" t="s">
        <v>14</v>
      </c>
      <c r="U27" s="709">
        <f t="shared" si="13"/>
        <v>100</v>
      </c>
      <c r="V27" s="708" t="s">
        <v>14</v>
      </c>
      <c r="W27" s="709">
        <f t="shared" si="14"/>
        <v>100</v>
      </c>
      <c r="X27" s="710"/>
      <c r="Y27" s="382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25"/>
      <c r="Q28" s="1352" t="str">
        <f t="shared" si="11"/>
        <v>公共部分装修</v>
      </c>
      <c r="R28" s="705" t="s">
        <v>14</v>
      </c>
      <c r="S28" s="706">
        <f t="shared" si="12"/>
        <v>100</v>
      </c>
      <c r="T28" s="705" t="s">
        <v>14</v>
      </c>
      <c r="U28" s="706">
        <f t="shared" si="13"/>
        <v>100</v>
      </c>
      <c r="V28" s="705" t="s">
        <v>14</v>
      </c>
      <c r="W28" s="706">
        <f t="shared" si="14"/>
        <v>100</v>
      </c>
      <c r="X28" s="1355"/>
      <c r="Y28" s="382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25"/>
      <c r="Q29" s="1352" t="str">
        <f t="shared" si="11"/>
        <v>成新率</v>
      </c>
      <c r="R29" s="705" t="s">
        <v>14</v>
      </c>
      <c r="S29" s="706" t="e">
        <f t="shared" si="12"/>
        <v>#N/A</v>
      </c>
      <c r="T29" s="705" t="s">
        <v>14</v>
      </c>
      <c r="U29" s="706" t="e">
        <f t="shared" si="13"/>
        <v>#N/A</v>
      </c>
      <c r="V29" s="705" t="s">
        <v>14</v>
      </c>
      <c r="W29" s="706" t="e">
        <f t="shared" si="14"/>
        <v>#N/A</v>
      </c>
      <c r="X29" s="1355"/>
      <c r="Y29" s="382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25"/>
      <c r="Q30" s="1352" t="str">
        <f t="shared" si="11"/>
        <v>物业等级</v>
      </c>
      <c r="R30" s="705" t="s">
        <v>14</v>
      </c>
      <c r="S30" s="706">
        <f t="shared" si="12"/>
        <v>100</v>
      </c>
      <c r="T30" s="705" t="s">
        <v>14</v>
      </c>
      <c r="U30" s="706">
        <f t="shared" si="13"/>
        <v>100</v>
      </c>
      <c r="V30" s="705" t="s">
        <v>14</v>
      </c>
      <c r="W30" s="706">
        <f t="shared" si="14"/>
        <v>100</v>
      </c>
      <c r="X30" s="1355"/>
      <c r="Y30" s="382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25"/>
      <c r="Q31" s="1343" t="str">
        <f t="shared" si="11"/>
        <v>停车位面积</v>
      </c>
      <c r="R31" s="701" t="s">
        <v>14</v>
      </c>
      <c r="S31" s="702" t="e">
        <f t="shared" si="12"/>
        <v>#N/A</v>
      </c>
      <c r="T31" s="701" t="s">
        <v>14</v>
      </c>
      <c r="U31" s="702" t="e">
        <f t="shared" si="13"/>
        <v>#N/A</v>
      </c>
      <c r="V31" s="701" t="s">
        <v>14</v>
      </c>
      <c r="W31" s="702" t="e">
        <f t="shared" si="14"/>
        <v>#N/A</v>
      </c>
      <c r="X31" s="703"/>
      <c r="Y31" s="382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25" t="s">
        <v>1696</v>
      </c>
      <c r="Q32" s="1352" t="str">
        <f t="shared" si="11"/>
        <v>车位类型</v>
      </c>
      <c r="R32" s="705" t="s">
        <v>14</v>
      </c>
      <c r="S32" s="706">
        <f t="shared" si="12"/>
        <v>100</v>
      </c>
      <c r="T32" s="705" t="s">
        <v>14</v>
      </c>
      <c r="U32" s="706">
        <f t="shared" si="13"/>
        <v>100</v>
      </c>
      <c r="V32" s="705" t="s">
        <v>14</v>
      </c>
      <c r="W32" s="706">
        <f t="shared" si="14"/>
        <v>100</v>
      </c>
      <c r="X32" s="1355"/>
      <c r="Y32" s="382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25"/>
      <c r="Q33" s="1352" t="str">
        <f t="shared" si="11"/>
        <v>是否直接入户</v>
      </c>
      <c r="R33" s="705" t="s">
        <v>14</v>
      </c>
      <c r="S33" s="706">
        <f t="shared" si="12"/>
        <v>100</v>
      </c>
      <c r="T33" s="705" t="s">
        <v>14</v>
      </c>
      <c r="U33" s="706">
        <f t="shared" si="13"/>
        <v>100</v>
      </c>
      <c r="V33" s="705" t="s">
        <v>14</v>
      </c>
      <c r="W33" s="706">
        <f t="shared" si="14"/>
        <v>100</v>
      </c>
      <c r="X33" s="1355"/>
      <c r="Y33" s="382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25"/>
      <c r="Q34" s="1352">
        <f t="shared" si="11"/>
        <v>111</v>
      </c>
      <c r="R34" s="705" t="s">
        <v>14</v>
      </c>
      <c r="S34" s="706">
        <f t="shared" si="12"/>
        <v>100</v>
      </c>
      <c r="T34" s="705" t="s">
        <v>14</v>
      </c>
      <c r="U34" s="706">
        <f t="shared" si="13"/>
        <v>100</v>
      </c>
      <c r="V34" s="705" t="s">
        <v>14</v>
      </c>
      <c r="W34" s="706">
        <f t="shared" si="14"/>
        <v>100</v>
      </c>
      <c r="X34" s="1355"/>
      <c r="Y34" s="382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25"/>
      <c r="Q35" s="707">
        <f t="shared" si="11"/>
        <v>111</v>
      </c>
      <c r="R35" s="708" t="s">
        <v>14</v>
      </c>
      <c r="S35" s="709">
        <f t="shared" si="12"/>
        <v>100</v>
      </c>
      <c r="T35" s="708" t="s">
        <v>14</v>
      </c>
      <c r="U35" s="709">
        <f t="shared" si="13"/>
        <v>100</v>
      </c>
      <c r="V35" s="708" t="s">
        <v>14</v>
      </c>
      <c r="W35" s="709">
        <f t="shared" si="14"/>
        <v>100</v>
      </c>
      <c r="X35" s="710"/>
      <c r="Y35" s="382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25"/>
      <c r="Q36" s="1352">
        <f t="shared" si="11"/>
        <v>111</v>
      </c>
      <c r="R36" s="705" t="s">
        <v>14</v>
      </c>
      <c r="S36" s="706">
        <f t="shared" si="12"/>
        <v>100</v>
      </c>
      <c r="T36" s="705" t="s">
        <v>14</v>
      </c>
      <c r="U36" s="706">
        <f t="shared" si="13"/>
        <v>100</v>
      </c>
      <c r="V36" s="705" t="s">
        <v>14</v>
      </c>
      <c r="W36" s="706">
        <f t="shared" si="14"/>
        <v>100</v>
      </c>
      <c r="X36" s="1355"/>
      <c r="Y36" s="3825"/>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813" t="str">
        <f>A37</f>
        <v>成交单价</v>
      </c>
      <c r="Q37" s="3813"/>
      <c r="R37" s="3814">
        <f>E37</f>
        <v>0</v>
      </c>
      <c r="S37" s="3814"/>
      <c r="T37" s="3814">
        <f>G37</f>
        <v>0</v>
      </c>
      <c r="U37" s="3814"/>
      <c r="V37" s="3814">
        <f>I37</f>
        <v>0</v>
      </c>
      <c r="W37" s="381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13" t="str">
        <f>A38</f>
        <v>比较价值（元/平方米）</v>
      </c>
      <c r="Q38" s="3813"/>
      <c r="R38" s="3814" t="e">
        <f>IF(F1="售价",ROUND(PRODUCT(R37,AA7:AA36),0),ROUND(PRODUCT(R37,AA7:AA36),1))</f>
        <v>#DIV/0!</v>
      </c>
      <c r="S38" s="3814"/>
      <c r="T38" s="3814" t="e">
        <f>IF(F1="售价",ROUND(PRODUCT(T37,AB7:AB36),0),ROUND(PRODUCT(T37,AB7:AB36),1))</f>
        <v>#DIV/0!</v>
      </c>
      <c r="U38" s="3814"/>
      <c r="V38" s="3814" t="e">
        <f>IF(F1="售价",ROUND(PRODUCT(V37,AC7:AC36),0),ROUND(PRODUCT(V37,AC7:AC36),1))</f>
        <v>#DIV/0!</v>
      </c>
      <c r="W38" s="381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815" t="str">
        <f>A39</f>
        <v>估价对象XX用房的比较价值（楼面单价，元/平方米）</v>
      </c>
      <c r="Q39" s="3816"/>
      <c r="R39" s="3907" t="e">
        <f>IF(F1="售价",ROUND(IF(D38="简单平均",AVERAGE(R38:W38),R38*F38+T38*H38+V38*J38),0),ROUND(IF(D38="简单平均",AVERAGE(R38:V38),R38*F38+T38*H38+V38*J38),1))</f>
        <v>#DIV/0!</v>
      </c>
      <c r="S39" s="3907"/>
      <c r="T39" s="3907"/>
      <c r="U39" s="3907"/>
      <c r="V39" s="3907"/>
      <c r="W39" s="390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41" t="s">
        <v>1770</v>
      </c>
      <c r="D4" s="3842"/>
      <c r="E4" s="3843" t="s">
        <v>1771</v>
      </c>
      <c r="F4" s="3844"/>
      <c r="G4" s="3841" t="s">
        <v>1772</v>
      </c>
      <c r="H4" s="3842"/>
      <c r="I4" s="3841" t="s">
        <v>1773</v>
      </c>
      <c r="J4" s="3842"/>
      <c r="K4" s="559" t="s">
        <v>1774</v>
      </c>
      <c r="L4" s="2715"/>
      <c r="M4" s="2716"/>
      <c r="N4" s="2716"/>
      <c r="O4" s="2716"/>
      <c r="P4" s="3845" t="s">
        <v>1775</v>
      </c>
      <c r="Q4" s="3846"/>
      <c r="R4" s="3831" t="s">
        <v>1771</v>
      </c>
      <c r="S4" s="3832"/>
      <c r="T4" s="3831" t="s">
        <v>1772</v>
      </c>
      <c r="U4" s="3832"/>
      <c r="V4" s="3827" t="s">
        <v>1773</v>
      </c>
      <c r="W4" s="3827"/>
      <c r="X4" s="1355"/>
      <c r="Y4" s="3831" t="s">
        <v>1775</v>
      </c>
      <c r="Z4" s="3832"/>
      <c r="AA4" s="3837" t="s">
        <v>1771</v>
      </c>
      <c r="AB4" s="3838" t="s">
        <v>1772</v>
      </c>
      <c r="AC4" s="3837" t="s">
        <v>1773</v>
      </c>
    </row>
    <row r="5" spans="1:29" ht="15">
      <c r="A5" s="358"/>
      <c r="B5" s="359"/>
      <c r="C5" s="3859" t="s">
        <v>1673</v>
      </c>
      <c r="D5" s="3852"/>
      <c r="E5" s="3889" t="s">
        <v>1674</v>
      </c>
      <c r="F5" s="3854"/>
      <c r="G5" s="3859" t="s">
        <v>1675</v>
      </c>
      <c r="H5" s="3852"/>
      <c r="I5" s="3859" t="s">
        <v>1676</v>
      </c>
      <c r="J5" s="3852"/>
      <c r="K5" s="559"/>
      <c r="L5" s="2715"/>
      <c r="M5" s="2716"/>
      <c r="N5" s="2716"/>
      <c r="O5" s="2716"/>
      <c r="P5" s="3847"/>
      <c r="Q5" s="3848"/>
      <c r="R5" s="3833"/>
      <c r="S5" s="3834"/>
      <c r="T5" s="3833"/>
      <c r="U5" s="3834"/>
      <c r="V5" s="3827"/>
      <c r="W5" s="3827"/>
      <c r="X5" s="1355"/>
      <c r="Y5" s="3833"/>
      <c r="Z5" s="3834"/>
      <c r="AA5" s="3838"/>
      <c r="AB5" s="3838"/>
      <c r="AC5" s="3838"/>
    </row>
    <row r="6" spans="1:29" ht="15.75" thickBot="1">
      <c r="A6" s="360"/>
      <c r="B6" s="361"/>
      <c r="C6" s="3855" t="s">
        <v>1677</v>
      </c>
      <c r="D6" s="3856"/>
      <c r="E6" s="3857" t="s">
        <v>1677</v>
      </c>
      <c r="F6" s="3858"/>
      <c r="G6" s="3855" t="s">
        <v>1677</v>
      </c>
      <c r="H6" s="3856"/>
      <c r="I6" s="3855" t="s">
        <v>1677</v>
      </c>
      <c r="J6" s="3856"/>
      <c r="K6" s="559" t="s">
        <v>1678</v>
      </c>
      <c r="L6" s="2715"/>
      <c r="M6" s="2716"/>
      <c r="N6" s="2716"/>
      <c r="O6" s="2716"/>
      <c r="P6" s="3849"/>
      <c r="Q6" s="3850"/>
      <c r="R6" s="3833"/>
      <c r="S6" s="3834"/>
      <c r="T6" s="3835"/>
      <c r="U6" s="3836"/>
      <c r="V6" s="3827"/>
      <c r="W6" s="3827"/>
      <c r="X6" s="1355"/>
      <c r="Y6" s="3835"/>
      <c r="Z6" s="3836"/>
      <c r="AA6" s="3839"/>
      <c r="AB6" s="3839"/>
      <c r="AC6" s="3839"/>
    </row>
    <row r="7" spans="1:29" s="108" customFormat="1" ht="15.75" thickBot="1">
      <c r="A7" s="362" t="s">
        <v>1679</v>
      </c>
      <c r="B7" s="363"/>
      <c r="C7" s="364">
        <f>'数据-取费表'!B2</f>
        <v>45478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28" t="s">
        <v>1680</v>
      </c>
      <c r="Q7" s="3840"/>
      <c r="R7" s="701" t="s">
        <v>14</v>
      </c>
      <c r="S7" s="702">
        <f t="shared" ref="S7:S14" si="0">F7</f>
        <v>0</v>
      </c>
      <c r="T7" s="701" t="s">
        <v>14</v>
      </c>
      <c r="U7" s="702">
        <f t="shared" ref="U7:U14" si="1">H7</f>
        <v>0</v>
      </c>
      <c r="V7" s="701" t="s">
        <v>14</v>
      </c>
      <c r="W7" s="702">
        <f t="shared" ref="W7:W14" si="2">J7</f>
        <v>0</v>
      </c>
      <c r="X7" s="703"/>
      <c r="Y7" s="3828" t="s">
        <v>1680</v>
      </c>
      <c r="Z7" s="382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28" t="s">
        <v>1683</v>
      </c>
      <c r="Q8" s="3829"/>
      <c r="R8" s="701" t="s">
        <v>14</v>
      </c>
      <c r="S8" s="702">
        <f t="shared" si="0"/>
        <v>100</v>
      </c>
      <c r="T8" s="701" t="s">
        <v>14</v>
      </c>
      <c r="U8" s="702">
        <f t="shared" si="1"/>
        <v>100</v>
      </c>
      <c r="V8" s="701" t="s">
        <v>14</v>
      </c>
      <c r="W8" s="702">
        <f t="shared" si="2"/>
        <v>100</v>
      </c>
      <c r="X8" s="703"/>
      <c r="Y8" s="3828" t="s">
        <v>1683</v>
      </c>
      <c r="Z8" s="382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13" t="s">
        <v>1686</v>
      </c>
      <c r="Q9" s="1343" t="str">
        <f t="shared" ref="Q9:Q14" si="6">B9</f>
        <v>用途</v>
      </c>
      <c r="R9" s="701" t="s">
        <v>14</v>
      </c>
      <c r="S9" s="702">
        <f t="shared" si="0"/>
        <v>100</v>
      </c>
      <c r="T9" s="701" t="s">
        <v>14</v>
      </c>
      <c r="U9" s="702">
        <f t="shared" si="1"/>
        <v>100</v>
      </c>
      <c r="V9" s="701" t="s">
        <v>14</v>
      </c>
      <c r="W9" s="702">
        <f t="shared" si="2"/>
        <v>100</v>
      </c>
      <c r="X9" s="703"/>
      <c r="Y9" s="373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13"/>
      <c r="Q10" s="1343" t="str">
        <f t="shared" si="6"/>
        <v>土地使用年限（年）</v>
      </c>
      <c r="R10" s="701" t="s">
        <v>14</v>
      </c>
      <c r="S10" s="702">
        <f t="shared" si="0"/>
        <v>100</v>
      </c>
      <c r="T10" s="701" t="s">
        <v>14</v>
      </c>
      <c r="U10" s="702">
        <f t="shared" si="1"/>
        <v>100</v>
      </c>
      <c r="V10" s="701" t="s">
        <v>14</v>
      </c>
      <c r="W10" s="702">
        <f t="shared" si="2"/>
        <v>100</v>
      </c>
      <c r="X10" s="703"/>
      <c r="Y10" s="37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13"/>
      <c r="Q11" s="1343">
        <f t="shared" si="6"/>
        <v>111</v>
      </c>
      <c r="R11" s="701" t="s">
        <v>14</v>
      </c>
      <c r="S11" s="702">
        <f t="shared" si="0"/>
        <v>100</v>
      </c>
      <c r="T11" s="701" t="s">
        <v>14</v>
      </c>
      <c r="U11" s="702">
        <f t="shared" si="1"/>
        <v>100</v>
      </c>
      <c r="V11" s="701" t="s">
        <v>14</v>
      </c>
      <c r="W11" s="702">
        <f t="shared" si="2"/>
        <v>100</v>
      </c>
      <c r="X11" s="703"/>
      <c r="Y11" s="37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13"/>
      <c r="Q12" s="1343">
        <f t="shared" si="6"/>
        <v>111</v>
      </c>
      <c r="R12" s="701" t="s">
        <v>14</v>
      </c>
      <c r="S12" s="702">
        <f t="shared" si="0"/>
        <v>100</v>
      </c>
      <c r="T12" s="701" t="s">
        <v>14</v>
      </c>
      <c r="U12" s="702">
        <f t="shared" si="1"/>
        <v>100</v>
      </c>
      <c r="V12" s="701" t="s">
        <v>14</v>
      </c>
      <c r="W12" s="702">
        <f t="shared" si="2"/>
        <v>100</v>
      </c>
      <c r="X12" s="703"/>
      <c r="Y12" s="37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13"/>
      <c r="Q13" s="1343">
        <f t="shared" si="6"/>
        <v>111</v>
      </c>
      <c r="R13" s="701" t="s">
        <v>14</v>
      </c>
      <c r="S13" s="702">
        <f t="shared" si="0"/>
        <v>100</v>
      </c>
      <c r="T13" s="701" t="s">
        <v>14</v>
      </c>
      <c r="U13" s="702">
        <f t="shared" si="1"/>
        <v>100</v>
      </c>
      <c r="V13" s="701" t="s">
        <v>14</v>
      </c>
      <c r="W13" s="702">
        <f t="shared" si="2"/>
        <v>100</v>
      </c>
      <c r="X13" s="703"/>
      <c r="Y13" s="373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20" t="s">
        <v>1691</v>
      </c>
      <c r="Q14" s="1352" t="str">
        <f t="shared" si="6"/>
        <v>交通便捷度</v>
      </c>
      <c r="R14" s="705" t="s">
        <v>14</v>
      </c>
      <c r="S14" s="706">
        <f t="shared" si="0"/>
        <v>100</v>
      </c>
      <c r="T14" s="705" t="s">
        <v>14</v>
      </c>
      <c r="U14" s="706">
        <f t="shared" si="1"/>
        <v>100</v>
      </c>
      <c r="V14" s="705" t="s">
        <v>14</v>
      </c>
      <c r="W14" s="706">
        <f t="shared" si="2"/>
        <v>100</v>
      </c>
      <c r="X14" s="1355"/>
      <c r="Y14" s="382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21"/>
      <c r="Q15" s="1352"/>
      <c r="R15" s="705"/>
      <c r="S15" s="706"/>
      <c r="T15" s="705"/>
      <c r="U15" s="706"/>
      <c r="V15" s="705"/>
      <c r="W15" s="706"/>
      <c r="X15" s="1355"/>
      <c r="Y15" s="382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21"/>
      <c r="Q16" s="1352" t="str">
        <f>B16</f>
        <v>公共配套设施</v>
      </c>
      <c r="R16" s="705" t="s">
        <v>14</v>
      </c>
      <c r="S16" s="706">
        <f>F16</f>
        <v>100</v>
      </c>
      <c r="T16" s="705" t="s">
        <v>14</v>
      </c>
      <c r="U16" s="706">
        <f>H16</f>
        <v>100</v>
      </c>
      <c r="V16" s="705" t="s">
        <v>14</v>
      </c>
      <c r="W16" s="706">
        <f>J16</f>
        <v>100</v>
      </c>
      <c r="X16" s="1355"/>
      <c r="Y16" s="38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21"/>
      <c r="Q17" s="1352"/>
      <c r="R17" s="705"/>
      <c r="S17" s="706"/>
      <c r="T17" s="705"/>
      <c r="U17" s="706"/>
      <c r="V17" s="705"/>
      <c r="W17" s="706"/>
      <c r="X17" s="1355"/>
      <c r="Y17" s="382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21"/>
      <c r="Q18" s="1352" t="str">
        <f>B18</f>
        <v>基础设施水平</v>
      </c>
      <c r="R18" s="705" t="s">
        <v>14</v>
      </c>
      <c r="S18" s="706">
        <f>F18</f>
        <v>100</v>
      </c>
      <c r="T18" s="705" t="s">
        <v>14</v>
      </c>
      <c r="U18" s="706">
        <f>H18</f>
        <v>100</v>
      </c>
      <c r="V18" s="705" t="s">
        <v>14</v>
      </c>
      <c r="W18" s="706">
        <f>J18</f>
        <v>100</v>
      </c>
      <c r="X18" s="1355"/>
      <c r="Y18" s="38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21"/>
      <c r="Q19" s="1352"/>
      <c r="R19" s="705"/>
      <c r="S19" s="706"/>
      <c r="T19" s="705"/>
      <c r="U19" s="706"/>
      <c r="V19" s="705"/>
      <c r="W19" s="706"/>
      <c r="X19" s="1355"/>
      <c r="Y19" s="382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21"/>
      <c r="Q20" s="1352" t="str">
        <f>B20</f>
        <v>自然及人文环境</v>
      </c>
      <c r="R20" s="705" t="s">
        <v>14</v>
      </c>
      <c r="S20" s="706">
        <f>F20</f>
        <v>100</v>
      </c>
      <c r="T20" s="705" t="s">
        <v>14</v>
      </c>
      <c r="U20" s="706">
        <f>H20</f>
        <v>100</v>
      </c>
      <c r="V20" s="705" t="s">
        <v>14</v>
      </c>
      <c r="W20" s="706">
        <f>J20</f>
        <v>100</v>
      </c>
      <c r="X20" s="1355"/>
      <c r="Y20" s="38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21"/>
      <c r="Q21" s="1352"/>
      <c r="R21" s="705"/>
      <c r="S21" s="706"/>
      <c r="T21" s="705"/>
      <c r="U21" s="706"/>
      <c r="V21" s="705"/>
      <c r="W21" s="706"/>
      <c r="X21" s="1355"/>
      <c r="Y21" s="382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21"/>
      <c r="Q22" s="1352" t="str">
        <f>B22</f>
        <v>楼层</v>
      </c>
      <c r="R22" s="705" t="s">
        <v>14</v>
      </c>
      <c r="S22" s="706">
        <f>F22</f>
        <v>100</v>
      </c>
      <c r="T22" s="705" t="s">
        <v>14</v>
      </c>
      <c r="U22" s="706">
        <f>H22</f>
        <v>100</v>
      </c>
      <c r="V22" s="705" t="s">
        <v>14</v>
      </c>
      <c r="W22" s="706">
        <f>J22</f>
        <v>100</v>
      </c>
      <c r="X22" s="1355"/>
      <c r="Y22" s="38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21"/>
      <c r="Q23" s="1352">
        <f>B23</f>
        <v>111</v>
      </c>
      <c r="R23" s="705" t="s">
        <v>14</v>
      </c>
      <c r="S23" s="706">
        <f>F23</f>
        <v>100</v>
      </c>
      <c r="T23" s="705" t="s">
        <v>14</v>
      </c>
      <c r="U23" s="706">
        <f>H23</f>
        <v>100</v>
      </c>
      <c r="V23" s="705" t="s">
        <v>14</v>
      </c>
      <c r="W23" s="706">
        <f>J23</f>
        <v>100</v>
      </c>
      <c r="X23" s="1355"/>
      <c r="Y23" s="38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21"/>
      <c r="Q24" s="1352">
        <f t="shared" ref="Q24:Q34" si="11">B24</f>
        <v>111</v>
      </c>
      <c r="R24" s="705" t="s">
        <v>14</v>
      </c>
      <c r="S24" s="706">
        <f>F24</f>
        <v>100</v>
      </c>
      <c r="T24" s="705" t="s">
        <v>14</v>
      </c>
      <c r="U24" s="706">
        <f>H24</f>
        <v>100</v>
      </c>
      <c r="V24" s="705" t="s">
        <v>14</v>
      </c>
      <c r="W24" s="706">
        <f>J24</f>
        <v>100</v>
      </c>
      <c r="X24" s="1355"/>
      <c r="Y24" s="382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21"/>
      <c r="Q25" s="1343">
        <f t="shared" si="11"/>
        <v>111</v>
      </c>
      <c r="R25" s="701" t="s">
        <v>14</v>
      </c>
      <c r="S25" s="702">
        <f>F25</f>
        <v>100</v>
      </c>
      <c r="T25" s="701" t="s">
        <v>14</v>
      </c>
      <c r="U25" s="702">
        <f>H25</f>
        <v>100</v>
      </c>
      <c r="V25" s="701" t="s">
        <v>14</v>
      </c>
      <c r="W25" s="702">
        <f>J25</f>
        <v>100</v>
      </c>
      <c r="X25" s="703"/>
      <c r="Y25" s="382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0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25"/>
      <c r="Q27" s="707" t="str">
        <f t="shared" si="11"/>
        <v>成新率</v>
      </c>
      <c r="R27" s="708" t="s">
        <v>14</v>
      </c>
      <c r="S27" s="709" t="e">
        <f t="shared" si="12"/>
        <v>#N/A</v>
      </c>
      <c r="T27" s="708" t="s">
        <v>14</v>
      </c>
      <c r="U27" s="709" t="e">
        <f t="shared" si="13"/>
        <v>#N/A</v>
      </c>
      <c r="V27" s="708" t="s">
        <v>14</v>
      </c>
      <c r="W27" s="709" t="e">
        <f t="shared" si="14"/>
        <v>#N/A</v>
      </c>
      <c r="X27" s="710"/>
      <c r="Y27" s="382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25"/>
      <c r="Q28" s="1352" t="str">
        <f t="shared" si="11"/>
        <v>物业等级</v>
      </c>
      <c r="R28" s="705" t="s">
        <v>14</v>
      </c>
      <c r="S28" s="706">
        <f t="shared" si="12"/>
        <v>100</v>
      </c>
      <c r="T28" s="705" t="s">
        <v>14</v>
      </c>
      <c r="U28" s="706">
        <f t="shared" si="13"/>
        <v>100</v>
      </c>
      <c r="V28" s="705" t="s">
        <v>14</v>
      </c>
      <c r="W28" s="706">
        <f t="shared" si="14"/>
        <v>100</v>
      </c>
      <c r="X28" s="1355"/>
      <c r="Y28" s="382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25"/>
      <c r="Q29" s="1352" t="str">
        <f t="shared" si="11"/>
        <v>有无电梯</v>
      </c>
      <c r="R29" s="705" t="s">
        <v>14</v>
      </c>
      <c r="S29" s="706">
        <f t="shared" si="12"/>
        <v>100</v>
      </c>
      <c r="T29" s="705" t="s">
        <v>14</v>
      </c>
      <c r="U29" s="706">
        <f t="shared" si="13"/>
        <v>100</v>
      </c>
      <c r="V29" s="705" t="s">
        <v>14</v>
      </c>
      <c r="W29" s="706">
        <f t="shared" si="14"/>
        <v>100</v>
      </c>
      <c r="X29" s="1355"/>
      <c r="Y29" s="382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25"/>
      <c r="Q30" s="1352" t="str">
        <f t="shared" si="11"/>
        <v>建筑面积</v>
      </c>
      <c r="R30" s="705" t="s">
        <v>14</v>
      </c>
      <c r="S30" s="706" t="e">
        <f t="shared" si="12"/>
        <v>#N/A</v>
      </c>
      <c r="T30" s="705" t="s">
        <v>14</v>
      </c>
      <c r="U30" s="706" t="e">
        <f t="shared" si="13"/>
        <v>#N/A</v>
      </c>
      <c r="V30" s="705" t="s">
        <v>14</v>
      </c>
      <c r="W30" s="706" t="e">
        <f t="shared" si="14"/>
        <v>#N/A</v>
      </c>
      <c r="X30" s="1355"/>
      <c r="Y30" s="382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25"/>
      <c r="Q31" s="1343" t="str">
        <f t="shared" si="11"/>
        <v>是否封闭</v>
      </c>
      <c r="R31" s="701" t="s">
        <v>14</v>
      </c>
      <c r="S31" s="702">
        <f t="shared" si="12"/>
        <v>100</v>
      </c>
      <c r="T31" s="701" t="s">
        <v>14</v>
      </c>
      <c r="U31" s="702">
        <f t="shared" si="13"/>
        <v>100</v>
      </c>
      <c r="V31" s="701" t="s">
        <v>14</v>
      </c>
      <c r="W31" s="702">
        <f t="shared" si="14"/>
        <v>100</v>
      </c>
      <c r="X31" s="703"/>
      <c r="Y31" s="382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25" t="s">
        <v>1696</v>
      </c>
      <c r="Q32" s="1352">
        <f t="shared" si="11"/>
        <v>111</v>
      </c>
      <c r="R32" s="705" t="s">
        <v>14</v>
      </c>
      <c r="S32" s="706">
        <f t="shared" si="12"/>
        <v>100</v>
      </c>
      <c r="T32" s="705" t="s">
        <v>14</v>
      </c>
      <c r="U32" s="706">
        <f t="shared" si="13"/>
        <v>100</v>
      </c>
      <c r="V32" s="705" t="s">
        <v>14</v>
      </c>
      <c r="W32" s="706">
        <f t="shared" si="14"/>
        <v>100</v>
      </c>
      <c r="X32" s="1355"/>
      <c r="Y32" s="382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25"/>
      <c r="Q33" s="1352">
        <f t="shared" si="11"/>
        <v>111</v>
      </c>
      <c r="R33" s="705" t="s">
        <v>14</v>
      </c>
      <c r="S33" s="706">
        <f t="shared" si="12"/>
        <v>100</v>
      </c>
      <c r="T33" s="705" t="s">
        <v>14</v>
      </c>
      <c r="U33" s="706">
        <f t="shared" si="13"/>
        <v>100</v>
      </c>
      <c r="V33" s="705" t="s">
        <v>14</v>
      </c>
      <c r="W33" s="706">
        <f t="shared" si="14"/>
        <v>100</v>
      </c>
      <c r="X33" s="1355"/>
      <c r="Y33" s="382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25"/>
      <c r="Q34" s="1352">
        <f t="shared" si="11"/>
        <v>111</v>
      </c>
      <c r="R34" s="705" t="s">
        <v>14</v>
      </c>
      <c r="S34" s="706">
        <f t="shared" si="12"/>
        <v>100</v>
      </c>
      <c r="T34" s="705" t="s">
        <v>14</v>
      </c>
      <c r="U34" s="706">
        <f t="shared" si="13"/>
        <v>100</v>
      </c>
      <c r="V34" s="705" t="s">
        <v>14</v>
      </c>
      <c r="W34" s="706">
        <f t="shared" si="14"/>
        <v>100</v>
      </c>
      <c r="X34" s="1355"/>
      <c r="Y34" s="382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813" t="str">
        <f>A35</f>
        <v>成交单价（元/平方米）</v>
      </c>
      <c r="Q35" s="3813"/>
      <c r="R35" s="3814">
        <f>E35</f>
        <v>0</v>
      </c>
      <c r="S35" s="3814"/>
      <c r="T35" s="3814">
        <f>G35</f>
        <v>0</v>
      </c>
      <c r="U35" s="3814"/>
      <c r="V35" s="3814">
        <f>I35</f>
        <v>0</v>
      </c>
      <c r="W35" s="381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13" t="str">
        <f>A36</f>
        <v>比较价值（元/平方米）</v>
      </c>
      <c r="Q36" s="3813"/>
      <c r="R36" s="3814" t="e">
        <f>IF(F1="售价",ROUND(PRODUCT(R35,AA7:AA34),0),ROUND(PRODUCT(R35,AA7:AA34),1))</f>
        <v>#DIV/0!</v>
      </c>
      <c r="S36" s="3814"/>
      <c r="T36" s="3814" t="e">
        <f>IF(F1="售价",ROUND(PRODUCT(T35,AB7:AB34),0),ROUND(PRODUCT(T35,AB7:AB34),1))</f>
        <v>#DIV/0!</v>
      </c>
      <c r="U36" s="3814"/>
      <c r="V36" s="3814" t="e">
        <f>IF(F1="售价",ROUND(PRODUCT(V35,AC7:AC34),0),ROUND(PRODUCT(V35,AC7:AC34),1))</f>
        <v>#DIV/0!</v>
      </c>
      <c r="W36" s="381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815" t="str">
        <f>A37</f>
        <v>估价对象XX用房的比较价值（楼面单价，元/平方米）</v>
      </c>
      <c r="Q37" s="3816"/>
      <c r="R37" s="3907" t="e">
        <f>IF(F1="售价",ROUND(IF(D36="简单平均",AVERAGE(R36:W36),R36*F36+T36*H36+V36*J36),0),ROUND(IF(D36="简单平均",AVERAGE(R36:V36),R36*F36+T36*H36+V36*J36),1))</f>
        <v>#DIV/0!</v>
      </c>
      <c r="S37" s="3907"/>
      <c r="T37" s="3907"/>
      <c r="U37" s="3907"/>
      <c r="V37" s="3907"/>
      <c r="W37" s="390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841" t="s">
        <v>1770</v>
      </c>
      <c r="D4" s="3842"/>
      <c r="E4" s="3843" t="s">
        <v>1771</v>
      </c>
      <c r="F4" s="3844"/>
      <c r="G4" s="3841" t="s">
        <v>1772</v>
      </c>
      <c r="H4" s="3842"/>
      <c r="I4" s="3841" t="s">
        <v>1773</v>
      </c>
      <c r="J4" s="3842"/>
      <c r="K4" s="559" t="s">
        <v>1774</v>
      </c>
      <c r="L4" s="2715"/>
      <c r="M4" s="2716"/>
      <c r="N4" s="2716"/>
      <c r="O4" s="2716"/>
      <c r="P4" s="3845" t="s">
        <v>1775</v>
      </c>
      <c r="Q4" s="3846"/>
      <c r="R4" s="3831" t="s">
        <v>1771</v>
      </c>
      <c r="S4" s="3832"/>
      <c r="T4" s="3831" t="s">
        <v>1772</v>
      </c>
      <c r="U4" s="3832"/>
      <c r="V4" s="3827" t="s">
        <v>1773</v>
      </c>
      <c r="W4" s="3827"/>
      <c r="X4" s="1355"/>
      <c r="Y4" s="3831" t="s">
        <v>1775</v>
      </c>
      <c r="Z4" s="3832"/>
      <c r="AA4" s="3837" t="s">
        <v>1771</v>
      </c>
      <c r="AB4" s="3838" t="s">
        <v>1772</v>
      </c>
      <c r="AC4" s="3837" t="s">
        <v>1773</v>
      </c>
    </row>
    <row r="5" spans="1:30" ht="15">
      <c r="A5" s="358"/>
      <c r="B5" s="359"/>
      <c r="C5" s="3859" t="s">
        <v>1673</v>
      </c>
      <c r="D5" s="3852"/>
      <c r="E5" s="3889" t="s">
        <v>1674</v>
      </c>
      <c r="F5" s="3854"/>
      <c r="G5" s="3859" t="s">
        <v>1675</v>
      </c>
      <c r="H5" s="3852"/>
      <c r="I5" s="3859" t="s">
        <v>1676</v>
      </c>
      <c r="J5" s="3852"/>
      <c r="K5" s="559"/>
      <c r="L5" s="2715"/>
      <c r="M5" s="2716"/>
      <c r="N5" s="2716"/>
      <c r="O5" s="2716"/>
      <c r="P5" s="3847"/>
      <c r="Q5" s="3848"/>
      <c r="R5" s="3833"/>
      <c r="S5" s="3834"/>
      <c r="T5" s="3833"/>
      <c r="U5" s="3834"/>
      <c r="V5" s="3827"/>
      <c r="W5" s="3827"/>
      <c r="X5" s="1355"/>
      <c r="Y5" s="3833"/>
      <c r="Z5" s="3834"/>
      <c r="AA5" s="3838"/>
      <c r="AB5" s="3838"/>
      <c r="AC5" s="3838"/>
    </row>
    <row r="6" spans="1:30" ht="15.75" thickBot="1">
      <c r="A6" s="360"/>
      <c r="B6" s="361"/>
      <c r="C6" s="3855" t="s">
        <v>1677</v>
      </c>
      <c r="D6" s="3856"/>
      <c r="E6" s="3857" t="s">
        <v>1677</v>
      </c>
      <c r="F6" s="3858"/>
      <c r="G6" s="3855" t="s">
        <v>1677</v>
      </c>
      <c r="H6" s="3856"/>
      <c r="I6" s="3855" t="s">
        <v>1677</v>
      </c>
      <c r="J6" s="3856"/>
      <c r="K6" s="559" t="s">
        <v>1678</v>
      </c>
      <c r="L6" s="2715"/>
      <c r="M6" s="2716"/>
      <c r="N6" s="2716"/>
      <c r="O6" s="2716"/>
      <c r="P6" s="3849"/>
      <c r="Q6" s="3850"/>
      <c r="R6" s="3833"/>
      <c r="S6" s="3834"/>
      <c r="T6" s="3835"/>
      <c r="U6" s="3836"/>
      <c r="V6" s="3827"/>
      <c r="W6" s="3827"/>
      <c r="X6" s="1355"/>
      <c r="Y6" s="3835"/>
      <c r="Z6" s="3836"/>
      <c r="AA6" s="3839"/>
      <c r="AB6" s="3839"/>
      <c r="AC6" s="3839"/>
    </row>
    <row r="7" spans="1:30" s="108" customFormat="1" ht="15.75" thickBot="1">
      <c r="A7" s="362" t="s">
        <v>1679</v>
      </c>
      <c r="B7" s="363"/>
      <c r="C7" s="364">
        <f>'数据-取费表'!B2</f>
        <v>45478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28" t="s">
        <v>1680</v>
      </c>
      <c r="Q7" s="3840"/>
      <c r="R7" s="701" t="s">
        <v>14</v>
      </c>
      <c r="S7" s="702">
        <f t="shared" ref="S7:S15" si="0">F7</f>
        <v>0</v>
      </c>
      <c r="T7" s="701" t="s">
        <v>14</v>
      </c>
      <c r="U7" s="702">
        <f t="shared" ref="U7:U15" si="1">H7</f>
        <v>0</v>
      </c>
      <c r="V7" s="701" t="s">
        <v>14</v>
      </c>
      <c r="W7" s="702">
        <f t="shared" ref="W7:W15" si="2">J7</f>
        <v>0</v>
      </c>
      <c r="X7" s="703"/>
      <c r="Y7" s="3828" t="s">
        <v>1680</v>
      </c>
      <c r="Z7" s="382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28" t="s">
        <v>1683</v>
      </c>
      <c r="Q8" s="3829"/>
      <c r="R8" s="701" t="s">
        <v>14</v>
      </c>
      <c r="S8" s="702">
        <f t="shared" si="0"/>
        <v>0</v>
      </c>
      <c r="T8" s="701" t="s">
        <v>14</v>
      </c>
      <c r="U8" s="702">
        <f t="shared" si="1"/>
        <v>0</v>
      </c>
      <c r="V8" s="701" t="s">
        <v>14</v>
      </c>
      <c r="W8" s="702">
        <f t="shared" si="2"/>
        <v>0</v>
      </c>
      <c r="X8" s="703"/>
      <c r="Y8" s="3828" t="s">
        <v>1683</v>
      </c>
      <c r="Z8" s="382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13" t="s">
        <v>1686</v>
      </c>
      <c r="Q9" s="1343" t="str">
        <f t="shared" ref="Q9:Q15" si="6">B9</f>
        <v>用途</v>
      </c>
      <c r="R9" s="701" t="s">
        <v>14</v>
      </c>
      <c r="S9" s="702">
        <f t="shared" si="0"/>
        <v>100</v>
      </c>
      <c r="T9" s="701" t="s">
        <v>14</v>
      </c>
      <c r="U9" s="702">
        <f t="shared" si="1"/>
        <v>100</v>
      </c>
      <c r="V9" s="701" t="s">
        <v>14</v>
      </c>
      <c r="W9" s="702">
        <f t="shared" si="2"/>
        <v>100</v>
      </c>
      <c r="X9" s="703"/>
      <c r="Y9" s="37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9"/>
      <c r="M10" s="2720"/>
      <c r="N10" s="2720"/>
      <c r="O10" s="2773"/>
      <c r="P10" s="3813"/>
      <c r="Q10" s="1343" t="str">
        <f t="shared" si="6"/>
        <v>土地使用年限（年）</v>
      </c>
      <c r="R10" s="701" t="s">
        <v>14</v>
      </c>
      <c r="S10" s="702">
        <f t="shared" si="0"/>
        <v>125</v>
      </c>
      <c r="T10" s="701" t="s">
        <v>14</v>
      </c>
      <c r="U10" s="702">
        <f t="shared" si="1"/>
        <v>125</v>
      </c>
      <c r="V10" s="701" t="s">
        <v>14</v>
      </c>
      <c r="W10" s="702">
        <f t="shared" si="2"/>
        <v>125</v>
      </c>
      <c r="X10" s="703"/>
      <c r="Y10" s="3738"/>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13"/>
      <c r="Q11" s="1343" t="str">
        <f t="shared" si="6"/>
        <v>容积率</v>
      </c>
      <c r="R11" s="701" t="s">
        <v>14</v>
      </c>
      <c r="S11" s="702" t="e">
        <f t="shared" si="0"/>
        <v>#N/A</v>
      </c>
      <c r="T11" s="701" t="s">
        <v>14</v>
      </c>
      <c r="U11" s="702" t="e">
        <f t="shared" si="1"/>
        <v>#N/A</v>
      </c>
      <c r="V11" s="701" t="s">
        <v>14</v>
      </c>
      <c r="W11" s="702" t="e">
        <f t="shared" si="2"/>
        <v>#N/A</v>
      </c>
      <c r="X11" s="703"/>
      <c r="Y11" s="37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13"/>
      <c r="Q12" s="1343" t="str">
        <f t="shared" si="6"/>
        <v>配建</v>
      </c>
      <c r="R12" s="701" t="s">
        <v>14</v>
      </c>
      <c r="S12" s="702">
        <f t="shared" si="0"/>
        <v>100</v>
      </c>
      <c r="T12" s="701" t="s">
        <v>14</v>
      </c>
      <c r="U12" s="702">
        <f t="shared" si="1"/>
        <v>100</v>
      </c>
      <c r="V12" s="701" t="s">
        <v>14</v>
      </c>
      <c r="W12" s="702">
        <f t="shared" si="2"/>
        <v>100</v>
      </c>
      <c r="X12" s="703"/>
      <c r="Y12" s="37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13"/>
      <c r="Q13" s="1343">
        <f t="shared" si="6"/>
        <v>111</v>
      </c>
      <c r="R13" s="701" t="s">
        <v>14</v>
      </c>
      <c r="S13" s="702">
        <f t="shared" si="0"/>
        <v>100</v>
      </c>
      <c r="T13" s="701" t="s">
        <v>14</v>
      </c>
      <c r="U13" s="702">
        <f t="shared" si="1"/>
        <v>100</v>
      </c>
      <c r="V13" s="701" t="s">
        <v>14</v>
      </c>
      <c r="W13" s="702">
        <f t="shared" si="2"/>
        <v>100</v>
      </c>
      <c r="X13" s="703"/>
      <c r="Y13" s="37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13"/>
      <c r="Q14" s="1343">
        <f t="shared" si="6"/>
        <v>111</v>
      </c>
      <c r="R14" s="701" t="s">
        <v>14</v>
      </c>
      <c r="S14" s="702">
        <f t="shared" si="0"/>
        <v>100</v>
      </c>
      <c r="T14" s="701" t="s">
        <v>14</v>
      </c>
      <c r="U14" s="702">
        <f t="shared" si="1"/>
        <v>100</v>
      </c>
      <c r="V14" s="701" t="s">
        <v>14</v>
      </c>
      <c r="W14" s="702">
        <f t="shared" si="2"/>
        <v>100</v>
      </c>
      <c r="X14" s="703"/>
      <c r="Y14" s="373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20" t="s">
        <v>1691</v>
      </c>
      <c r="Q15" s="1352" t="str">
        <f t="shared" si="6"/>
        <v>居住社区成熟度</v>
      </c>
      <c r="R15" s="705" t="s">
        <v>14</v>
      </c>
      <c r="S15" s="706">
        <f t="shared" si="0"/>
        <v>100</v>
      </c>
      <c r="T15" s="705" t="s">
        <v>14</v>
      </c>
      <c r="U15" s="706">
        <f t="shared" si="1"/>
        <v>100</v>
      </c>
      <c r="V15" s="705" t="s">
        <v>14</v>
      </c>
      <c r="W15" s="706">
        <f t="shared" si="2"/>
        <v>100</v>
      </c>
      <c r="X15" s="1355"/>
      <c r="Y15" s="382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21"/>
      <c r="Q16" s="1352"/>
      <c r="R16" s="705"/>
      <c r="S16" s="706"/>
      <c r="T16" s="705"/>
      <c r="U16" s="706"/>
      <c r="V16" s="705"/>
      <c r="W16" s="706"/>
      <c r="X16" s="1355"/>
      <c r="Y16" s="382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21"/>
      <c r="Q17" s="1352" t="str">
        <f>B17</f>
        <v>商业繁华度</v>
      </c>
      <c r="R17" s="705" t="s">
        <v>14</v>
      </c>
      <c r="S17" s="706">
        <f>F17</f>
        <v>100</v>
      </c>
      <c r="T17" s="705" t="s">
        <v>14</v>
      </c>
      <c r="U17" s="706">
        <f>H17</f>
        <v>100</v>
      </c>
      <c r="V17" s="705" t="s">
        <v>14</v>
      </c>
      <c r="W17" s="706">
        <f>J17</f>
        <v>100</v>
      </c>
      <c r="X17" s="1355"/>
      <c r="Y17" s="38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21"/>
      <c r="Q18" s="1352"/>
      <c r="R18" s="705"/>
      <c r="S18" s="706"/>
      <c r="T18" s="705"/>
      <c r="U18" s="706"/>
      <c r="V18" s="705"/>
      <c r="W18" s="706"/>
      <c r="X18" s="1355"/>
      <c r="Y18" s="382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21"/>
      <c r="Q19" s="1352" t="str">
        <f>B19</f>
        <v>办公集聚程度</v>
      </c>
      <c r="R19" s="705" t="s">
        <v>14</v>
      </c>
      <c r="S19" s="706">
        <f>F19</f>
        <v>100</v>
      </c>
      <c r="T19" s="705" t="s">
        <v>14</v>
      </c>
      <c r="U19" s="706">
        <f>H19</f>
        <v>100</v>
      </c>
      <c r="V19" s="705" t="s">
        <v>14</v>
      </c>
      <c r="W19" s="706">
        <f>J19</f>
        <v>100</v>
      </c>
      <c r="X19" s="1355"/>
      <c r="Y19" s="38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21"/>
      <c r="Q20" s="1352"/>
      <c r="R20" s="705"/>
      <c r="S20" s="706"/>
      <c r="T20" s="705"/>
      <c r="U20" s="706"/>
      <c r="V20" s="705"/>
      <c r="W20" s="706"/>
      <c r="X20" s="1355"/>
      <c r="Y20" s="382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21"/>
      <c r="Q21" s="1352" t="str">
        <f>B21</f>
        <v>交通便捷度</v>
      </c>
      <c r="R21" s="705" t="s">
        <v>14</v>
      </c>
      <c r="S21" s="706">
        <f>F21</f>
        <v>100</v>
      </c>
      <c r="T21" s="705" t="s">
        <v>14</v>
      </c>
      <c r="U21" s="706">
        <f>H21</f>
        <v>100</v>
      </c>
      <c r="V21" s="705" t="s">
        <v>14</v>
      </c>
      <c r="W21" s="706">
        <f>J21</f>
        <v>100</v>
      </c>
      <c r="X21" s="1355"/>
      <c r="Y21" s="38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21"/>
      <c r="Q22" s="1352"/>
      <c r="R22" s="705"/>
      <c r="S22" s="706"/>
      <c r="T22" s="705"/>
      <c r="U22" s="706"/>
      <c r="V22" s="705"/>
      <c r="W22" s="706"/>
      <c r="X22" s="1355"/>
      <c r="Y22" s="382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21"/>
      <c r="Q23" s="1352" t="str">
        <f t="shared" ref="Q23:Q37" si="8">B23</f>
        <v>区域土地利用方向</v>
      </c>
      <c r="R23" s="705" t="s">
        <v>14</v>
      </c>
      <c r="S23" s="706">
        <f>F23</f>
        <v>100</v>
      </c>
      <c r="T23" s="705" t="s">
        <v>14</v>
      </c>
      <c r="U23" s="706">
        <f>H23</f>
        <v>100</v>
      </c>
      <c r="V23" s="705" t="s">
        <v>14</v>
      </c>
      <c r="W23" s="706">
        <f>J23</f>
        <v>100</v>
      </c>
      <c r="X23" s="1355"/>
      <c r="Y23" s="38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21"/>
      <c r="Q24" s="1352"/>
      <c r="R24" s="705"/>
      <c r="S24" s="706"/>
      <c r="T24" s="705"/>
      <c r="U24" s="706"/>
      <c r="V24" s="705"/>
      <c r="W24" s="706"/>
      <c r="X24" s="1355"/>
      <c r="Y24" s="382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21"/>
      <c r="Q25" s="1352" t="str">
        <f t="shared" si="8"/>
        <v>自然及人文环境状况</v>
      </c>
      <c r="R25" s="705" t="s">
        <v>14</v>
      </c>
      <c r="S25" s="706">
        <f>F25</f>
        <v>100</v>
      </c>
      <c r="T25" s="705" t="s">
        <v>14</v>
      </c>
      <c r="U25" s="706">
        <f>H25</f>
        <v>100</v>
      </c>
      <c r="V25" s="705" t="s">
        <v>14</v>
      </c>
      <c r="W25" s="706">
        <f>J25</f>
        <v>100</v>
      </c>
      <c r="X25" s="1355"/>
      <c r="Y25" s="38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21"/>
      <c r="Q26" s="1352"/>
      <c r="R26" s="705"/>
      <c r="S26" s="706"/>
      <c r="T26" s="705"/>
      <c r="U26" s="706"/>
      <c r="V26" s="705"/>
      <c r="W26" s="706"/>
      <c r="X26" s="1355"/>
      <c r="Y26" s="382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21"/>
      <c r="Q27" s="1343" t="str">
        <f t="shared" si="8"/>
        <v>公共配套设施</v>
      </c>
      <c r="R27" s="701" t="s">
        <v>14</v>
      </c>
      <c r="S27" s="702">
        <f>F27</f>
        <v>100</v>
      </c>
      <c r="T27" s="701" t="s">
        <v>14</v>
      </c>
      <c r="U27" s="702">
        <f>H27</f>
        <v>100</v>
      </c>
      <c r="V27" s="701" t="s">
        <v>14</v>
      </c>
      <c r="W27" s="702">
        <f>J27</f>
        <v>100</v>
      </c>
      <c r="X27" s="703"/>
      <c r="Y27" s="382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21"/>
      <c r="Q28" s="1343"/>
      <c r="R28" s="701"/>
      <c r="S28" s="702"/>
      <c r="T28" s="701"/>
      <c r="U28" s="702"/>
      <c r="V28" s="701"/>
      <c r="W28" s="702"/>
      <c r="X28" s="703"/>
      <c r="Y28" s="382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21"/>
      <c r="Q29" s="1343" t="str">
        <f t="shared" ref="Q29" si="9">B29</f>
        <v>基础设施水平</v>
      </c>
      <c r="R29" s="701" t="s">
        <v>14</v>
      </c>
      <c r="S29" s="702">
        <f>F29</f>
        <v>100</v>
      </c>
      <c r="T29" s="701" t="s">
        <v>14</v>
      </c>
      <c r="U29" s="702">
        <f>H29</f>
        <v>100</v>
      </c>
      <c r="V29" s="701" t="s">
        <v>14</v>
      </c>
      <c r="W29" s="702">
        <f>J29</f>
        <v>100</v>
      </c>
      <c r="X29" s="703"/>
      <c r="Y29" s="382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21"/>
      <c r="Q30" s="1343"/>
      <c r="R30" s="701"/>
      <c r="S30" s="702"/>
      <c r="T30" s="701"/>
      <c r="U30" s="702"/>
      <c r="V30" s="701"/>
      <c r="W30" s="702"/>
      <c r="X30" s="703"/>
      <c r="Y30" s="382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21"/>
      <c r="Q32" s="1352" t="str">
        <f t="shared" si="8"/>
        <v>毗邻道路的类型与等级</v>
      </c>
      <c r="R32" s="705" t="s">
        <v>14</v>
      </c>
      <c r="S32" s="706">
        <f t="shared" si="10"/>
        <v>100</v>
      </c>
      <c r="T32" s="705" t="s">
        <v>14</v>
      </c>
      <c r="U32" s="706">
        <f t="shared" si="11"/>
        <v>100</v>
      </c>
      <c r="V32" s="705" t="s">
        <v>14</v>
      </c>
      <c r="W32" s="706">
        <f t="shared" si="12"/>
        <v>100</v>
      </c>
      <c r="X32" s="1355"/>
      <c r="Y32" s="38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21"/>
      <c r="Q33" s="1352"/>
      <c r="R33" s="705"/>
      <c r="S33" s="706"/>
      <c r="T33" s="705"/>
      <c r="U33" s="706"/>
      <c r="V33" s="705"/>
      <c r="W33" s="706"/>
      <c r="X33" s="1355"/>
      <c r="Y33" s="382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21"/>
      <c r="Q34" s="1352" t="str">
        <f t="shared" si="8"/>
        <v>土地级别</v>
      </c>
      <c r="R34" s="705" t="s">
        <v>14</v>
      </c>
      <c r="S34" s="706">
        <f t="shared" si="10"/>
        <v>100</v>
      </c>
      <c r="T34" s="705" t="s">
        <v>14</v>
      </c>
      <c r="U34" s="706">
        <f t="shared" si="11"/>
        <v>100</v>
      </c>
      <c r="V34" s="705" t="s">
        <v>14</v>
      </c>
      <c r="W34" s="706">
        <f t="shared" si="12"/>
        <v>100</v>
      </c>
      <c r="X34" s="1355"/>
      <c r="Y34" s="38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21"/>
      <c r="Q35" s="1352">
        <f t="shared" si="8"/>
        <v>111</v>
      </c>
      <c r="R35" s="705" t="s">
        <v>14</v>
      </c>
      <c r="S35" s="706">
        <f t="shared" si="10"/>
        <v>100</v>
      </c>
      <c r="T35" s="705" t="s">
        <v>14</v>
      </c>
      <c r="U35" s="706">
        <f t="shared" si="11"/>
        <v>100</v>
      </c>
      <c r="V35" s="705" t="s">
        <v>14</v>
      </c>
      <c r="W35" s="706">
        <f t="shared" si="12"/>
        <v>100</v>
      </c>
      <c r="X35" s="1355"/>
      <c r="Y35" s="38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06" t="s">
        <v>1696</v>
      </c>
      <c r="Q36" s="1352">
        <f t="shared" si="8"/>
        <v>111</v>
      </c>
      <c r="R36" s="705" t="s">
        <v>14</v>
      </c>
      <c r="S36" s="706">
        <f t="shared" si="10"/>
        <v>100</v>
      </c>
      <c r="T36" s="705" t="s">
        <v>14</v>
      </c>
      <c r="U36" s="706">
        <f t="shared" si="11"/>
        <v>100</v>
      </c>
      <c r="V36" s="705" t="s">
        <v>14</v>
      </c>
      <c r="W36" s="706">
        <f t="shared" si="12"/>
        <v>100</v>
      </c>
      <c r="X36" s="1355"/>
      <c r="Y36" s="382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25"/>
      <c r="Q37" s="1352">
        <f t="shared" si="8"/>
        <v>111</v>
      </c>
      <c r="R37" s="708" t="s">
        <v>14</v>
      </c>
      <c r="S37" s="709">
        <f t="shared" si="10"/>
        <v>100</v>
      </c>
      <c r="T37" s="708" t="s">
        <v>14</v>
      </c>
      <c r="U37" s="709">
        <f t="shared" si="11"/>
        <v>100</v>
      </c>
      <c r="V37" s="708" t="s">
        <v>14</v>
      </c>
      <c r="W37" s="709">
        <f t="shared" si="12"/>
        <v>100</v>
      </c>
      <c r="X37" s="710"/>
      <c r="Y37" s="382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25"/>
      <c r="Q38" s="1352" t="str">
        <f>B38</f>
        <v>宗地面积</v>
      </c>
      <c r="R38" s="705" t="s">
        <v>14</v>
      </c>
      <c r="S38" s="706" t="e">
        <f t="shared" si="10"/>
        <v>#N/A</v>
      </c>
      <c r="T38" s="705" t="s">
        <v>14</v>
      </c>
      <c r="U38" s="706" t="e">
        <f t="shared" si="11"/>
        <v>#N/A</v>
      </c>
      <c r="V38" s="705" t="s">
        <v>14</v>
      </c>
      <c r="W38" s="706" t="e">
        <f t="shared" si="12"/>
        <v>#N/A</v>
      </c>
      <c r="X38" s="1355"/>
      <c r="Y38" s="382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25"/>
      <c r="Q39" s="1352" t="str">
        <f t="shared" ref="Q39:Q45" si="14">B39</f>
        <v>宗地形状</v>
      </c>
      <c r="R39" s="705" t="s">
        <v>14</v>
      </c>
      <c r="S39" s="706">
        <f t="shared" si="10"/>
        <v>100</v>
      </c>
      <c r="T39" s="705" t="s">
        <v>14</v>
      </c>
      <c r="U39" s="706">
        <f t="shared" si="11"/>
        <v>100</v>
      </c>
      <c r="V39" s="705" t="s">
        <v>14</v>
      </c>
      <c r="W39" s="706">
        <f t="shared" si="12"/>
        <v>100</v>
      </c>
      <c r="X39" s="1355"/>
      <c r="Y39" s="382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25"/>
      <c r="Q40" s="1352" t="str">
        <f t="shared" si="14"/>
        <v>临街宽度及深度</v>
      </c>
      <c r="R40" s="705" t="s">
        <v>14</v>
      </c>
      <c r="S40" s="706">
        <f t="shared" si="10"/>
        <v>100</v>
      </c>
      <c r="T40" s="705" t="s">
        <v>14</v>
      </c>
      <c r="U40" s="706">
        <f t="shared" si="11"/>
        <v>100</v>
      </c>
      <c r="V40" s="705" t="s">
        <v>14</v>
      </c>
      <c r="W40" s="706">
        <f t="shared" si="12"/>
        <v>100</v>
      </c>
      <c r="X40" s="1355"/>
      <c r="Y40" s="382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25"/>
      <c r="Q41" s="1352" t="str">
        <f t="shared" si="14"/>
        <v>宗地开发程度</v>
      </c>
      <c r="R41" s="701" t="s">
        <v>14</v>
      </c>
      <c r="S41" s="702">
        <f t="shared" si="10"/>
        <v>100</v>
      </c>
      <c r="T41" s="701" t="s">
        <v>14</v>
      </c>
      <c r="U41" s="702">
        <f t="shared" si="11"/>
        <v>100</v>
      </c>
      <c r="V41" s="701" t="s">
        <v>14</v>
      </c>
      <c r="W41" s="702">
        <f t="shared" si="12"/>
        <v>100</v>
      </c>
      <c r="X41" s="703"/>
      <c r="Y41" s="382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25" t="s">
        <v>1696</v>
      </c>
      <c r="Q42" s="1352" t="str">
        <f t="shared" si="14"/>
        <v>工程地质条件</v>
      </c>
      <c r="R42" s="705" t="s">
        <v>14</v>
      </c>
      <c r="S42" s="706">
        <f t="shared" si="10"/>
        <v>100</v>
      </c>
      <c r="T42" s="705" t="s">
        <v>14</v>
      </c>
      <c r="U42" s="706">
        <f t="shared" si="11"/>
        <v>100</v>
      </c>
      <c r="V42" s="705" t="s">
        <v>14</v>
      </c>
      <c r="W42" s="706">
        <f t="shared" si="12"/>
        <v>100</v>
      </c>
      <c r="X42" s="1355"/>
      <c r="Y42" s="382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25"/>
      <c r="Q43" s="1352">
        <f t="shared" si="14"/>
        <v>111</v>
      </c>
      <c r="R43" s="705" t="s">
        <v>14</v>
      </c>
      <c r="S43" s="706">
        <f t="shared" si="10"/>
        <v>100</v>
      </c>
      <c r="T43" s="705" t="s">
        <v>14</v>
      </c>
      <c r="U43" s="706">
        <f t="shared" si="11"/>
        <v>100</v>
      </c>
      <c r="V43" s="705" t="s">
        <v>14</v>
      </c>
      <c r="W43" s="706">
        <f t="shared" si="12"/>
        <v>100</v>
      </c>
      <c r="X43" s="1355"/>
      <c r="Y43" s="382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25"/>
      <c r="Q44" s="1352">
        <f t="shared" si="14"/>
        <v>111</v>
      </c>
      <c r="R44" s="705" t="s">
        <v>14</v>
      </c>
      <c r="S44" s="706">
        <f t="shared" si="10"/>
        <v>100</v>
      </c>
      <c r="T44" s="705" t="s">
        <v>14</v>
      </c>
      <c r="U44" s="706">
        <f t="shared" si="11"/>
        <v>100</v>
      </c>
      <c r="V44" s="705" t="s">
        <v>14</v>
      </c>
      <c r="W44" s="706">
        <f t="shared" si="12"/>
        <v>100</v>
      </c>
      <c r="X44" s="1355"/>
      <c r="Y44" s="382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25"/>
      <c r="Q45" s="1352">
        <f t="shared" si="14"/>
        <v>111</v>
      </c>
      <c r="R45" s="708" t="s">
        <v>14</v>
      </c>
      <c r="S45" s="709">
        <f t="shared" si="10"/>
        <v>100</v>
      </c>
      <c r="T45" s="708" t="s">
        <v>14</v>
      </c>
      <c r="U45" s="709">
        <f t="shared" si="11"/>
        <v>100</v>
      </c>
      <c r="V45" s="708" t="s">
        <v>14</v>
      </c>
      <c r="W45" s="709">
        <f t="shared" si="12"/>
        <v>100</v>
      </c>
      <c r="X45" s="710"/>
      <c r="Y45" s="382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813" t="str">
        <f>A46</f>
        <v>成交单价</v>
      </c>
      <c r="Q46" s="3813"/>
      <c r="R46" s="3827">
        <f>E46</f>
        <v>0</v>
      </c>
      <c r="S46" s="3827"/>
      <c r="T46" s="3827">
        <f>G46</f>
        <v>0</v>
      </c>
      <c r="U46" s="3827"/>
      <c r="V46" s="3827">
        <f>I46</f>
        <v>0</v>
      </c>
      <c r="W46" s="382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13" t="str">
        <f>A47</f>
        <v>比较价值（元/平方米）</v>
      </c>
      <c r="Q47" s="3813"/>
      <c r="R47" s="3908" t="e">
        <f>ROUND(PRODUCT(R46,AA7:AA45),0)</f>
        <v>#DIV/0!</v>
      </c>
      <c r="S47" s="3908"/>
      <c r="T47" s="3908" t="e">
        <f>ROUND(PRODUCT(T46,AB7:AB45),0)</f>
        <v>#DIV/0!</v>
      </c>
      <c r="U47" s="3908"/>
      <c r="V47" s="3908" t="e">
        <f>ROUND(PRODUCT(V46,AC7:AC45),0)</f>
        <v>#DIV/0!</v>
      </c>
      <c r="W47" s="390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815" t="str">
        <f>A48</f>
        <v>估价对象XX用房的比较价值（楼面单价，元/平方米）</v>
      </c>
      <c r="Q48" s="3816"/>
      <c r="R48" s="3909" t="e">
        <f>ROUND(IF(D47="简单平均",AVERAGE(R47:W47),R47*F47+T47*H47+V47*J47),0)</f>
        <v>#DIV/0!</v>
      </c>
      <c r="S48" s="3909"/>
      <c r="T48" s="3909"/>
      <c r="U48" s="3909"/>
      <c r="V48" s="3909"/>
      <c r="W48" s="390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41" t="s">
        <v>1887</v>
      </c>
      <c r="H55" s="391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2414.4300000000003</v>
      </c>
      <c r="F56" s="886" t="e">
        <f t="shared" ref="F56:F64" si="15">ROUND(B56*E56/10000,0)</f>
        <v>#DIV/0!</v>
      </c>
      <c r="G56" s="3830"/>
      <c r="H56" s="381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2414.4300000000003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41" t="s">
        <v>1770</v>
      </c>
      <c r="D4" s="3842"/>
      <c r="E4" s="3843" t="s">
        <v>1771</v>
      </c>
      <c r="F4" s="3844"/>
      <c r="G4" s="3841" t="s">
        <v>1772</v>
      </c>
      <c r="H4" s="3842"/>
      <c r="I4" s="3841" t="s">
        <v>1773</v>
      </c>
      <c r="J4" s="3842"/>
      <c r="K4" s="559" t="s">
        <v>1774</v>
      </c>
      <c r="L4" s="2715"/>
      <c r="M4" s="2716"/>
      <c r="N4" s="2716"/>
      <c r="O4" s="2716"/>
      <c r="P4" s="3845" t="s">
        <v>1775</v>
      </c>
      <c r="Q4" s="3846"/>
      <c r="R4" s="3831" t="s">
        <v>1771</v>
      </c>
      <c r="S4" s="3832"/>
      <c r="T4" s="3831" t="s">
        <v>1772</v>
      </c>
      <c r="U4" s="3832"/>
      <c r="V4" s="3827" t="s">
        <v>1773</v>
      </c>
      <c r="W4" s="3827"/>
      <c r="X4" s="1355"/>
      <c r="Y4" s="3831" t="s">
        <v>1775</v>
      </c>
      <c r="Z4" s="3832"/>
      <c r="AA4" s="3837" t="s">
        <v>1771</v>
      </c>
      <c r="AB4" s="3838" t="s">
        <v>1772</v>
      </c>
      <c r="AC4" s="3837" t="s">
        <v>1773</v>
      </c>
    </row>
    <row r="5" spans="1:29" ht="15">
      <c r="A5" s="358"/>
      <c r="B5" s="359"/>
      <c r="C5" s="3859" t="s">
        <v>1673</v>
      </c>
      <c r="D5" s="3852"/>
      <c r="E5" s="3889" t="s">
        <v>1674</v>
      </c>
      <c r="F5" s="3854"/>
      <c r="G5" s="3859" t="s">
        <v>1675</v>
      </c>
      <c r="H5" s="3852"/>
      <c r="I5" s="3859" t="s">
        <v>1676</v>
      </c>
      <c r="J5" s="3852"/>
      <c r="K5" s="559"/>
      <c r="L5" s="2715"/>
      <c r="M5" s="2716"/>
      <c r="N5" s="2716"/>
      <c r="O5" s="2716"/>
      <c r="P5" s="3847"/>
      <c r="Q5" s="3848"/>
      <c r="R5" s="3833"/>
      <c r="S5" s="3834"/>
      <c r="T5" s="3833"/>
      <c r="U5" s="3834"/>
      <c r="V5" s="3827"/>
      <c r="W5" s="3827"/>
      <c r="X5" s="1355"/>
      <c r="Y5" s="3833"/>
      <c r="Z5" s="3834"/>
      <c r="AA5" s="3838"/>
      <c r="AB5" s="3838"/>
      <c r="AC5" s="3838"/>
    </row>
    <row r="6" spans="1:29" ht="15.75" thickBot="1">
      <c r="A6" s="360"/>
      <c r="B6" s="361"/>
      <c r="C6" s="3911" t="s">
        <v>1919</v>
      </c>
      <c r="D6" s="3912"/>
      <c r="E6" s="3913" t="s">
        <v>1919</v>
      </c>
      <c r="F6" s="3914"/>
      <c r="G6" s="3911" t="s">
        <v>1919</v>
      </c>
      <c r="H6" s="3912"/>
      <c r="I6" s="3911" t="s">
        <v>1919</v>
      </c>
      <c r="J6" s="3912"/>
      <c r="K6" s="559" t="s">
        <v>1678</v>
      </c>
      <c r="L6" s="2715"/>
      <c r="M6" s="2716"/>
      <c r="N6" s="2716"/>
      <c r="O6" s="2716"/>
      <c r="P6" s="3849"/>
      <c r="Q6" s="3850"/>
      <c r="R6" s="3833"/>
      <c r="S6" s="3834"/>
      <c r="T6" s="3835"/>
      <c r="U6" s="3836"/>
      <c r="V6" s="3827"/>
      <c r="W6" s="3827"/>
      <c r="X6" s="1355"/>
      <c r="Y6" s="3835"/>
      <c r="Z6" s="3836"/>
      <c r="AA6" s="3839"/>
      <c r="AB6" s="3839"/>
      <c r="AC6" s="3839"/>
    </row>
    <row r="7" spans="1:29" s="108" customFormat="1" ht="15.75" thickBot="1">
      <c r="A7" s="362" t="s">
        <v>1679</v>
      </c>
      <c r="B7" s="363"/>
      <c r="C7" s="364">
        <f>'数据-取费表'!B2</f>
        <v>45478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28" t="s">
        <v>1680</v>
      </c>
      <c r="Q7" s="3840"/>
      <c r="R7" s="701" t="s">
        <v>14</v>
      </c>
      <c r="S7" s="702">
        <f t="shared" ref="S7:S15" si="0">F7</f>
        <v>0</v>
      </c>
      <c r="T7" s="701" t="s">
        <v>14</v>
      </c>
      <c r="U7" s="702">
        <f t="shared" ref="U7:U15" si="1">H7</f>
        <v>0</v>
      </c>
      <c r="V7" s="701" t="s">
        <v>14</v>
      </c>
      <c r="W7" s="702">
        <f t="shared" ref="W7:W15" si="2">J7</f>
        <v>0</v>
      </c>
      <c r="X7" s="703"/>
      <c r="Y7" s="3828" t="s">
        <v>1680</v>
      </c>
      <c r="Z7" s="382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28" t="s">
        <v>1683</v>
      </c>
      <c r="Q8" s="3829"/>
      <c r="R8" s="701" t="s">
        <v>14</v>
      </c>
      <c r="S8" s="702">
        <f t="shared" si="0"/>
        <v>0</v>
      </c>
      <c r="T8" s="701" t="s">
        <v>14</v>
      </c>
      <c r="U8" s="702">
        <f t="shared" si="1"/>
        <v>0</v>
      </c>
      <c r="V8" s="701" t="s">
        <v>14</v>
      </c>
      <c r="W8" s="702">
        <f t="shared" si="2"/>
        <v>0</v>
      </c>
      <c r="X8" s="703"/>
      <c r="Y8" s="3828" t="s">
        <v>1683</v>
      </c>
      <c r="Z8" s="382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13" t="s">
        <v>1686</v>
      </c>
      <c r="Q9" s="1343" t="str">
        <f t="shared" ref="Q9:Q15" si="6">B9</f>
        <v>用途</v>
      </c>
      <c r="R9" s="701" t="s">
        <v>14</v>
      </c>
      <c r="S9" s="702">
        <f t="shared" si="0"/>
        <v>100</v>
      </c>
      <c r="T9" s="701" t="s">
        <v>14</v>
      </c>
      <c r="U9" s="702">
        <f t="shared" si="1"/>
        <v>100</v>
      </c>
      <c r="V9" s="701" t="s">
        <v>14</v>
      </c>
      <c r="W9" s="702">
        <f t="shared" si="2"/>
        <v>100</v>
      </c>
      <c r="X9" s="703"/>
      <c r="Y9" s="37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9"/>
      <c r="M10" s="2720"/>
      <c r="N10" s="2720"/>
      <c r="O10" s="2773"/>
      <c r="P10" s="3813"/>
      <c r="Q10" s="1343" t="str">
        <f t="shared" si="6"/>
        <v>土地使用年限（年）</v>
      </c>
      <c r="R10" s="701" t="s">
        <v>14</v>
      </c>
      <c r="S10" s="702">
        <f t="shared" si="0"/>
        <v>125</v>
      </c>
      <c r="T10" s="701" t="s">
        <v>14</v>
      </c>
      <c r="U10" s="702">
        <f t="shared" si="1"/>
        <v>125</v>
      </c>
      <c r="V10" s="701" t="s">
        <v>14</v>
      </c>
      <c r="W10" s="702">
        <f t="shared" si="2"/>
        <v>125</v>
      </c>
      <c r="X10" s="703"/>
      <c r="Y10" s="3738"/>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13"/>
      <c r="Q11" s="1343" t="str">
        <f t="shared" si="6"/>
        <v>容积率</v>
      </c>
      <c r="R11" s="701" t="s">
        <v>14</v>
      </c>
      <c r="S11" s="702" t="e">
        <f t="shared" si="0"/>
        <v>#N/A</v>
      </c>
      <c r="T11" s="701" t="s">
        <v>14</v>
      </c>
      <c r="U11" s="702" t="e">
        <f t="shared" si="1"/>
        <v>#N/A</v>
      </c>
      <c r="V11" s="701" t="s">
        <v>14</v>
      </c>
      <c r="W11" s="702" t="e">
        <f t="shared" si="2"/>
        <v>#N/A</v>
      </c>
      <c r="X11" s="703"/>
      <c r="Y11" s="37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13"/>
      <c r="Q12" s="1343">
        <f t="shared" si="6"/>
        <v>111</v>
      </c>
      <c r="R12" s="701" t="s">
        <v>14</v>
      </c>
      <c r="S12" s="702">
        <f t="shared" si="0"/>
        <v>100</v>
      </c>
      <c r="T12" s="701" t="s">
        <v>14</v>
      </c>
      <c r="U12" s="702">
        <f t="shared" si="1"/>
        <v>100</v>
      </c>
      <c r="V12" s="701" t="s">
        <v>14</v>
      </c>
      <c r="W12" s="702">
        <f t="shared" si="2"/>
        <v>100</v>
      </c>
      <c r="X12" s="703"/>
      <c r="Y12" s="37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13"/>
      <c r="Q13" s="1343">
        <f t="shared" si="6"/>
        <v>111</v>
      </c>
      <c r="R13" s="701" t="s">
        <v>14</v>
      </c>
      <c r="S13" s="702">
        <f t="shared" si="0"/>
        <v>100</v>
      </c>
      <c r="T13" s="701" t="s">
        <v>14</v>
      </c>
      <c r="U13" s="702">
        <f t="shared" si="1"/>
        <v>100</v>
      </c>
      <c r="V13" s="701" t="s">
        <v>14</v>
      </c>
      <c r="W13" s="702">
        <f t="shared" si="2"/>
        <v>100</v>
      </c>
      <c r="X13" s="703"/>
      <c r="Y13" s="37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13"/>
      <c r="Q14" s="1343">
        <f t="shared" si="6"/>
        <v>111</v>
      </c>
      <c r="R14" s="701" t="s">
        <v>14</v>
      </c>
      <c r="S14" s="702">
        <f t="shared" si="0"/>
        <v>100</v>
      </c>
      <c r="T14" s="701" t="s">
        <v>14</v>
      </c>
      <c r="U14" s="702">
        <f t="shared" si="1"/>
        <v>100</v>
      </c>
      <c r="V14" s="701" t="s">
        <v>14</v>
      </c>
      <c r="W14" s="702">
        <f t="shared" si="2"/>
        <v>100</v>
      </c>
      <c r="X14" s="703"/>
      <c r="Y14" s="373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20" t="s">
        <v>1691</v>
      </c>
      <c r="Q15" s="1352" t="str">
        <f t="shared" si="6"/>
        <v>产业集聚程度</v>
      </c>
      <c r="R15" s="705" t="s">
        <v>14</v>
      </c>
      <c r="S15" s="706">
        <f t="shared" si="0"/>
        <v>100</v>
      </c>
      <c r="T15" s="705" t="s">
        <v>14</v>
      </c>
      <c r="U15" s="706">
        <f t="shared" si="1"/>
        <v>100</v>
      </c>
      <c r="V15" s="705" t="s">
        <v>14</v>
      </c>
      <c r="W15" s="706">
        <f t="shared" si="2"/>
        <v>100</v>
      </c>
      <c r="X15" s="1355"/>
      <c r="Y15" s="382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21"/>
      <c r="Q16" s="1352"/>
      <c r="R16" s="705"/>
      <c r="S16" s="706"/>
      <c r="T16" s="705"/>
      <c r="U16" s="706"/>
      <c r="V16" s="705"/>
      <c r="W16" s="706"/>
      <c r="X16" s="1355"/>
      <c r="Y16" s="382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21"/>
      <c r="Q17" s="1352" t="str">
        <f>B17</f>
        <v>交通便捷度</v>
      </c>
      <c r="R17" s="705" t="s">
        <v>14</v>
      </c>
      <c r="S17" s="706">
        <f>F17</f>
        <v>100</v>
      </c>
      <c r="T17" s="705" t="s">
        <v>14</v>
      </c>
      <c r="U17" s="706">
        <f>H17</f>
        <v>100</v>
      </c>
      <c r="V17" s="705" t="s">
        <v>14</v>
      </c>
      <c r="W17" s="706">
        <f>J17</f>
        <v>100</v>
      </c>
      <c r="X17" s="1355"/>
      <c r="Y17" s="38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21"/>
      <c r="Q18" s="1352"/>
      <c r="R18" s="705"/>
      <c r="S18" s="706"/>
      <c r="T18" s="705"/>
      <c r="U18" s="706"/>
      <c r="V18" s="705"/>
      <c r="W18" s="706"/>
      <c r="X18" s="1355"/>
      <c r="Y18" s="382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21"/>
      <c r="Q19" s="1352" t="str">
        <f t="shared" ref="Q19:Q33" si="8">B19</f>
        <v>区域土地利用方向</v>
      </c>
      <c r="R19" s="705" t="s">
        <v>14</v>
      </c>
      <c r="S19" s="706">
        <f>F19</f>
        <v>100</v>
      </c>
      <c r="T19" s="705" t="s">
        <v>14</v>
      </c>
      <c r="U19" s="706">
        <f>H19</f>
        <v>100</v>
      </c>
      <c r="V19" s="705" t="s">
        <v>14</v>
      </c>
      <c r="W19" s="706">
        <f>J19</f>
        <v>100</v>
      </c>
      <c r="X19" s="1355"/>
      <c r="Y19" s="38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21"/>
      <c r="Q20" s="1352"/>
      <c r="R20" s="705"/>
      <c r="S20" s="706"/>
      <c r="T20" s="705"/>
      <c r="U20" s="706"/>
      <c r="V20" s="705"/>
      <c r="W20" s="706"/>
      <c r="X20" s="1355"/>
      <c r="Y20" s="382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21"/>
      <c r="Q21" s="1352" t="str">
        <f t="shared" si="8"/>
        <v>环境状况</v>
      </c>
      <c r="R21" s="705" t="s">
        <v>14</v>
      </c>
      <c r="S21" s="706">
        <f>F21</f>
        <v>100</v>
      </c>
      <c r="T21" s="705" t="s">
        <v>14</v>
      </c>
      <c r="U21" s="706">
        <f>H21</f>
        <v>100</v>
      </c>
      <c r="V21" s="705" t="s">
        <v>14</v>
      </c>
      <c r="W21" s="706">
        <f>J21</f>
        <v>100</v>
      </c>
      <c r="X21" s="1355"/>
      <c r="Y21" s="38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21"/>
      <c r="Q22" s="1352"/>
      <c r="R22" s="705"/>
      <c r="S22" s="706"/>
      <c r="T22" s="705"/>
      <c r="U22" s="706"/>
      <c r="V22" s="705"/>
      <c r="W22" s="706"/>
      <c r="X22" s="1355"/>
      <c r="Y22" s="382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21"/>
      <c r="Q23" s="1343" t="str">
        <f t="shared" si="8"/>
        <v>公共配套设施</v>
      </c>
      <c r="R23" s="701" t="s">
        <v>14</v>
      </c>
      <c r="S23" s="702">
        <f>F23</f>
        <v>100</v>
      </c>
      <c r="T23" s="701" t="s">
        <v>14</v>
      </c>
      <c r="U23" s="702">
        <f>H23</f>
        <v>100</v>
      </c>
      <c r="V23" s="701" t="s">
        <v>14</v>
      </c>
      <c r="W23" s="702">
        <f>J23</f>
        <v>100</v>
      </c>
      <c r="X23" s="703"/>
      <c r="Y23" s="382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21"/>
      <c r="Q24" s="1343"/>
      <c r="R24" s="701"/>
      <c r="S24" s="702"/>
      <c r="T24" s="701"/>
      <c r="U24" s="702"/>
      <c r="V24" s="701"/>
      <c r="W24" s="702"/>
      <c r="X24" s="703"/>
      <c r="Y24" s="382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21"/>
      <c r="Q25" s="1343" t="str">
        <f t="shared" ref="Q25" si="9">B25</f>
        <v>基础设施水平</v>
      </c>
      <c r="R25" s="701" t="s">
        <v>14</v>
      </c>
      <c r="S25" s="702">
        <f>F25</f>
        <v>100</v>
      </c>
      <c r="T25" s="701" t="s">
        <v>14</v>
      </c>
      <c r="U25" s="702">
        <f>H25</f>
        <v>100</v>
      </c>
      <c r="V25" s="701" t="s">
        <v>14</v>
      </c>
      <c r="W25" s="702">
        <f>J25</f>
        <v>100</v>
      </c>
      <c r="X25" s="703"/>
      <c r="Y25" s="382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21"/>
      <c r="Q26" s="1343"/>
      <c r="R26" s="701"/>
      <c r="S26" s="702"/>
      <c r="T26" s="701"/>
      <c r="U26" s="702"/>
      <c r="V26" s="701"/>
      <c r="W26" s="702"/>
      <c r="X26" s="703"/>
      <c r="Y26" s="382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21"/>
      <c r="Q28" s="1352" t="str">
        <f t="shared" si="8"/>
        <v>毗邻道路的类型与等级</v>
      </c>
      <c r="R28" s="705" t="s">
        <v>14</v>
      </c>
      <c r="S28" s="706">
        <f t="shared" si="10"/>
        <v>100</v>
      </c>
      <c r="T28" s="705" t="s">
        <v>14</v>
      </c>
      <c r="U28" s="706">
        <f t="shared" si="11"/>
        <v>100</v>
      </c>
      <c r="V28" s="705" t="s">
        <v>14</v>
      </c>
      <c r="W28" s="706">
        <f t="shared" si="12"/>
        <v>100</v>
      </c>
      <c r="X28" s="1355"/>
      <c r="Y28" s="38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21"/>
      <c r="Q29" s="1352"/>
      <c r="R29" s="705"/>
      <c r="S29" s="706"/>
      <c r="T29" s="705"/>
      <c r="U29" s="706"/>
      <c r="V29" s="705"/>
      <c r="W29" s="706"/>
      <c r="X29" s="1355"/>
      <c r="Y29" s="382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21"/>
      <c r="Q30" s="1352" t="str">
        <f t="shared" si="8"/>
        <v>土地级别</v>
      </c>
      <c r="R30" s="705" t="s">
        <v>14</v>
      </c>
      <c r="S30" s="706">
        <f t="shared" si="10"/>
        <v>100</v>
      </c>
      <c r="T30" s="705" t="s">
        <v>14</v>
      </c>
      <c r="U30" s="706">
        <f t="shared" si="11"/>
        <v>100</v>
      </c>
      <c r="V30" s="705" t="s">
        <v>14</v>
      </c>
      <c r="W30" s="706">
        <f t="shared" si="12"/>
        <v>100</v>
      </c>
      <c r="X30" s="1355"/>
      <c r="Y30" s="382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21"/>
      <c r="Q31" s="1352">
        <f t="shared" si="8"/>
        <v>111</v>
      </c>
      <c r="R31" s="705" t="s">
        <v>14</v>
      </c>
      <c r="S31" s="706">
        <f t="shared" si="10"/>
        <v>100</v>
      </c>
      <c r="T31" s="705" t="s">
        <v>14</v>
      </c>
      <c r="U31" s="706">
        <f t="shared" si="11"/>
        <v>100</v>
      </c>
      <c r="V31" s="705" t="s">
        <v>14</v>
      </c>
      <c r="W31" s="706">
        <f t="shared" si="12"/>
        <v>100</v>
      </c>
      <c r="X31" s="1355"/>
      <c r="Y31" s="382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06" t="s">
        <v>1696</v>
      </c>
      <c r="Q32" s="1352">
        <f t="shared" si="8"/>
        <v>111</v>
      </c>
      <c r="R32" s="705" t="s">
        <v>14</v>
      </c>
      <c r="S32" s="706">
        <f t="shared" si="10"/>
        <v>100</v>
      </c>
      <c r="T32" s="705" t="s">
        <v>14</v>
      </c>
      <c r="U32" s="706">
        <f t="shared" si="11"/>
        <v>100</v>
      </c>
      <c r="V32" s="705" t="s">
        <v>14</v>
      </c>
      <c r="W32" s="706">
        <f t="shared" si="12"/>
        <v>100</v>
      </c>
      <c r="X32" s="1355"/>
      <c r="Y32" s="382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25"/>
      <c r="Q33" s="1352">
        <f t="shared" si="8"/>
        <v>111</v>
      </c>
      <c r="R33" s="708" t="s">
        <v>14</v>
      </c>
      <c r="S33" s="709">
        <f t="shared" si="10"/>
        <v>100</v>
      </c>
      <c r="T33" s="708" t="s">
        <v>14</v>
      </c>
      <c r="U33" s="709">
        <f t="shared" si="11"/>
        <v>100</v>
      </c>
      <c r="V33" s="708" t="s">
        <v>14</v>
      </c>
      <c r="W33" s="709">
        <f t="shared" si="12"/>
        <v>100</v>
      </c>
      <c r="X33" s="710"/>
      <c r="Y33" s="382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25"/>
      <c r="Q34" s="1352" t="str">
        <f>B34</f>
        <v>宗地面积</v>
      </c>
      <c r="R34" s="705" t="s">
        <v>14</v>
      </c>
      <c r="S34" s="706" t="e">
        <f t="shared" si="10"/>
        <v>#N/A</v>
      </c>
      <c r="T34" s="705" t="s">
        <v>14</v>
      </c>
      <c r="U34" s="706" t="e">
        <f t="shared" si="11"/>
        <v>#N/A</v>
      </c>
      <c r="V34" s="705" t="s">
        <v>14</v>
      </c>
      <c r="W34" s="706" t="e">
        <f t="shared" si="12"/>
        <v>#N/A</v>
      </c>
      <c r="X34" s="1355"/>
      <c r="Y34" s="382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25"/>
      <c r="Q35" s="1352" t="str">
        <f t="shared" ref="Q35:Q40" si="14">B35</f>
        <v>宗地形状</v>
      </c>
      <c r="R35" s="705" t="s">
        <v>14</v>
      </c>
      <c r="S35" s="706">
        <f t="shared" si="10"/>
        <v>100</v>
      </c>
      <c r="T35" s="705" t="s">
        <v>14</v>
      </c>
      <c r="U35" s="706">
        <f t="shared" si="11"/>
        <v>100</v>
      </c>
      <c r="V35" s="705" t="s">
        <v>14</v>
      </c>
      <c r="W35" s="706">
        <f t="shared" si="12"/>
        <v>100</v>
      </c>
      <c r="X35" s="1355"/>
      <c r="Y35" s="382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25"/>
      <c r="Q36" s="1352" t="str">
        <f t="shared" si="14"/>
        <v>宗地开发程度</v>
      </c>
      <c r="R36" s="701" t="s">
        <v>14</v>
      </c>
      <c r="S36" s="702">
        <f t="shared" si="10"/>
        <v>100</v>
      </c>
      <c r="T36" s="701" t="s">
        <v>14</v>
      </c>
      <c r="U36" s="702">
        <f t="shared" si="11"/>
        <v>100</v>
      </c>
      <c r="V36" s="701" t="s">
        <v>14</v>
      </c>
      <c r="W36" s="702">
        <f t="shared" si="12"/>
        <v>100</v>
      </c>
      <c r="X36" s="703"/>
      <c r="Y36" s="382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25" t="s">
        <v>1696</v>
      </c>
      <c r="Q37" s="1352" t="str">
        <f t="shared" si="14"/>
        <v>工程地质条件</v>
      </c>
      <c r="R37" s="705" t="s">
        <v>14</v>
      </c>
      <c r="S37" s="706">
        <f t="shared" si="10"/>
        <v>100</v>
      </c>
      <c r="T37" s="705" t="s">
        <v>14</v>
      </c>
      <c r="U37" s="706">
        <f t="shared" si="11"/>
        <v>100</v>
      </c>
      <c r="V37" s="705" t="s">
        <v>14</v>
      </c>
      <c r="W37" s="706">
        <f t="shared" si="12"/>
        <v>100</v>
      </c>
      <c r="X37" s="1355"/>
      <c r="Y37" s="382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25"/>
      <c r="Q38" s="1352">
        <f t="shared" si="14"/>
        <v>111</v>
      </c>
      <c r="R38" s="705" t="s">
        <v>14</v>
      </c>
      <c r="S38" s="706">
        <f t="shared" si="10"/>
        <v>100</v>
      </c>
      <c r="T38" s="705" t="s">
        <v>14</v>
      </c>
      <c r="U38" s="706">
        <f t="shared" si="11"/>
        <v>100</v>
      </c>
      <c r="V38" s="705" t="s">
        <v>14</v>
      </c>
      <c r="W38" s="706">
        <f t="shared" si="12"/>
        <v>100</v>
      </c>
      <c r="X38" s="1355"/>
      <c r="Y38" s="382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25"/>
      <c r="Q39" s="1352">
        <f t="shared" si="14"/>
        <v>111</v>
      </c>
      <c r="R39" s="705" t="s">
        <v>14</v>
      </c>
      <c r="S39" s="706">
        <f t="shared" si="10"/>
        <v>100</v>
      </c>
      <c r="T39" s="705" t="s">
        <v>14</v>
      </c>
      <c r="U39" s="706">
        <f t="shared" si="11"/>
        <v>100</v>
      </c>
      <c r="V39" s="705" t="s">
        <v>14</v>
      </c>
      <c r="W39" s="706">
        <f t="shared" si="12"/>
        <v>100</v>
      </c>
      <c r="X39" s="1355"/>
      <c r="Y39" s="382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25"/>
      <c r="Q40" s="1352">
        <f t="shared" si="14"/>
        <v>111</v>
      </c>
      <c r="R40" s="708" t="s">
        <v>14</v>
      </c>
      <c r="S40" s="709">
        <f t="shared" si="10"/>
        <v>100</v>
      </c>
      <c r="T40" s="708" t="s">
        <v>14</v>
      </c>
      <c r="U40" s="709">
        <f t="shared" si="11"/>
        <v>100</v>
      </c>
      <c r="V40" s="708" t="s">
        <v>14</v>
      </c>
      <c r="W40" s="709">
        <f t="shared" si="12"/>
        <v>100</v>
      </c>
      <c r="X40" s="710"/>
      <c r="Y40" s="382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813" t="str">
        <f>A41</f>
        <v>成交单价</v>
      </c>
      <c r="Q41" s="3813"/>
      <c r="R41" s="3827">
        <f>E41</f>
        <v>0</v>
      </c>
      <c r="S41" s="3827"/>
      <c r="T41" s="3827">
        <f>G41</f>
        <v>0</v>
      </c>
      <c r="U41" s="3827"/>
      <c r="V41" s="3827">
        <f>I41</f>
        <v>0</v>
      </c>
      <c r="W41" s="382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13" t="str">
        <f>A42</f>
        <v>比较价值（元/平方米）</v>
      </c>
      <c r="Q42" s="3813"/>
      <c r="R42" s="3908" t="e">
        <f>ROUND(PRODUCT(R41,AA7:AA40),0)</f>
        <v>#DIV/0!</v>
      </c>
      <c r="S42" s="3908"/>
      <c r="T42" s="3908" t="e">
        <f>ROUND(PRODUCT(T41,AB7:AB40),0)</f>
        <v>#DIV/0!</v>
      </c>
      <c r="U42" s="3908"/>
      <c r="V42" s="3908" t="e">
        <f>ROUND(PRODUCT(V41,AC7:AC40),0)</f>
        <v>#DIV/0!</v>
      </c>
      <c r="W42" s="390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815" t="str">
        <f>A43</f>
        <v>估价对象XX用房的比较价值（楼面单价，元/平方米）</v>
      </c>
      <c r="Q43" s="3816"/>
      <c r="R43" s="3909" t="e">
        <f>ROUND(IF(D42="简单平均",AVERAGE(R42:W42),R42*F42+T42*H42+V42*J42),0)</f>
        <v>#DIV/0!</v>
      </c>
      <c r="S43" s="3909"/>
      <c r="T43" s="3909"/>
      <c r="U43" s="3909"/>
      <c r="V43" s="3909"/>
      <c r="W43" s="390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841" t="s">
        <v>1887</v>
      </c>
      <c r="H50" s="391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2414.4300000000003</v>
      </c>
      <c r="F51" s="639" t="e">
        <f t="shared" ref="F51:F60" si="15">ROUND(B51*E51/10000,0)</f>
        <v>#DIV/0!</v>
      </c>
      <c r="G51" s="3830"/>
      <c r="H51" s="381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18" t="s">
        <v>2084</v>
      </c>
      <c r="D1" s="3919"/>
      <c r="E1" s="3919"/>
      <c r="F1" s="3919"/>
      <c r="G1" s="3919"/>
      <c r="H1" s="3919"/>
      <c r="I1" s="3919"/>
      <c r="J1" s="3919"/>
      <c r="K1" s="3919"/>
      <c r="L1" s="3919"/>
      <c r="M1" s="3919"/>
      <c r="N1" s="3919"/>
      <c r="O1" s="3919"/>
      <c r="P1" s="3919"/>
      <c r="Q1" s="3919"/>
      <c r="R1" s="3919"/>
      <c r="S1" s="392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15" t="s">
        <v>27</v>
      </c>
      <c r="D22" s="3916"/>
      <c r="E22" s="3916"/>
      <c r="F22" s="3916"/>
      <c r="G22" s="3916"/>
      <c r="H22" s="3916"/>
      <c r="I22" s="3916"/>
      <c r="J22" s="3916"/>
      <c r="K22" s="3916"/>
      <c r="L22" s="3916"/>
      <c r="M22" s="3916"/>
      <c r="N22" s="3916"/>
      <c r="O22" s="3916"/>
      <c r="P22" s="3916"/>
      <c r="Q22" s="391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V19" sqref="V1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v>1</v>
      </c>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928"/>
      <c r="B4" s="3929"/>
      <c r="C4" s="3929"/>
      <c r="D4" s="3930"/>
      <c r="E4" s="3930"/>
      <c r="F4" s="3930"/>
      <c r="G4" s="3930"/>
      <c r="H4" s="3930"/>
      <c r="I4" s="3930"/>
      <c r="J4" s="393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25" t="s">
        <v>1960</v>
      </c>
      <c r="X8" s="392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27"/>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2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932" t="s">
        <v>3258</v>
      </c>
      <c r="B20" s="167" t="s">
        <v>1994</v>
      </c>
      <c r="C20" s="3325" t="e">
        <f>ROUND(IF(F21="与级别开发程度一致",0,(G21-E21)/C21),0)</f>
        <v>#DIV/0!</v>
      </c>
      <c r="D20" s="3341" t="s">
        <v>1998</v>
      </c>
      <c r="E20" s="3342"/>
      <c r="F20" s="3938" t="s">
        <v>1995</v>
      </c>
      <c r="G20" s="393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93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45478</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3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3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937"/>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34" t="s">
        <v>3298</v>
      </c>
      <c r="B103" s="3934"/>
      <c r="C103" s="3934"/>
      <c r="D103" s="3934"/>
      <c r="E103" s="3934"/>
      <c r="F103" s="3934"/>
      <c r="G103" s="3934"/>
      <c r="H103" s="3934"/>
      <c r="I103" s="3934"/>
      <c r="J103" s="3934"/>
      <c r="K103" s="3390"/>
      <c r="L103" s="3390"/>
      <c r="M103" s="3390"/>
      <c r="N103" s="3390"/>
    </row>
    <row r="104" spans="1:14">
      <c r="A104" s="3935" t="s">
        <v>3299</v>
      </c>
      <c r="B104" s="3935" t="s">
        <v>3300</v>
      </c>
      <c r="C104" s="3391" t="s">
        <v>3301</v>
      </c>
      <c r="D104" s="3392"/>
      <c r="E104" s="3392"/>
      <c r="F104" s="3392"/>
      <c r="G104" s="3392"/>
      <c r="H104" s="3392"/>
      <c r="I104" s="3392"/>
      <c r="J104" s="3393"/>
      <c r="K104" s="3394"/>
      <c r="L104" s="3394"/>
      <c r="M104" s="3394"/>
      <c r="N104" s="3394"/>
    </row>
    <row r="105" spans="1:14">
      <c r="A105" s="3935"/>
      <c r="B105" s="3935"/>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921"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2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2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2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2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22"/>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2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24" t="s">
        <v>3315</v>
      </c>
      <c r="B113" s="3924"/>
      <c r="C113" s="3924"/>
      <c r="D113" s="3924"/>
      <c r="E113" s="3924"/>
      <c r="F113" s="3924"/>
      <c r="G113" s="3924"/>
      <c r="H113" s="3924"/>
      <c r="I113" s="3924"/>
      <c r="J113" s="392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947" t="s">
        <v>2611</v>
      </c>
      <c r="B20" s="3940" t="s">
        <v>2632</v>
      </c>
      <c r="C20" s="3103" t="s">
        <v>2443</v>
      </c>
      <c r="D20" s="3104"/>
      <c r="E20" s="3105">
        <v>1</v>
      </c>
      <c r="F20" s="3106" t="s">
        <v>2444</v>
      </c>
      <c r="G20" s="3106"/>
    </row>
    <row r="21" spans="1:13" ht="19.5" customHeight="1">
      <c r="A21" s="3948"/>
      <c r="B21" s="3941"/>
      <c r="C21" s="3107" t="s">
        <v>2445</v>
      </c>
      <c r="D21" s="3108"/>
      <c r="E21" s="3109">
        <v>1</v>
      </c>
      <c r="F21" s="3106" t="s">
        <v>2446</v>
      </c>
      <c r="G21" s="3106"/>
    </row>
    <row r="22" spans="1:13" ht="19.5" customHeight="1">
      <c r="A22" s="3948"/>
      <c r="B22" s="3941"/>
      <c r="C22" s="3107" t="s">
        <v>2447</v>
      </c>
      <c r="D22" s="3108"/>
      <c r="E22" s="3109">
        <v>0.9</v>
      </c>
      <c r="F22" s="3106" t="s">
        <v>2448</v>
      </c>
      <c r="G22" s="3106"/>
    </row>
    <row r="23" spans="1:13" ht="19.5" customHeight="1">
      <c r="A23" s="3948"/>
      <c r="B23" s="3941"/>
      <c r="C23" s="3107" t="s">
        <v>2449</v>
      </c>
      <c r="D23" s="3108"/>
      <c r="E23" s="3109">
        <v>0.9</v>
      </c>
      <c r="F23" s="3106" t="s">
        <v>2450</v>
      </c>
      <c r="G23" s="3106"/>
    </row>
    <row r="24" spans="1:13" ht="19.5" customHeight="1">
      <c r="A24" s="3948"/>
      <c r="B24" s="3941"/>
      <c r="C24" s="3107" t="s">
        <v>2451</v>
      </c>
      <c r="D24" s="3108"/>
      <c r="E24" s="3109">
        <v>0.8</v>
      </c>
      <c r="F24" s="3106" t="s">
        <v>2452</v>
      </c>
      <c r="G24" s="3106"/>
    </row>
    <row r="25" spans="1:13" ht="19.5" customHeight="1" thickBot="1">
      <c r="A25" s="3949"/>
      <c r="B25" s="394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943" t="s">
        <v>2635</v>
      </c>
      <c r="B27" s="3940" t="s">
        <v>2616</v>
      </c>
      <c r="C27" s="3103" t="s">
        <v>2456</v>
      </c>
      <c r="D27" s="3104"/>
      <c r="E27" s="3105">
        <v>1</v>
      </c>
      <c r="F27" s="3106" t="s">
        <v>2457</v>
      </c>
      <c r="G27" s="3106"/>
    </row>
    <row r="28" spans="1:13" ht="19.5" customHeight="1">
      <c r="A28" s="3944"/>
      <c r="B28" s="3941"/>
      <c r="C28" s="3107" t="s">
        <v>2458</v>
      </c>
      <c r="D28" s="3108"/>
      <c r="E28" s="3109">
        <v>1</v>
      </c>
      <c r="F28" s="3106" t="s">
        <v>2459</v>
      </c>
      <c r="G28" s="3106"/>
    </row>
    <row r="29" spans="1:13" ht="19.5" customHeight="1">
      <c r="A29" s="3944"/>
      <c r="B29" s="3941"/>
      <c r="C29" s="3107" t="s">
        <v>2460</v>
      </c>
      <c r="D29" s="3108"/>
      <c r="E29" s="3109">
        <v>0.8</v>
      </c>
      <c r="F29" s="3106" t="s">
        <v>2461</v>
      </c>
      <c r="G29" s="3106"/>
    </row>
    <row r="30" spans="1:13" ht="19.5" customHeight="1">
      <c r="A30" s="3944"/>
      <c r="B30" s="3941"/>
      <c r="C30" s="3107" t="s">
        <v>2462</v>
      </c>
      <c r="D30" s="3108"/>
      <c r="E30" s="3109">
        <v>0.8</v>
      </c>
      <c r="F30" s="3106" t="s">
        <v>2463</v>
      </c>
      <c r="G30" s="3106"/>
    </row>
    <row r="31" spans="1:13" ht="19.5" customHeight="1">
      <c r="A31" s="3944"/>
      <c r="B31" s="3941"/>
      <c r="C31" s="3107" t="s">
        <v>2464</v>
      </c>
      <c r="D31" s="3108"/>
      <c r="E31" s="3109">
        <v>0.8</v>
      </c>
      <c r="F31" s="3106" t="s">
        <v>2465</v>
      </c>
      <c r="G31" s="3106"/>
    </row>
    <row r="32" spans="1:13" ht="19.5" customHeight="1">
      <c r="A32" s="3944"/>
      <c r="B32" s="3941"/>
      <c r="C32" s="3107" t="s">
        <v>2466</v>
      </c>
      <c r="D32" s="3108"/>
      <c r="E32" s="3109">
        <v>0.7</v>
      </c>
      <c r="F32" s="3106" t="s">
        <v>2467</v>
      </c>
      <c r="G32" s="3106"/>
    </row>
    <row r="33" spans="1:7" ht="19.5" customHeight="1">
      <c r="A33" s="3944"/>
      <c r="B33" s="3941"/>
      <c r="C33" s="3107" t="s">
        <v>2468</v>
      </c>
      <c r="D33" s="3108"/>
      <c r="E33" s="3109">
        <v>0.8</v>
      </c>
      <c r="F33" s="3106" t="s">
        <v>2469</v>
      </c>
      <c r="G33" s="3106"/>
    </row>
    <row r="34" spans="1:7" ht="19.5" customHeight="1">
      <c r="A34" s="3944"/>
      <c r="B34" s="3941"/>
      <c r="C34" s="3107" t="s">
        <v>2470</v>
      </c>
      <c r="D34" s="3108"/>
      <c r="E34" s="3109">
        <v>0.6</v>
      </c>
      <c r="F34" s="3106" t="s">
        <v>2471</v>
      </c>
      <c r="G34" s="3106"/>
    </row>
    <row r="35" spans="1:7" ht="19.5" customHeight="1">
      <c r="A35" s="3944"/>
      <c r="B35" s="3941"/>
      <c r="C35" s="3107" t="s">
        <v>2472</v>
      </c>
      <c r="D35" s="3108"/>
      <c r="E35" s="3109">
        <v>0.2</v>
      </c>
      <c r="F35" s="3106" t="s">
        <v>2473</v>
      </c>
      <c r="G35" s="3106"/>
    </row>
    <row r="36" spans="1:7" ht="19.5" customHeight="1">
      <c r="A36" s="3944"/>
      <c r="B36" s="3941"/>
      <c r="C36" s="3107" t="s">
        <v>2474</v>
      </c>
      <c r="D36" s="3108"/>
      <c r="E36" s="3109">
        <v>0.2</v>
      </c>
      <c r="F36" s="3106" t="s">
        <v>2475</v>
      </c>
      <c r="G36" s="3106"/>
    </row>
    <row r="37" spans="1:7" ht="19.5" customHeight="1">
      <c r="A37" s="3944"/>
      <c r="B37" s="3946" t="s">
        <v>2636</v>
      </c>
      <c r="C37" s="3107" t="s">
        <v>2476</v>
      </c>
      <c r="D37" s="3108"/>
      <c r="E37" s="3109">
        <v>0.6</v>
      </c>
      <c r="F37" s="3106" t="s">
        <v>2477</v>
      </c>
      <c r="G37" s="3106"/>
    </row>
    <row r="38" spans="1:7" ht="19.5" customHeight="1">
      <c r="A38" s="3944"/>
      <c r="B38" s="3941"/>
      <c r="C38" s="3107" t="s">
        <v>2478</v>
      </c>
      <c r="D38" s="3108"/>
      <c r="E38" s="3109">
        <v>0.6</v>
      </c>
      <c r="F38" s="3106" t="s">
        <v>2479</v>
      </c>
      <c r="G38" s="3106"/>
    </row>
    <row r="39" spans="1:7" ht="19.5" customHeight="1" thickBot="1">
      <c r="A39" s="3945"/>
      <c r="B39" s="394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947" t="s">
        <v>2614</v>
      </c>
      <c r="B41" s="3940" t="s">
        <v>2638</v>
      </c>
      <c r="C41" s="3103" t="s">
        <v>2483</v>
      </c>
      <c r="D41" s="3104"/>
      <c r="E41" s="3105">
        <v>1</v>
      </c>
      <c r="F41" s="3106" t="s">
        <v>2484</v>
      </c>
      <c r="G41" s="3106"/>
    </row>
    <row r="42" spans="1:7" ht="19.5" customHeight="1">
      <c r="A42" s="3948"/>
      <c r="B42" s="3941"/>
      <c r="C42" s="3107" t="s">
        <v>2485</v>
      </c>
      <c r="D42" s="3108"/>
      <c r="E42" s="3109">
        <v>1</v>
      </c>
      <c r="F42" s="3106" t="s">
        <v>2486</v>
      </c>
      <c r="G42" s="3106"/>
    </row>
    <row r="43" spans="1:7" ht="19.5" customHeight="1">
      <c r="A43" s="3948"/>
      <c r="B43" s="3950"/>
      <c r="C43" s="3107" t="s">
        <v>2487</v>
      </c>
      <c r="D43" s="3108"/>
      <c r="E43" s="3109">
        <v>1.5</v>
      </c>
      <c r="F43" s="3106" t="s">
        <v>2488</v>
      </c>
      <c r="G43" s="3106"/>
    </row>
    <row r="44" spans="1:7" ht="19.5" customHeight="1">
      <c r="A44" s="3948"/>
      <c r="B44" s="3118" t="s">
        <v>2639</v>
      </c>
      <c r="C44" s="3107" t="s">
        <v>2640</v>
      </c>
      <c r="D44" s="3108"/>
      <c r="E44" s="3109">
        <v>2</v>
      </c>
      <c r="F44" s="3106" t="s">
        <v>2489</v>
      </c>
      <c r="G44" s="3106"/>
    </row>
    <row r="45" spans="1:7" ht="19.5" customHeight="1">
      <c r="A45" s="3948"/>
      <c r="B45" s="3946" t="s">
        <v>2641</v>
      </c>
      <c r="C45" s="3107" t="s">
        <v>2490</v>
      </c>
      <c r="D45" s="3108"/>
      <c r="E45" s="3109">
        <v>1</v>
      </c>
      <c r="F45" s="3106" t="s">
        <v>2491</v>
      </c>
      <c r="G45" s="3106"/>
    </row>
    <row r="46" spans="1:7" ht="19.5" customHeight="1">
      <c r="A46" s="3948"/>
      <c r="B46" s="3941"/>
      <c r="C46" s="3107" t="s">
        <v>2492</v>
      </c>
      <c r="D46" s="3108"/>
      <c r="E46" s="3109">
        <v>1</v>
      </c>
      <c r="F46" s="3106" t="s">
        <v>2493</v>
      </c>
      <c r="G46" s="3106"/>
    </row>
    <row r="47" spans="1:7" ht="19.5" customHeight="1">
      <c r="A47" s="3948"/>
      <c r="B47" s="3941"/>
      <c r="C47" s="3107" t="s">
        <v>2494</v>
      </c>
      <c r="D47" s="3108"/>
      <c r="E47" s="3109">
        <v>1</v>
      </c>
      <c r="F47" s="3106" t="s">
        <v>2495</v>
      </c>
      <c r="G47" s="3106"/>
    </row>
    <row r="48" spans="1:7" ht="19.5" customHeight="1">
      <c r="A48" s="3948"/>
      <c r="B48" s="3941"/>
      <c r="C48" s="3107" t="s">
        <v>2496</v>
      </c>
      <c r="D48" s="3108"/>
      <c r="E48" s="3109">
        <v>1</v>
      </c>
      <c r="F48" s="3106" t="s">
        <v>2497</v>
      </c>
      <c r="G48" s="3106"/>
    </row>
    <row r="49" spans="1:7" ht="19.5" customHeight="1">
      <c r="A49" s="3948"/>
      <c r="B49" s="3941"/>
      <c r="C49" s="3107" t="s">
        <v>2498</v>
      </c>
      <c r="D49" s="3108"/>
      <c r="E49" s="3109">
        <v>1</v>
      </c>
      <c r="F49" s="3106" t="s">
        <v>2499</v>
      </c>
      <c r="G49" s="3106"/>
    </row>
    <row r="50" spans="1:7" ht="19.5" customHeight="1">
      <c r="A50" s="3948"/>
      <c r="B50" s="3941"/>
      <c r="C50" s="3107" t="s">
        <v>2500</v>
      </c>
      <c r="D50" s="3108"/>
      <c r="E50" s="3109">
        <v>1</v>
      </c>
      <c r="F50" s="3106" t="s">
        <v>2501</v>
      </c>
      <c r="G50" s="3106"/>
    </row>
    <row r="51" spans="1:7" ht="19.5" customHeight="1" thickBot="1">
      <c r="A51" s="3949"/>
      <c r="B51" s="394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946" t="s">
        <v>2655</v>
      </c>
      <c r="C73" s="3092" t="s">
        <v>2656</v>
      </c>
      <c r="D73" s="3092" t="s">
        <v>2657</v>
      </c>
      <c r="E73" s="3118">
        <v>0.2</v>
      </c>
      <c r="F73" s="3118">
        <v>25</v>
      </c>
    </row>
    <row r="74" spans="1:7" ht="24">
      <c r="A74" s="3118">
        <v>2</v>
      </c>
      <c r="B74" s="3941"/>
      <c r="C74" s="3092" t="s">
        <v>2658</v>
      </c>
      <c r="D74" s="3092" t="s">
        <v>2659</v>
      </c>
      <c r="E74" s="3118">
        <v>0.2</v>
      </c>
      <c r="F74" s="3118">
        <v>25</v>
      </c>
    </row>
    <row r="75" spans="1:7" ht="24">
      <c r="A75" s="3118">
        <v>3</v>
      </c>
      <c r="B75" s="3941"/>
      <c r="C75" s="3092" t="s">
        <v>2660</v>
      </c>
      <c r="D75" s="3092" t="s">
        <v>2661</v>
      </c>
      <c r="E75" s="3118">
        <v>0.2</v>
      </c>
      <c r="F75" s="3118">
        <v>25</v>
      </c>
    </row>
    <row r="76" spans="1:7" ht="13.5">
      <c r="A76" s="3118">
        <v>4</v>
      </c>
      <c r="B76" s="3941"/>
      <c r="C76" s="3092" t="s">
        <v>2662</v>
      </c>
      <c r="D76" s="3092" t="s">
        <v>2663</v>
      </c>
      <c r="E76" s="3118">
        <v>0.15</v>
      </c>
      <c r="F76" s="3118">
        <v>20</v>
      </c>
    </row>
    <row r="77" spans="1:7" ht="24">
      <c r="A77" s="3118">
        <v>5</v>
      </c>
      <c r="B77" s="3941"/>
      <c r="C77" s="3092" t="s">
        <v>2664</v>
      </c>
      <c r="D77" s="3092" t="s">
        <v>2665</v>
      </c>
      <c r="E77" s="3118">
        <v>0.15</v>
      </c>
      <c r="F77" s="3118">
        <v>20</v>
      </c>
    </row>
    <row r="78" spans="1:7" ht="24">
      <c r="A78" s="3118">
        <v>6</v>
      </c>
      <c r="B78" s="3941"/>
      <c r="C78" s="3092" t="s">
        <v>2666</v>
      </c>
      <c r="D78" s="3092" t="s">
        <v>2667</v>
      </c>
      <c r="E78" s="3118">
        <v>0.15</v>
      </c>
      <c r="F78" s="3118">
        <v>20</v>
      </c>
    </row>
    <row r="79" spans="1:7" ht="24">
      <c r="A79" s="3118">
        <v>7</v>
      </c>
      <c r="B79" s="3941"/>
      <c r="C79" s="3092" t="s">
        <v>2668</v>
      </c>
      <c r="D79" s="3092" t="s">
        <v>2669</v>
      </c>
      <c r="E79" s="3118">
        <v>0.15</v>
      </c>
      <c r="F79" s="3118">
        <v>20</v>
      </c>
    </row>
    <row r="80" spans="1:7" ht="24">
      <c r="A80" s="3118">
        <v>8</v>
      </c>
      <c r="B80" s="3941"/>
      <c r="C80" s="3092" t="s">
        <v>2670</v>
      </c>
      <c r="D80" s="3092" t="s">
        <v>2671</v>
      </c>
      <c r="E80" s="3118">
        <v>0.1</v>
      </c>
      <c r="F80" s="3118">
        <v>15</v>
      </c>
    </row>
    <row r="81" spans="1:6" ht="24">
      <c r="A81" s="3118">
        <v>9</v>
      </c>
      <c r="B81" s="3941"/>
      <c r="C81" s="3092" t="s">
        <v>2672</v>
      </c>
      <c r="D81" s="3092" t="s">
        <v>2673</v>
      </c>
      <c r="E81" s="3118">
        <v>0.1</v>
      </c>
      <c r="F81" s="3118">
        <v>15</v>
      </c>
    </row>
    <row r="82" spans="1:6" ht="24">
      <c r="A82" s="3118">
        <v>10</v>
      </c>
      <c r="B82" s="3941"/>
      <c r="C82" s="3092" t="s">
        <v>2674</v>
      </c>
      <c r="D82" s="3092" t="s">
        <v>2675</v>
      </c>
      <c r="E82" s="3118">
        <v>0.1</v>
      </c>
      <c r="F82" s="3118">
        <v>15</v>
      </c>
    </row>
    <row r="83" spans="1:6" ht="24">
      <c r="A83" s="3118">
        <v>11</v>
      </c>
      <c r="B83" s="3941"/>
      <c r="C83" s="3092" t="s">
        <v>2676</v>
      </c>
      <c r="D83" s="3092" t="s">
        <v>2677</v>
      </c>
      <c r="E83" s="3118">
        <v>0.1</v>
      </c>
      <c r="F83" s="3118">
        <v>15</v>
      </c>
    </row>
    <row r="84" spans="1:6" ht="24">
      <c r="A84" s="3118">
        <v>12</v>
      </c>
      <c r="B84" s="3941"/>
      <c r="C84" s="3092" t="s">
        <v>2678</v>
      </c>
      <c r="D84" s="3092" t="s">
        <v>2679</v>
      </c>
      <c r="E84" s="3118">
        <v>0.1</v>
      </c>
      <c r="F84" s="3118">
        <v>15</v>
      </c>
    </row>
    <row r="85" spans="1:6" ht="13.5">
      <c r="A85" s="3118">
        <v>13</v>
      </c>
      <c r="B85" s="3941"/>
      <c r="C85" s="3092" t="s">
        <v>2680</v>
      </c>
      <c r="D85" s="3092" t="s">
        <v>2681</v>
      </c>
      <c r="E85" s="3118">
        <v>0.1</v>
      </c>
      <c r="F85" s="3118">
        <v>15</v>
      </c>
    </row>
    <row r="86" spans="1:6" ht="13.5">
      <c r="A86" s="3118">
        <v>14</v>
      </c>
      <c r="B86" s="3941"/>
      <c r="C86" s="3092" t="s">
        <v>2682</v>
      </c>
      <c r="D86" s="3092" t="s">
        <v>2683</v>
      </c>
      <c r="E86" s="3118">
        <v>0.1</v>
      </c>
      <c r="F86" s="3118">
        <v>15</v>
      </c>
    </row>
    <row r="87" spans="1:6" ht="13.5">
      <c r="A87" s="3118">
        <v>15</v>
      </c>
      <c r="B87" s="3941"/>
      <c r="C87" s="3092" t="s">
        <v>2684</v>
      </c>
      <c r="D87" s="3092" t="s">
        <v>2685</v>
      </c>
      <c r="E87" s="3118">
        <v>0.1</v>
      </c>
      <c r="F87" s="3118">
        <v>15</v>
      </c>
    </row>
    <row r="88" spans="1:6" ht="24">
      <c r="A88" s="3118">
        <v>16</v>
      </c>
      <c r="B88" s="3941"/>
      <c r="C88" s="3092" t="s">
        <v>2686</v>
      </c>
      <c r="D88" s="3092" t="s">
        <v>2687</v>
      </c>
      <c r="E88" s="3118">
        <v>0.1</v>
      </c>
      <c r="F88" s="3118">
        <v>15</v>
      </c>
    </row>
    <row r="89" spans="1:6" ht="24">
      <c r="A89" s="3118">
        <v>17</v>
      </c>
      <c r="B89" s="3950"/>
      <c r="C89" s="3092" t="s">
        <v>2688</v>
      </c>
      <c r="D89" s="3092" t="s">
        <v>2689</v>
      </c>
      <c r="E89" s="3118">
        <v>0.1</v>
      </c>
      <c r="F89" s="3118">
        <v>15</v>
      </c>
    </row>
    <row r="90" spans="1:6" ht="13.5">
      <c r="A90" s="3118">
        <v>18</v>
      </c>
      <c r="B90" s="3946" t="s">
        <v>2690</v>
      </c>
      <c r="C90" s="3092" t="s">
        <v>2691</v>
      </c>
      <c r="D90" s="3092" t="s">
        <v>2692</v>
      </c>
      <c r="E90" s="3118">
        <v>0.2</v>
      </c>
      <c r="F90" s="3118">
        <v>25</v>
      </c>
    </row>
    <row r="91" spans="1:6" ht="24">
      <c r="A91" s="3118">
        <v>19</v>
      </c>
      <c r="B91" s="3941"/>
      <c r="C91" s="3092" t="s">
        <v>2693</v>
      </c>
      <c r="D91" s="3092" t="s">
        <v>2694</v>
      </c>
      <c r="E91" s="3118">
        <v>0.2</v>
      </c>
      <c r="F91" s="3118">
        <v>25</v>
      </c>
    </row>
    <row r="92" spans="1:6" ht="13.5">
      <c r="A92" s="3118">
        <v>20</v>
      </c>
      <c r="B92" s="3941"/>
      <c r="C92" s="3092" t="s">
        <v>2695</v>
      </c>
      <c r="D92" s="3092" t="s">
        <v>2696</v>
      </c>
      <c r="E92" s="3118">
        <v>0.15</v>
      </c>
      <c r="F92" s="3118">
        <v>20</v>
      </c>
    </row>
    <row r="93" spans="1:6" ht="13.5">
      <c r="A93" s="3118">
        <v>21</v>
      </c>
      <c r="B93" s="3941"/>
      <c r="C93" s="3092" t="s">
        <v>2697</v>
      </c>
      <c r="D93" s="3092" t="s">
        <v>2698</v>
      </c>
      <c r="E93" s="3118">
        <v>0.15</v>
      </c>
      <c r="F93" s="3118">
        <v>20</v>
      </c>
    </row>
    <row r="94" spans="1:6" ht="13.5">
      <c r="A94" s="3118">
        <v>22</v>
      </c>
      <c r="B94" s="3941"/>
      <c r="C94" s="3092" t="s">
        <v>2699</v>
      </c>
      <c r="D94" s="3092" t="s">
        <v>2700</v>
      </c>
      <c r="E94" s="3118">
        <v>0.15</v>
      </c>
      <c r="F94" s="3118">
        <v>20</v>
      </c>
    </row>
    <row r="95" spans="1:6" ht="36">
      <c r="A95" s="3118">
        <v>23</v>
      </c>
      <c r="B95" s="3941"/>
      <c r="C95" s="3092" t="s">
        <v>2701</v>
      </c>
      <c r="D95" s="3092" t="s">
        <v>2702</v>
      </c>
      <c r="E95" s="3118">
        <v>0.15</v>
      </c>
      <c r="F95" s="3118">
        <v>20</v>
      </c>
    </row>
    <row r="96" spans="1:6" ht="13.5">
      <c r="A96" s="3118">
        <v>24</v>
      </c>
      <c r="B96" s="3941"/>
      <c r="C96" s="3092" t="s">
        <v>2703</v>
      </c>
      <c r="D96" s="3092" t="s">
        <v>2704</v>
      </c>
      <c r="E96" s="3118">
        <v>0.1</v>
      </c>
      <c r="F96" s="3118">
        <v>15</v>
      </c>
    </row>
    <row r="97" spans="1:6" ht="13.5">
      <c r="A97" s="3118">
        <v>25</v>
      </c>
      <c r="B97" s="3941"/>
      <c r="C97" s="3092" t="s">
        <v>2705</v>
      </c>
      <c r="D97" s="3092" t="s">
        <v>2706</v>
      </c>
      <c r="E97" s="3118">
        <v>0.1</v>
      </c>
      <c r="F97" s="3118">
        <v>15</v>
      </c>
    </row>
    <row r="98" spans="1:6" ht="24">
      <c r="A98" s="3118">
        <v>26</v>
      </c>
      <c r="B98" s="3941"/>
      <c r="C98" s="3092" t="s">
        <v>2707</v>
      </c>
      <c r="D98" s="3092" t="s">
        <v>2708</v>
      </c>
      <c r="E98" s="3118">
        <v>0.1</v>
      </c>
      <c r="F98" s="3118">
        <v>15</v>
      </c>
    </row>
    <row r="99" spans="1:6" ht="24">
      <c r="A99" s="3118">
        <v>27</v>
      </c>
      <c r="B99" s="3941"/>
      <c r="C99" s="3092" t="s">
        <v>2709</v>
      </c>
      <c r="D99" s="3092" t="s">
        <v>2710</v>
      </c>
      <c r="E99" s="3118">
        <v>0.1</v>
      </c>
      <c r="F99" s="3118">
        <v>15</v>
      </c>
    </row>
    <row r="100" spans="1:6" ht="13.5">
      <c r="A100" s="3118">
        <v>28</v>
      </c>
      <c r="B100" s="3941"/>
      <c r="C100" s="3092" t="s">
        <v>2711</v>
      </c>
      <c r="D100" s="3092" t="s">
        <v>2712</v>
      </c>
      <c r="E100" s="3118">
        <v>0.1</v>
      </c>
      <c r="F100" s="3118">
        <v>15</v>
      </c>
    </row>
    <row r="101" spans="1:6" ht="13.5">
      <c r="A101" s="3118">
        <v>29</v>
      </c>
      <c r="B101" s="3941"/>
      <c r="C101" s="3092" t="s">
        <v>2713</v>
      </c>
      <c r="D101" s="3092" t="s">
        <v>2714</v>
      </c>
      <c r="E101" s="3118">
        <v>0.1</v>
      </c>
      <c r="F101" s="3118">
        <v>15</v>
      </c>
    </row>
    <row r="102" spans="1:6" ht="13.5">
      <c r="A102" s="3118">
        <v>30</v>
      </c>
      <c r="B102" s="3941"/>
      <c r="C102" s="3092" t="s">
        <v>2715</v>
      </c>
      <c r="D102" s="3092" t="s">
        <v>2716</v>
      </c>
      <c r="E102" s="3118">
        <v>0.1</v>
      </c>
      <c r="F102" s="3118">
        <v>15</v>
      </c>
    </row>
    <row r="103" spans="1:6" ht="24">
      <c r="A103" s="3118">
        <v>31</v>
      </c>
      <c r="B103" s="3941"/>
      <c r="C103" s="3092" t="s">
        <v>2717</v>
      </c>
      <c r="D103" s="3092" t="s">
        <v>2718</v>
      </c>
      <c r="E103" s="3118">
        <v>0.1</v>
      </c>
      <c r="F103" s="3118">
        <v>15</v>
      </c>
    </row>
    <row r="104" spans="1:6" ht="24">
      <c r="A104" s="3118">
        <v>32</v>
      </c>
      <c r="B104" s="3941"/>
      <c r="C104" s="3092" t="s">
        <v>2719</v>
      </c>
      <c r="D104" s="3092" t="s">
        <v>2720</v>
      </c>
      <c r="E104" s="3118">
        <v>0.1</v>
      </c>
      <c r="F104" s="3118">
        <v>15</v>
      </c>
    </row>
    <row r="105" spans="1:6" ht="24">
      <c r="A105" s="3118">
        <v>33</v>
      </c>
      <c r="B105" s="3941"/>
      <c r="C105" s="3092" t="s">
        <v>2721</v>
      </c>
      <c r="D105" s="3092" t="s">
        <v>2722</v>
      </c>
      <c r="E105" s="3118">
        <v>0.1</v>
      </c>
      <c r="F105" s="3118">
        <v>15</v>
      </c>
    </row>
    <row r="106" spans="1:6" ht="24">
      <c r="A106" s="3118">
        <v>34</v>
      </c>
      <c r="B106" s="3950"/>
      <c r="C106" s="3092" t="s">
        <v>2723</v>
      </c>
      <c r="D106" s="3092" t="s">
        <v>2724</v>
      </c>
      <c r="E106" s="3118">
        <v>0.1</v>
      </c>
      <c r="F106" s="3118">
        <v>15</v>
      </c>
    </row>
    <row r="107" spans="1:6" ht="24">
      <c r="A107" s="3118">
        <v>35</v>
      </c>
      <c r="B107" s="3946" t="s">
        <v>2725</v>
      </c>
      <c r="C107" s="3118" t="s">
        <v>2726</v>
      </c>
      <c r="D107" s="3092" t="s">
        <v>2727</v>
      </c>
      <c r="E107" s="3118">
        <v>0.15</v>
      </c>
      <c r="F107" s="3118">
        <v>20</v>
      </c>
    </row>
    <row r="108" spans="1:6" ht="13.5">
      <c r="A108" s="3118">
        <v>36</v>
      </c>
      <c r="B108" s="3941"/>
      <c r="C108" s="3118" t="s">
        <v>2728</v>
      </c>
      <c r="D108" s="3092" t="s">
        <v>2729</v>
      </c>
      <c r="E108" s="3118">
        <v>0.15</v>
      </c>
      <c r="F108" s="3118">
        <v>20</v>
      </c>
    </row>
    <row r="109" spans="1:6" ht="13.5">
      <c r="A109" s="3118">
        <v>37</v>
      </c>
      <c r="B109" s="3941"/>
      <c r="C109" s="3118" t="s">
        <v>2730</v>
      </c>
      <c r="D109" s="3092" t="s">
        <v>2731</v>
      </c>
      <c r="E109" s="3118">
        <v>0.15</v>
      </c>
      <c r="F109" s="3118">
        <v>20</v>
      </c>
    </row>
    <row r="110" spans="1:6" ht="13.5">
      <c r="A110" s="3118">
        <v>38</v>
      </c>
      <c r="B110" s="3941"/>
      <c r="C110" s="3118" t="s">
        <v>2732</v>
      </c>
      <c r="D110" s="3092" t="s">
        <v>2733</v>
      </c>
      <c r="E110" s="3118">
        <v>0.1</v>
      </c>
      <c r="F110" s="3118">
        <v>15</v>
      </c>
    </row>
    <row r="111" spans="1:6" ht="24">
      <c r="A111" s="3118">
        <v>39</v>
      </c>
      <c r="B111" s="3941"/>
      <c r="C111" s="3118" t="s">
        <v>2734</v>
      </c>
      <c r="D111" s="3092" t="s">
        <v>2735</v>
      </c>
      <c r="E111" s="3118">
        <v>0.1</v>
      </c>
      <c r="F111" s="3118">
        <v>15</v>
      </c>
    </row>
    <row r="112" spans="1:6" ht="24">
      <c r="A112" s="3118">
        <v>40</v>
      </c>
      <c r="B112" s="3950"/>
      <c r="C112" s="3118" t="s">
        <v>2736</v>
      </c>
      <c r="D112" s="3092" t="s">
        <v>2737</v>
      </c>
      <c r="E112" s="3118">
        <v>0.1</v>
      </c>
      <c r="F112" s="3118">
        <v>15</v>
      </c>
    </row>
    <row r="113" spans="1:6" ht="13.5">
      <c r="A113" s="3118">
        <v>41</v>
      </c>
      <c r="B113" s="3951" t="s">
        <v>2738</v>
      </c>
      <c r="C113" s="3118" t="s">
        <v>2739</v>
      </c>
      <c r="D113" s="3092" t="s">
        <v>2740</v>
      </c>
      <c r="E113" s="3118">
        <v>0.1</v>
      </c>
      <c r="F113" s="3118">
        <v>15</v>
      </c>
    </row>
    <row r="114" spans="1:6" ht="13.5">
      <c r="A114" s="3118">
        <v>42</v>
      </c>
      <c r="B114" s="3951"/>
      <c r="C114" s="3118" t="s">
        <v>2741</v>
      </c>
      <c r="D114" s="3092" t="s">
        <v>2742</v>
      </c>
      <c r="E114" s="3118">
        <v>0.1</v>
      </c>
      <c r="F114" s="3118">
        <v>15</v>
      </c>
    </row>
    <row r="115" spans="1:6" ht="24">
      <c r="A115" s="3118">
        <v>43</v>
      </c>
      <c r="B115" s="3951"/>
      <c r="C115" s="3118" t="s">
        <v>2743</v>
      </c>
      <c r="D115" s="3092" t="s">
        <v>2744</v>
      </c>
      <c r="E115" s="3118">
        <v>0.1</v>
      </c>
      <c r="F115" s="3118">
        <v>15</v>
      </c>
    </row>
    <row r="116" spans="1:6" ht="13.5">
      <c r="A116" s="3118">
        <v>44</v>
      </c>
      <c r="B116" s="3946" t="s">
        <v>2745</v>
      </c>
      <c r="C116" s="3118" t="s">
        <v>2746</v>
      </c>
      <c r="D116" s="3092" t="s">
        <v>2747</v>
      </c>
      <c r="E116" s="3118">
        <v>0.1</v>
      </c>
      <c r="F116" s="3118">
        <v>15</v>
      </c>
    </row>
    <row r="117" spans="1:6" ht="24">
      <c r="A117" s="3118">
        <v>45</v>
      </c>
      <c r="B117" s="3950"/>
      <c r="C117" s="3092" t="s">
        <v>2748</v>
      </c>
      <c r="D117" s="3092" t="s">
        <v>2749</v>
      </c>
      <c r="E117" s="3118">
        <v>0.1</v>
      </c>
      <c r="F117" s="3118">
        <v>15</v>
      </c>
    </row>
    <row r="118" spans="1:6" ht="24">
      <c r="A118" s="3118">
        <v>46</v>
      </c>
      <c r="B118" s="3946" t="s">
        <v>2750</v>
      </c>
      <c r="C118" s="3118" t="s">
        <v>2751</v>
      </c>
      <c r="D118" s="3092" t="s">
        <v>2752</v>
      </c>
      <c r="E118" s="3118">
        <v>0.1</v>
      </c>
      <c r="F118" s="3118">
        <v>15</v>
      </c>
    </row>
    <row r="119" spans="1:6" ht="24">
      <c r="A119" s="3118">
        <v>47</v>
      </c>
      <c r="B119" s="3950"/>
      <c r="C119" s="3118" t="s">
        <v>2753</v>
      </c>
      <c r="D119" s="3092" t="s">
        <v>2754</v>
      </c>
      <c r="E119" s="3118">
        <v>0.1</v>
      </c>
      <c r="F119" s="3118">
        <v>15</v>
      </c>
    </row>
    <row r="120" spans="1:6" ht="13.5">
      <c r="A120" s="3118">
        <v>48</v>
      </c>
      <c r="B120" s="3946" t="s">
        <v>2755</v>
      </c>
      <c r="C120" s="3118" t="s">
        <v>2756</v>
      </c>
      <c r="D120" s="3092" t="s">
        <v>2757</v>
      </c>
      <c r="E120" s="3118">
        <v>0.1</v>
      </c>
      <c r="F120" s="3118">
        <v>15</v>
      </c>
    </row>
    <row r="121" spans="1:6" ht="13.5">
      <c r="A121" s="3118">
        <v>49</v>
      </c>
      <c r="B121" s="3950"/>
      <c r="C121" s="3118" t="s">
        <v>2758</v>
      </c>
      <c r="D121" s="3092" t="s">
        <v>2759</v>
      </c>
      <c r="E121" s="3118">
        <v>0.1</v>
      </c>
      <c r="F121" s="3118">
        <v>15</v>
      </c>
    </row>
    <row r="122" spans="1:6" ht="24">
      <c r="A122" s="3118">
        <v>50</v>
      </c>
      <c r="B122" s="3951" t="s">
        <v>2760</v>
      </c>
      <c r="C122" s="3118" t="s">
        <v>2761</v>
      </c>
      <c r="D122" s="3092" t="s">
        <v>2762</v>
      </c>
      <c r="E122" s="3118">
        <v>0.1</v>
      </c>
      <c r="F122" s="3118">
        <v>15</v>
      </c>
    </row>
    <row r="123" spans="1:6" ht="24">
      <c r="A123" s="3118">
        <v>51</v>
      </c>
      <c r="B123" s="3951"/>
      <c r="C123" s="3118" t="s">
        <v>2763</v>
      </c>
      <c r="D123" s="3092" t="s">
        <v>2764</v>
      </c>
      <c r="E123" s="3118">
        <v>0.1</v>
      </c>
      <c r="F123" s="3118">
        <v>15</v>
      </c>
    </row>
    <row r="124" spans="1:6" ht="24">
      <c r="A124" s="3118">
        <v>52</v>
      </c>
      <c r="B124" s="3951" t="s">
        <v>2765</v>
      </c>
      <c r="C124" s="3118" t="s">
        <v>2766</v>
      </c>
      <c r="D124" s="3092" t="s">
        <v>2767</v>
      </c>
      <c r="E124" s="3118">
        <v>0.1</v>
      </c>
      <c r="F124" s="3118">
        <v>15</v>
      </c>
    </row>
    <row r="125" spans="1:6" ht="24">
      <c r="A125" s="3118">
        <v>53</v>
      </c>
      <c r="B125" s="395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951" t="s">
        <v>2773</v>
      </c>
      <c r="C127" s="3118" t="s">
        <v>2774</v>
      </c>
      <c r="D127" s="3092" t="s">
        <v>2775</v>
      </c>
      <c r="E127" s="3118">
        <v>0.1</v>
      </c>
      <c r="F127" s="3118">
        <v>15</v>
      </c>
    </row>
    <row r="128" spans="1:6" ht="13.5">
      <c r="A128" s="3118">
        <v>56</v>
      </c>
      <c r="B128" s="3951"/>
      <c r="C128" s="3118" t="s">
        <v>2776</v>
      </c>
      <c r="D128" s="3092" t="s">
        <v>2777</v>
      </c>
      <c r="E128" s="3118">
        <v>0.1</v>
      </c>
      <c r="F128" s="3118">
        <v>15</v>
      </c>
    </row>
    <row r="129" spans="1:6" ht="24">
      <c r="A129" s="3118">
        <v>57</v>
      </c>
      <c r="B129" s="3951"/>
      <c r="C129" s="3118" t="s">
        <v>2778</v>
      </c>
      <c r="D129" s="3092" t="s">
        <v>2779</v>
      </c>
      <c r="E129" s="3118">
        <v>0.1</v>
      </c>
      <c r="F129" s="3118">
        <v>15</v>
      </c>
    </row>
    <row r="130" spans="1:6" ht="24">
      <c r="A130" s="3118">
        <v>58</v>
      </c>
      <c r="B130" s="3951" t="s">
        <v>2780</v>
      </c>
      <c r="C130" s="3118" t="s">
        <v>2781</v>
      </c>
      <c r="D130" s="3092" t="s">
        <v>2782</v>
      </c>
      <c r="E130" s="3118">
        <v>0.1</v>
      </c>
      <c r="F130" s="3118">
        <v>15</v>
      </c>
    </row>
    <row r="131" spans="1:6" ht="13.5">
      <c r="A131" s="3118">
        <v>59</v>
      </c>
      <c r="B131" s="3951"/>
      <c r="C131" s="3118" t="s">
        <v>2783</v>
      </c>
      <c r="D131" s="3092" t="s">
        <v>2784</v>
      </c>
      <c r="E131" s="3118">
        <v>0.1</v>
      </c>
      <c r="F131" s="3118">
        <v>15</v>
      </c>
    </row>
    <row r="132" spans="1:6" ht="13.5">
      <c r="A132" s="3118">
        <v>60</v>
      </c>
      <c r="B132" s="3946" t="s">
        <v>2785</v>
      </c>
      <c r="C132" s="3118" t="s">
        <v>2786</v>
      </c>
      <c r="D132" s="3092" t="s">
        <v>2787</v>
      </c>
      <c r="E132" s="3118">
        <v>0.1</v>
      </c>
      <c r="F132" s="3118">
        <v>15</v>
      </c>
    </row>
    <row r="133" spans="1:6" ht="13.5">
      <c r="A133" s="3118">
        <v>61</v>
      </c>
      <c r="B133" s="395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951" t="s">
        <v>2793</v>
      </c>
      <c r="C135" s="3118" t="s">
        <v>2794</v>
      </c>
      <c r="D135" s="3092" t="s">
        <v>2795</v>
      </c>
      <c r="E135" s="3118">
        <v>0.1</v>
      </c>
      <c r="F135" s="3118">
        <v>15</v>
      </c>
    </row>
    <row r="136" spans="1:6" ht="13.5">
      <c r="A136" s="3118">
        <v>64</v>
      </c>
      <c r="B136" s="395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31532</v>
      </c>
      <c r="C2" s="2" t="s">
        <v>106</v>
      </c>
      <c r="D2" s="199"/>
      <c r="E2" s="199"/>
      <c r="F2" s="199"/>
      <c r="G2" s="199"/>
    </row>
    <row r="3" spans="1:7" s="200" customFormat="1" ht="18" customHeight="1" thickBot="1">
      <c r="A3" s="203" t="s">
        <v>58</v>
      </c>
      <c r="B3" s="204">
        <f ca="1">ROUND(B2*10000/'数据-汇总表'!E3,0)</f>
        <v>130598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48</v>
      </c>
      <c r="D10" s="845">
        <f>'数据-汇总表'!E6</f>
        <v>2414.4300000000003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2414.4300000000003</v>
      </c>
      <c r="E19" s="211">
        <f>'数据-取费表'!B31</f>
        <v>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5676</v>
      </c>
      <c r="D27" s="235">
        <f>C29</f>
        <v>5.4000000000000003E-3</v>
      </c>
      <c r="E27" s="236" t="s">
        <v>99</v>
      </c>
      <c r="F27" s="246">
        <f>'数据-取费表'!Q16</f>
        <v>0.27</v>
      </c>
      <c r="G27" s="247" t="s">
        <v>431</v>
      </c>
    </row>
    <row r="28" spans="1:7" s="214" customFormat="1" ht="13.5" customHeight="1">
      <c r="A28" s="780" t="s">
        <v>349</v>
      </c>
      <c r="B28" s="248" t="s">
        <v>424</v>
      </c>
      <c r="C28" s="249">
        <f>ROUND((C5+C19+C20)*F27*'数据-取费表'!B21/'数据-取费表'!B20,0)</f>
        <v>5676</v>
      </c>
      <c r="D28" s="235"/>
      <c r="E28" s="236"/>
      <c r="F28" s="246"/>
      <c r="G28" s="247"/>
    </row>
    <row r="29" spans="1:7" s="214" customFormat="1" ht="13.5" customHeight="1">
      <c r="A29" s="780" t="s">
        <v>347</v>
      </c>
      <c r="B29" s="248" t="s">
        <v>425</v>
      </c>
      <c r="C29" s="238">
        <f>ROUND(C21*F27*'数据-取费表'!B21/'数据-取费表'!B20,4)</f>
        <v>5.4000000000000003E-3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845</v>
      </c>
      <c r="D34" s="217"/>
      <c r="E34" s="220"/>
      <c r="F34" s="257">
        <f>IF('数据-取费表'!B24=0,1,'数据-取费表'!N16)</f>
        <v>1</v>
      </c>
      <c r="G34" s="219" t="s">
        <v>89</v>
      </c>
    </row>
    <row r="35" spans="1:7" ht="13.5" customHeight="1">
      <c r="A35" s="780" t="s">
        <v>351</v>
      </c>
      <c r="B35" s="215" t="s">
        <v>33</v>
      </c>
      <c r="C35" s="220">
        <f>ROUND(C34*F35,0)</f>
        <v>25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35</v>
      </c>
    </row>
    <row r="37" spans="1:7" s="258" customFormat="1" ht="13.5" customHeight="1">
      <c r="A37" s="780" t="s">
        <v>353</v>
      </c>
      <c r="B37" s="215" t="s">
        <v>91</v>
      </c>
      <c r="C37" s="249">
        <f>ROUND(E37*D37*F34/10000,0)</f>
        <v>48</v>
      </c>
      <c r="D37" s="217">
        <f>'数据-汇总表'!E3</f>
        <v>2414.4300000000003</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19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32</v>
      </c>
      <c r="D42" s="238"/>
      <c r="E42" s="238"/>
      <c r="F42" s="239"/>
      <c r="G42" s="3860" t="s">
        <v>94</v>
      </c>
    </row>
    <row r="43" spans="1:7" ht="13.5" customHeight="1">
      <c r="A43" s="780" t="s">
        <v>347</v>
      </c>
      <c r="B43" s="215" t="s">
        <v>426</v>
      </c>
      <c r="C43" s="238">
        <f ca="1">ROUND(IF('数据-取费表'!B22&lt;=1,C39*F22*'数据-取费表'!B21/2,C39*(POWER((1+F22),'数据-取费表'!B21/2)-1)),0)</f>
        <v>1</v>
      </c>
      <c r="D43" s="238"/>
      <c r="E43" s="238"/>
      <c r="F43" s="239"/>
      <c r="G43" s="3861"/>
    </row>
    <row r="44" spans="1:7" ht="13.5" customHeight="1">
      <c r="A44" s="780" t="s">
        <v>348</v>
      </c>
      <c r="B44" s="215" t="s">
        <v>428</v>
      </c>
      <c r="C44" s="238">
        <f ca="1">ROUND(IF('数据-取费表'!B22&lt;=1,C40*F22*'数据-取费表'!B21/2,C40*(POWER((1+F22),'数据-取费表'!B21/2)-1)),4)</f>
        <v>6.9999999999999999E-4</v>
      </c>
      <c r="D44" s="238"/>
      <c r="E44" s="238"/>
      <c r="F44" s="239"/>
      <c r="G44" s="3862"/>
    </row>
    <row r="45" spans="1:7" s="214" customFormat="1" ht="13.5" customHeight="1">
      <c r="A45" s="777" t="s">
        <v>341</v>
      </c>
      <c r="B45" s="244" t="s">
        <v>85</v>
      </c>
      <c r="C45" s="245">
        <f>C46</f>
        <v>257</v>
      </c>
      <c r="D45" s="235">
        <f>C47</f>
        <v>5.4000000000000003E-3</v>
      </c>
      <c r="E45" s="236" t="s">
        <v>102</v>
      </c>
      <c r="F45" s="246"/>
      <c r="G45" s="247" t="s">
        <v>434</v>
      </c>
    </row>
    <row r="46" spans="1:7" s="214" customFormat="1" ht="13.5" customHeight="1">
      <c r="A46" s="780" t="s">
        <v>349</v>
      </c>
      <c r="B46" s="248" t="s">
        <v>427</v>
      </c>
      <c r="C46" s="249">
        <f>ROUND((C33+C39)*F27,0)</f>
        <v>257</v>
      </c>
      <c r="D46" s="263"/>
      <c r="E46" s="236"/>
      <c r="F46" s="246"/>
      <c r="G46" s="247"/>
    </row>
    <row r="47" spans="1:7" s="214" customFormat="1" ht="13.5" customHeight="1">
      <c r="A47" s="780" t="s">
        <v>347</v>
      </c>
      <c r="B47" s="248" t="s">
        <v>429</v>
      </c>
      <c r="C47" s="238">
        <f>ROUND(C40*F27,4)</f>
        <v>5.4000000000000003E-3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1347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943</v>
      </c>
      <c r="D51" s="232"/>
      <c r="E51" s="232"/>
      <c r="F51" s="264"/>
      <c r="G51" s="234" t="s">
        <v>37</v>
      </c>
    </row>
    <row r="52" spans="1:7" s="208" customFormat="1" ht="16.5" thickBot="1">
      <c r="A52" s="265" t="s">
        <v>38</v>
      </c>
      <c r="B52" s="266"/>
      <c r="C52" s="267">
        <f ca="1">C31+C51</f>
        <v>31532</v>
      </c>
      <c r="D52" s="266"/>
      <c r="E52" s="266"/>
      <c r="F52" s="266"/>
      <c r="G52" s="268"/>
    </row>
    <row r="55" spans="1:7" ht="15">
      <c r="B55" s="270" t="s">
        <v>39</v>
      </c>
      <c r="C55" s="271"/>
    </row>
    <row r="56" spans="1:7">
      <c r="B56" s="273" t="s">
        <v>40</v>
      </c>
      <c r="C56" s="274">
        <f ca="1">ROUND(C51/C52,3)</f>
        <v>0.03</v>
      </c>
    </row>
    <row r="57" spans="1:7">
      <c r="B57" s="273" t="s">
        <v>41</v>
      </c>
      <c r="C57" s="275">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89" t="str">
        <f>IF(项目基本情况!B9="房地产市场价值","估价结果一览表","结果表-2")</f>
        <v>结果表-2</v>
      </c>
      <c r="B1" s="3589"/>
      <c r="C1" s="3589"/>
      <c r="D1" s="3589"/>
      <c r="E1" s="3589"/>
      <c r="F1" s="3589"/>
      <c r="G1" s="3589"/>
      <c r="H1" s="3589"/>
      <c r="I1" s="3589"/>
    </row>
    <row r="2" spans="1:9" ht="30" customHeight="1" thickTop="1">
      <c r="A2" s="3590" t="s">
        <v>928</v>
      </c>
      <c r="B2" s="3590" t="s">
        <v>929</v>
      </c>
      <c r="C2" s="3590" t="s">
        <v>930</v>
      </c>
      <c r="D2" s="3590" t="str">
        <f>结果表!D116</f>
        <v>出让国有建设用地使用权价值</v>
      </c>
      <c r="E2" s="3590"/>
      <c r="F2" s="3590" t="str">
        <f>结果表!F116</f>
        <v>在建建筑物价值</v>
      </c>
      <c r="G2" s="3590"/>
      <c r="H2" s="3590" t="str">
        <f>IF(项目基本情况!B9="房地产市场价值","房地产市场价值","房地产价值")</f>
        <v>房地产价值</v>
      </c>
      <c r="I2" s="3590"/>
    </row>
    <row r="3" spans="1:9" ht="15">
      <c r="A3" s="3591"/>
      <c r="B3" s="3591"/>
      <c r="C3" s="3591"/>
      <c r="D3" s="854" t="s">
        <v>925</v>
      </c>
      <c r="E3" s="854" t="s">
        <v>931</v>
      </c>
      <c r="F3" s="854" t="s">
        <v>925</v>
      </c>
      <c r="G3" s="854" t="s">
        <v>926</v>
      </c>
      <c r="H3" s="854" t="s">
        <v>925</v>
      </c>
      <c r="I3" s="854" t="s">
        <v>926</v>
      </c>
    </row>
    <row r="4" spans="1:9" ht="15">
      <c r="A4" s="1505" t="str">
        <f>项目基本情况!S2</f>
        <v>房地产</v>
      </c>
      <c r="B4" s="854">
        <f>项目基本情况!C17</f>
        <v>2414.4300000000003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91" t="s">
        <v>927</v>
      </c>
      <c r="B5" s="3591"/>
      <c r="C5" s="3591"/>
      <c r="D5" s="3591" t="e">
        <f ca="1">结果表!D119</f>
        <v>#REF!</v>
      </c>
      <c r="E5" s="3591"/>
      <c r="F5" s="3591" t="e">
        <f ca="1">结果表!F119</f>
        <v>#REF!</v>
      </c>
      <c r="G5" s="3591"/>
      <c r="H5" s="3591" t="e">
        <f ca="1">结果表!H119</f>
        <v>#REF!</v>
      </c>
      <c r="I5" s="3591"/>
    </row>
    <row r="6" spans="1:9" ht="15.75">
      <c r="A6" s="3592" t="str">
        <f>结果表!A120</f>
        <v>估价师知悉的法定优先受偿款</v>
      </c>
      <c r="B6" s="3592"/>
      <c r="C6" s="3592"/>
      <c r="D6" s="3592">
        <f>结果表!D120</f>
        <v>0</v>
      </c>
      <c r="E6" s="3592"/>
      <c r="F6" s="3592"/>
      <c r="G6" s="3592"/>
      <c r="H6" s="3592"/>
      <c r="I6" s="3592"/>
    </row>
    <row r="7" spans="1:9" ht="15">
      <c r="A7" s="3591" t="s">
        <v>927</v>
      </c>
      <c r="B7" s="3591"/>
      <c r="C7" s="3591"/>
      <c r="D7" s="3593" t="str">
        <f>结果表!D121</f>
        <v>零元整</v>
      </c>
      <c r="E7" s="3594"/>
      <c r="F7" s="3594"/>
      <c r="G7" s="3594"/>
      <c r="H7" s="3594"/>
      <c r="I7" s="3595"/>
    </row>
    <row r="8" spans="1:9" ht="15.75">
      <c r="A8" s="3592" t="str">
        <f>结果表!A122</f>
        <v>房地产抵押价值</v>
      </c>
      <c r="B8" s="3592"/>
      <c r="C8" s="3592"/>
      <c r="D8" s="3592" t="e">
        <f ca="1">结果表!D122</f>
        <v>#REF!</v>
      </c>
      <c r="E8" s="3592"/>
      <c r="F8" s="3592"/>
      <c r="G8" s="3592"/>
      <c r="H8" s="3592"/>
      <c r="I8" s="3592"/>
    </row>
    <row r="9" spans="1:9" ht="15">
      <c r="A9" s="3591" t="s">
        <v>927</v>
      </c>
      <c r="B9" s="3591"/>
      <c r="C9" s="3591"/>
      <c r="D9" s="3591" t="e">
        <f ca="1">结果表!D123</f>
        <v>#REF!</v>
      </c>
      <c r="E9" s="3591"/>
      <c r="F9" s="3591"/>
      <c r="G9" s="3591"/>
      <c r="H9" s="3591"/>
      <c r="I9" s="3591"/>
    </row>
    <row r="10" spans="1:9" ht="15.75">
      <c r="A10" s="3592" t="str">
        <f>结果表!A124</f>
        <v/>
      </c>
      <c r="B10" s="3592"/>
      <c r="C10" s="3592"/>
      <c r="D10" s="3592" t="str">
        <f>结果表!D124</f>
        <v>——</v>
      </c>
      <c r="E10" s="3592"/>
      <c r="F10" s="3592"/>
      <c r="G10" s="3592"/>
      <c r="H10" s="3592"/>
      <c r="I10" s="3592"/>
    </row>
    <row r="11" spans="1:9" ht="15">
      <c r="A11" s="3591" t="s">
        <v>927</v>
      </c>
      <c r="B11" s="3591"/>
      <c r="C11" s="3591"/>
      <c r="D11" s="3591" t="e">
        <f>结果表!D125</f>
        <v>#VALUE!</v>
      </c>
      <c r="E11" s="3591"/>
      <c r="F11" s="3591"/>
      <c r="G11" s="3591"/>
      <c r="H11" s="3591"/>
      <c r="I11" s="3591"/>
    </row>
    <row r="12" spans="1:9" ht="15.75">
      <c r="A12" s="3592" t="str">
        <f>结果表!A126</f>
        <v/>
      </c>
      <c r="B12" s="3592"/>
      <c r="C12" s="3592"/>
      <c r="D12" s="3592" t="str">
        <f>结果表!D126</f>
        <v>——</v>
      </c>
      <c r="E12" s="3592"/>
      <c r="F12" s="3592"/>
      <c r="G12" s="3592"/>
      <c r="H12" s="3592"/>
      <c r="I12" s="3592"/>
    </row>
    <row r="13" spans="1:9" ht="15.75" thickBot="1">
      <c r="A13" s="3596" t="s">
        <v>927</v>
      </c>
      <c r="B13" s="3596"/>
      <c r="C13" s="3596"/>
      <c r="D13" s="3596" t="e">
        <f>结果表!D127</f>
        <v>#VALUE!</v>
      </c>
      <c r="E13" s="3596"/>
      <c r="F13" s="3596"/>
      <c r="G13" s="3596"/>
      <c r="H13" s="3596"/>
      <c r="I13" s="3596"/>
    </row>
    <row r="14" spans="1:9" ht="15" thickTop="1">
      <c r="A14" s="3597" t="s">
        <v>932</v>
      </c>
      <c r="B14" s="3597"/>
      <c r="C14" s="3597"/>
      <c r="D14" s="3597"/>
      <c r="E14" s="3597"/>
      <c r="F14" s="3597"/>
      <c r="G14" s="3597"/>
      <c r="H14" s="3597"/>
      <c r="I14" s="35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954" t="s">
        <v>2843</v>
      </c>
      <c r="B1" s="3954"/>
      <c r="C1" s="3954"/>
      <c r="D1" s="3954"/>
      <c r="E1" s="3954"/>
      <c r="F1" s="3954"/>
      <c r="G1" s="395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95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95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956" t="s">
        <v>3185</v>
      </c>
      <c r="B1" s="395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957" t="s">
        <v>3236</v>
      </c>
      <c r="B1" s="3957"/>
      <c r="C1" s="3957"/>
      <c r="D1" s="3957"/>
      <c r="E1" s="3957"/>
      <c r="F1" s="395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21">
        <f>基准地价修正!G23</f>
        <v>45478</v>
      </c>
      <c r="B1" s="3210" t="s">
        <v>3375</v>
      </c>
      <c r="C1" s="3211"/>
      <c r="D1" s="3211"/>
      <c r="E1" s="3211"/>
      <c r="F1" s="3211"/>
      <c r="G1" s="3211"/>
      <c r="H1" s="3211"/>
      <c r="I1" s="3211"/>
      <c r="J1" s="3165"/>
      <c r="K1" s="3211" t="s">
        <v>454</v>
      </c>
      <c r="L1" s="3211"/>
      <c r="M1" s="3211"/>
      <c r="N1" s="3211"/>
      <c r="O1" s="3211"/>
      <c r="P1" s="3211"/>
      <c r="Q1" s="3165"/>
      <c r="R1" s="3959" t="s">
        <v>456</v>
      </c>
      <c r="S1" s="3960"/>
      <c r="T1" s="3960"/>
      <c r="U1" s="3960"/>
      <c r="V1" s="3960"/>
      <c r="W1" s="3960"/>
      <c r="X1" s="3165"/>
      <c r="Y1" s="3959" t="s">
        <v>457</v>
      </c>
      <c r="Z1" s="3960"/>
      <c r="AA1" s="3960"/>
      <c r="AB1" s="3960"/>
      <c r="AC1" s="3960"/>
      <c r="AD1" s="396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3383</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3380</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3381</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3379</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3370</v>
      </c>
    </row>
    <row r="22" spans="1:30" s="3009" customFormat="1">
      <c r="I22" s="3208" t="s">
        <v>2829</v>
      </c>
    </row>
    <row r="23" spans="1:30" s="3009" customFormat="1"/>
    <row r="24" spans="1:30" s="3209" customFormat="1" ht="12.75">
      <c r="B24" s="3210" t="s">
        <v>3376</v>
      </c>
      <c r="C24" s="3211"/>
      <c r="D24" s="3211"/>
      <c r="E24" s="3211"/>
      <c r="F24" s="3211"/>
      <c r="G24" s="3211"/>
      <c r="H24" s="3211"/>
      <c r="I24" s="3211"/>
      <c r="J24" s="3165"/>
      <c r="K24" s="3211" t="s">
        <v>2830</v>
      </c>
      <c r="L24" s="3211"/>
      <c r="M24" s="3211"/>
      <c r="N24" s="3211"/>
      <c r="O24" s="3211"/>
      <c r="P24" s="3211"/>
      <c r="Q24" s="3165"/>
      <c r="R24" s="3959" t="s">
        <v>2831</v>
      </c>
      <c r="S24" s="3960"/>
      <c r="T24" s="3960"/>
      <c r="U24" s="3960"/>
      <c r="V24" s="3960"/>
      <c r="W24" s="3960"/>
      <c r="X24" s="3165"/>
      <c r="Y24" s="3959" t="s">
        <v>2832</v>
      </c>
      <c r="Z24" s="3960"/>
      <c r="AA24" s="3960"/>
      <c r="AB24" s="3960"/>
      <c r="AC24" s="3960"/>
      <c r="AD24" s="3960"/>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3383</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3380</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3382</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3379</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66" t="s">
        <v>452</v>
      </c>
      <c r="C1" s="3966"/>
      <c r="D1" s="3966"/>
      <c r="E1" s="3966"/>
      <c r="F1" s="3966"/>
      <c r="G1" s="3962" t="s">
        <v>453</v>
      </c>
      <c r="H1" s="3962"/>
      <c r="I1" s="3962"/>
      <c r="J1" s="3962"/>
      <c r="K1" s="3962"/>
      <c r="L1" s="3962"/>
      <c r="N1" s="3962" t="s">
        <v>454</v>
      </c>
      <c r="O1" s="3962"/>
      <c r="P1" s="3962"/>
      <c r="Q1" s="3962"/>
      <c r="S1" s="3962" t="s">
        <v>455</v>
      </c>
      <c r="T1" s="3962"/>
      <c r="U1" s="3962"/>
      <c r="V1" s="3962"/>
      <c r="X1" s="3961" t="s">
        <v>456</v>
      </c>
      <c r="Y1" s="3962"/>
      <c r="Z1" s="3962"/>
      <c r="AA1" s="3962"/>
      <c r="AB1" s="3962"/>
      <c r="AD1" s="3961" t="s">
        <v>457</v>
      </c>
      <c r="AE1" s="3962"/>
      <c r="AF1" s="3962"/>
      <c r="AG1" s="3962"/>
      <c r="AH1" s="396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6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6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6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7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6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6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6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7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6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6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6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6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6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6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6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6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6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6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6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6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6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6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6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7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6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6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6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6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6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6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6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6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6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6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6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6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6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6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6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6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6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6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6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6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6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6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6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6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6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6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6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6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6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6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6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6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6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6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6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6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6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6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6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6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6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6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6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6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45478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98" t="s">
        <v>949</v>
      </c>
      <c r="B1" s="3598"/>
      <c r="C1" s="3598"/>
      <c r="D1" s="3598"/>
    </row>
    <row r="2" spans="1:4" ht="18">
      <c r="A2" s="3599" t="s">
        <v>933</v>
      </c>
      <c r="B2" s="3599"/>
      <c r="C2" s="3599"/>
      <c r="D2" s="359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99" t="s">
        <v>939</v>
      </c>
      <c r="B6" s="3599"/>
      <c r="C6" s="3599"/>
      <c r="D6" s="359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00" t="s">
        <v>942</v>
      </c>
      <c r="B11" s="3601"/>
      <c r="C11" s="3601"/>
      <c r="D11" s="3601"/>
    </row>
    <row r="12" spans="1:4" ht="15.75">
      <c r="A12" s="36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2"/>
      <c r="C12" s="3602"/>
      <c r="D12" s="3602"/>
    </row>
    <row r="13" spans="1:4" ht="30" customHeight="1">
      <c r="A13" s="3601" t="str">
        <f>IF(项目基本情况!B8="抵押","3.抵押双方在办理抵押登记手续时，应使用本公司出具的正式《房地产评估报告》，特提醒报告使用者注意。","——")</f>
        <v>——</v>
      </c>
      <c r="B13" s="3602"/>
      <c r="C13" s="3602"/>
      <c r="D13" s="3602"/>
    </row>
    <row r="14" spans="1:4" ht="15.75" customHeight="1">
      <c r="A14" s="3601" t="str">
        <f>IF(项目基本情况!B8="抵押","4.本次评估估价师所知悉的法定优先受偿款情况说明如下：","——")</f>
        <v>——</v>
      </c>
      <c r="B14" s="3602"/>
      <c r="C14" s="3602"/>
      <c r="D14" s="3602"/>
    </row>
    <row r="15" spans="1:4" ht="42" customHeight="1">
      <c r="A15" s="3601" t="str">
        <f>IF(项目基本情况!B8="抵押","（1）"&amp;CONCATENATE(项目基本情况!L20,项目基本情况!L21,项目基本情况!L22),"——")</f>
        <v>——</v>
      </c>
      <c r="B15" s="3601"/>
      <c r="C15" s="3601"/>
      <c r="D15" s="3601"/>
    </row>
    <row r="16" spans="1:4" ht="30" customHeight="1">
      <c r="A16" s="3604" t="s">
        <v>943</v>
      </c>
      <c r="B16" s="3604"/>
      <c r="C16" s="3604"/>
      <c r="D16" s="3604"/>
    </row>
    <row r="17" spans="1:4" ht="144" customHeight="1">
      <c r="A17" s="3604" t="s">
        <v>944</v>
      </c>
      <c r="B17" s="3604"/>
      <c r="C17" s="3604"/>
      <c r="D17" s="3604"/>
    </row>
    <row r="18" spans="1:4" ht="15.75" customHeight="1">
      <c r="A18" s="3601" t="str">
        <f>IF(项目基本情况!B8="抵押",结果表!K120,"——")</f>
        <v>——</v>
      </c>
      <c r="B18" s="3601"/>
      <c r="C18" s="3601"/>
      <c r="D18" s="3601"/>
    </row>
    <row r="19" spans="1:4" ht="46.5" customHeight="1">
      <c r="A19" s="36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1"/>
      <c r="C19" s="3601"/>
      <c r="D19" s="3601"/>
    </row>
    <row r="20" spans="1:4" ht="57.75" customHeight="1">
      <c r="A20" s="36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1"/>
      <c r="C20" s="3601"/>
      <c r="D20" s="3601"/>
    </row>
    <row r="21" spans="1:4" ht="57.75" customHeight="1">
      <c r="A21" s="36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5"/>
      <c r="C21" s="3605"/>
      <c r="D21" s="3605"/>
    </row>
    <row r="22" spans="1:4" ht="18.75" customHeight="1">
      <c r="A22" s="3606" t="s">
        <v>945</v>
      </c>
      <c r="B22" s="3606"/>
      <c r="C22" s="3606"/>
      <c r="D22" s="36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03">
        <v>42551</v>
      </c>
      <c r="D31" s="36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12" t="s">
        <v>956</v>
      </c>
      <c r="B15" s="3607" t="s">
        <v>109</v>
      </c>
      <c r="C15" s="3608"/>
    </row>
    <row r="16" spans="1:7" ht="13.5">
      <c r="A16" s="3613"/>
      <c r="B16" s="3607" t="s">
        <v>42</v>
      </c>
      <c r="C16" s="3608"/>
    </row>
    <row r="17" spans="1:3" ht="13.5">
      <c r="A17" s="3613"/>
      <c r="B17" s="3610" t="s">
        <v>957</v>
      </c>
      <c r="C17" s="1532" t="s">
        <v>956</v>
      </c>
    </row>
    <row r="18" spans="1:3" ht="13.5">
      <c r="A18" s="3613"/>
      <c r="B18" s="3610"/>
      <c r="C18" s="1532" t="s">
        <v>958</v>
      </c>
    </row>
    <row r="19" spans="1:3" ht="13.5">
      <c r="A19" s="3613"/>
      <c r="B19" s="3610"/>
      <c r="C19" s="1532" t="s">
        <v>959</v>
      </c>
    </row>
    <row r="20" spans="1:3" ht="13.5">
      <c r="A20" s="3614"/>
      <c r="B20" s="3609" t="s">
        <v>960</v>
      </c>
      <c r="C20" s="3608"/>
    </row>
    <row r="21" spans="1:3" ht="13.5">
      <c r="A21" s="1533" t="s">
        <v>961</v>
      </c>
      <c r="B21" s="1534"/>
      <c r="C21" s="1535"/>
    </row>
    <row r="22" spans="1:3" ht="13.5">
      <c r="A22" s="3611" t="s">
        <v>962</v>
      </c>
      <c r="B22" s="3609" t="s">
        <v>963</v>
      </c>
      <c r="C22" s="3608"/>
    </row>
    <row r="23" spans="1:3" ht="13.5">
      <c r="A23" s="3611"/>
      <c r="B23" s="3609" t="s">
        <v>964</v>
      </c>
      <c r="C23" s="3608"/>
    </row>
    <row r="24" spans="1:3" ht="13.5">
      <c r="A24" s="3611"/>
      <c r="B24" s="3609" t="s">
        <v>965</v>
      </c>
      <c r="C24" s="3608"/>
    </row>
    <row r="25" spans="1:3" ht="13.5">
      <c r="A25" s="3611"/>
      <c r="B25" s="3610" t="s">
        <v>966</v>
      </c>
      <c r="C25" s="1532" t="s">
        <v>967</v>
      </c>
    </row>
    <row r="26" spans="1:3" ht="13.5">
      <c r="A26" s="3611"/>
      <c r="B26" s="3610"/>
      <c r="C26" s="1532" t="s">
        <v>968</v>
      </c>
    </row>
    <row r="27" spans="1:3" ht="13.5">
      <c r="A27" s="3611"/>
      <c r="B27" s="3610"/>
      <c r="C27" s="1532" t="s">
        <v>969</v>
      </c>
    </row>
    <row r="28" spans="1:3" ht="13.5">
      <c r="A28" s="3611"/>
      <c r="B28" s="3610"/>
      <c r="C28" s="1532" t="s">
        <v>970</v>
      </c>
    </row>
    <row r="29" spans="1:3" ht="13.5">
      <c r="A29" s="3611"/>
      <c r="B29" s="3610"/>
      <c r="C29" s="1532" t="s">
        <v>971</v>
      </c>
    </row>
    <row r="30" spans="1:3" ht="13.5">
      <c r="A30" s="3611"/>
      <c r="B30" s="3610"/>
      <c r="C30" s="1532" t="s">
        <v>972</v>
      </c>
    </row>
    <row r="31" spans="1:3" ht="13.5">
      <c r="A31" s="3611"/>
      <c r="B31" s="3610"/>
      <c r="C31" s="1532" t="s">
        <v>973</v>
      </c>
    </row>
    <row r="32" spans="1:3" ht="13.5">
      <c r="A32" s="3611"/>
      <c r="B32" s="3610"/>
      <c r="C32" s="1532" t="s">
        <v>974</v>
      </c>
    </row>
    <row r="33" spans="1:3" ht="13.5">
      <c r="A33" s="3611"/>
      <c r="B33" s="36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15" t="s">
        <v>2160</v>
      </c>
      <c r="B17" s="3615"/>
      <c r="C17" s="3615"/>
      <c r="D17" s="3615"/>
      <c r="E17" s="3615"/>
      <c r="F17" s="3615"/>
      <c r="G17" s="3615"/>
      <c r="H17" s="3615"/>
    </row>
    <row r="18" spans="1:8" ht="24" customHeight="1">
      <c r="A18" s="3616" t="s">
        <v>2161</v>
      </c>
      <c r="B18" s="3616"/>
      <c r="C18" s="3616"/>
      <c r="D18" s="2343"/>
      <c r="E18" s="3617" t="s">
        <v>2162</v>
      </c>
      <c r="F18" s="3616"/>
      <c r="G18" s="36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71" priority="53">
      <formula>AND($C4-TODAY()&lt;30,TODAY()&lt;$C4)</formula>
    </cfRule>
  </conditionalFormatting>
  <conditionalFormatting sqref="C20:D20">
    <cfRule type="expression" dxfId="270" priority="52">
      <formula>AND($C20-TODAY()&lt;30,TODAY()&lt;$C20)</formula>
    </cfRule>
  </conditionalFormatting>
  <conditionalFormatting sqref="C20:D20 G4 C4:D5 C13:D13">
    <cfRule type="cellIs" dxfId="269" priority="54" stopIfTrue="1" operator="lessThan">
      <formula>$B$2</formula>
    </cfRule>
  </conditionalFormatting>
  <conditionalFormatting sqref="G5 G7 G9">
    <cfRule type="cellIs" dxfId="268" priority="51" stopIfTrue="1" operator="lessThan">
      <formula>$B$2</formula>
    </cfRule>
  </conditionalFormatting>
  <conditionalFormatting sqref="C6:D6 D14 D16">
    <cfRule type="expression" dxfId="267" priority="49">
      <formula>AND($C6-TODAY()&lt;30,TODAY()&lt;$C6)</formula>
    </cfRule>
  </conditionalFormatting>
  <conditionalFormatting sqref="G6 G8 G10 C6:D6 D7:D12 D14 D16">
    <cfRule type="cellIs" dxfId="266" priority="50" stopIfTrue="1" operator="lessThan">
      <formula>$B$2</formula>
    </cfRule>
  </conditionalFormatting>
  <conditionalFormatting sqref="D12">
    <cfRule type="expression" dxfId="265" priority="47">
      <formula>AND($C12-TODAY()&lt;30,TODAY()&lt;$C12)</formula>
    </cfRule>
  </conditionalFormatting>
  <conditionalFormatting sqref="D12">
    <cfRule type="cellIs" dxfId="264" priority="48" stopIfTrue="1" operator="lessThan">
      <formula>$B$2</formula>
    </cfRule>
  </conditionalFormatting>
  <conditionalFormatting sqref="C13:D13">
    <cfRule type="expression" dxfId="263" priority="45">
      <formula>AND($C13-TODAY()&lt;30,TODAY()&lt;$C13)</formula>
    </cfRule>
  </conditionalFormatting>
  <conditionalFormatting sqref="C13:D13">
    <cfRule type="cellIs" dxfId="262" priority="46" stopIfTrue="1" operator="lessThan">
      <formula>$B$2</formula>
    </cfRule>
  </conditionalFormatting>
  <conditionalFormatting sqref="D14">
    <cfRule type="expression" dxfId="261" priority="43">
      <formula>AND($C14-TODAY()&lt;30,TODAY()&lt;$C14)</formula>
    </cfRule>
  </conditionalFormatting>
  <conditionalFormatting sqref="D14">
    <cfRule type="cellIs" dxfId="260" priority="44" stopIfTrue="1" operator="lessThan">
      <formula>$B$2</formula>
    </cfRule>
  </conditionalFormatting>
  <conditionalFormatting sqref="G13">
    <cfRule type="cellIs" dxfId="259" priority="42" stopIfTrue="1" operator="lessThan">
      <formula>$B$2</formula>
    </cfRule>
  </conditionalFormatting>
  <conditionalFormatting sqref="B4:B11 F4:F11 B13 F13:F14">
    <cfRule type="cellIs" dxfId="258" priority="41" stopIfTrue="1" operator="equal">
      <formula>"已过期"</formula>
    </cfRule>
  </conditionalFormatting>
  <conditionalFormatting sqref="C7">
    <cfRule type="cellIs" dxfId="257" priority="38" stopIfTrue="1" operator="lessThan">
      <formula>$B$2</formula>
    </cfRule>
  </conditionalFormatting>
  <conditionalFormatting sqref="C7">
    <cfRule type="expression" dxfId="256" priority="37">
      <formula>AND($C7-TODAY()&lt;30,TODAY()&lt;$C7)</formula>
    </cfRule>
  </conditionalFormatting>
  <conditionalFormatting sqref="C8">
    <cfRule type="expression" dxfId="255" priority="35">
      <formula>AND($C8-TODAY()&lt;30,TODAY()&lt;$C8)</formula>
    </cfRule>
  </conditionalFormatting>
  <conditionalFormatting sqref="C8">
    <cfRule type="cellIs" dxfId="254" priority="36" stopIfTrue="1" operator="lessThan">
      <formula>$B$2</formula>
    </cfRule>
  </conditionalFormatting>
  <conditionalFormatting sqref="C11">
    <cfRule type="expression" dxfId="253" priority="33">
      <formula>AND($C11-TODAY()&lt;30,TODAY()&lt;$C11)</formula>
    </cfRule>
  </conditionalFormatting>
  <conditionalFormatting sqref="C11">
    <cfRule type="cellIs" dxfId="252" priority="34" stopIfTrue="1" operator="lessThan">
      <formula>$B$2</formula>
    </cfRule>
  </conditionalFormatting>
  <conditionalFormatting sqref="A16:C16">
    <cfRule type="cellIs" dxfId="251" priority="32" stopIfTrue="1" operator="equal">
      <formula>"已过期"</formula>
    </cfRule>
  </conditionalFormatting>
  <conditionalFormatting sqref="E16:G16">
    <cfRule type="cellIs" dxfId="250" priority="31" stopIfTrue="1" operator="equal">
      <formula>"已过期"</formula>
    </cfRule>
  </conditionalFormatting>
  <conditionalFormatting sqref="G11">
    <cfRule type="cellIs" dxfId="249" priority="30"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2">
    <cfRule type="cellIs" dxfId="246" priority="27" stopIfTrue="1" operator="lessThan">
      <formula>$B$2</formula>
    </cfRule>
  </conditionalFormatting>
  <conditionalFormatting sqref="C12">
    <cfRule type="expression" dxfId="245" priority="25">
      <formula>AND($C12-TODAY()&lt;30,TODAY()&lt;$C12)</formula>
    </cfRule>
  </conditionalFormatting>
  <conditionalFormatting sqref="C12">
    <cfRule type="cellIs" dxfId="244" priority="26" stopIfTrue="1" operator="lessThan">
      <formula>$B$2</formula>
    </cfRule>
  </conditionalFormatting>
  <conditionalFormatting sqref="B12">
    <cfRule type="cellIs" dxfId="243" priority="24" stopIfTrue="1" operator="equal">
      <formula>"已过期"</formula>
    </cfRule>
  </conditionalFormatting>
  <conditionalFormatting sqref="C9:C10">
    <cfRule type="expression" dxfId="242" priority="22">
      <formula>AND($C9-TODAY()&lt;30,TODAY()&lt;$C9)</formula>
    </cfRule>
  </conditionalFormatting>
  <conditionalFormatting sqref="C9:C10">
    <cfRule type="cellIs" dxfId="241" priority="23" stopIfTrue="1" operator="lessThan">
      <formula>$B$2</formula>
    </cfRule>
  </conditionalFormatting>
  <conditionalFormatting sqref="G21">
    <cfRule type="expression" dxfId="240" priority="20" stopIfTrue="1">
      <formula>AND(#REF!-TODAY()&lt;30,TODAY()&lt;#REF!)</formula>
    </cfRule>
  </conditionalFormatting>
  <conditionalFormatting sqref="G21">
    <cfRule type="cellIs" dxfId="239" priority="21" stopIfTrue="1" operator="lessThan">
      <formula>$B$2</formula>
    </cfRule>
  </conditionalFormatting>
  <conditionalFormatting sqref="C14">
    <cfRule type="expression" dxfId="238" priority="18">
      <formula>AND($C14-TODAY()&lt;30,TODAY()&lt;$C14)</formula>
    </cfRule>
  </conditionalFormatting>
  <conditionalFormatting sqref="C14">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B14">
    <cfRule type="cellIs" dxfId="234" priority="15" stopIfTrue="1" operator="equal">
      <formula>"已过期"</formula>
    </cfRule>
  </conditionalFormatting>
  <conditionalFormatting sqref="G14">
    <cfRule type="cellIs" dxfId="233" priority="14" stopIfTrue="1" operator="lessThan">
      <formula>$B$2</formula>
    </cfRule>
  </conditionalFormatting>
  <conditionalFormatting sqref="D15">
    <cfRule type="expression" dxfId="232" priority="12">
      <formula>AND($C15-TODAY()&lt;30,TODAY()&lt;$C15)</formula>
    </cfRule>
  </conditionalFormatting>
  <conditionalFormatting sqref="D15">
    <cfRule type="cellIs" dxfId="231" priority="13"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C15">
    <cfRule type="expression" dxfId="227" priority="7">
      <formula>AND($C15-TODAY()&lt;30,TODAY()&lt;$C15)</formula>
    </cfRule>
  </conditionalFormatting>
  <conditionalFormatting sqref="C15">
    <cfRule type="cellIs" dxfId="226" priority="8" stopIfTrue="1" operator="lessThan">
      <formula>$B$2</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B15">
    <cfRule type="cellIs" dxfId="223" priority="4" stopIfTrue="1" operator="equal">
      <formula>"已过期"</formula>
    </cfRule>
  </conditionalFormatting>
  <conditionalFormatting sqref="G15">
    <cfRule type="cellIs" dxfId="222" priority="3" stopIfTrue="1" operator="lessThan">
      <formula>$B$2</formula>
    </cfRule>
  </conditionalFormatting>
  <conditionalFormatting sqref="G20">
    <cfRule type="expression" dxfId="221" priority="1" stopIfTrue="1">
      <formula>AND(#REF!-TODAY()&lt;30,TODAY()&lt;#REF!)</formula>
    </cfRule>
  </conditionalFormatting>
  <conditionalFormatting sqref="G20">
    <cfRule type="cellIs" dxfId="2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182</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Sheet6</vt:lpstr>
      <vt:lpstr>结果</vt:lpstr>
      <vt:lpstr>面积</vt:lpstr>
      <vt:lpstr>数据-取费表</vt:lpstr>
      <vt:lpstr>估价对象房地状况</vt:lpstr>
      <vt:lpstr>结果表</vt:lpstr>
      <vt:lpstr>收益法倒推租金-商业</vt:lpstr>
      <vt:lpstr>售价比较法-商业</vt:lpstr>
      <vt:lpstr>商业售价案例</vt:lpstr>
      <vt:lpstr>租金比较法-商业</vt:lpstr>
      <vt:lpstr>商业租金案例</vt:lpstr>
      <vt:lpstr>成本法</vt:lpstr>
      <vt:lpstr>成本法 (元)</vt:lpstr>
      <vt:lpstr>假设开发法</vt:lpstr>
      <vt:lpstr>收益法</vt:lpstr>
      <vt:lpstr>收益法 (元)</vt:lpstr>
      <vt:lpstr>收益法-酒店模型</vt:lpstr>
      <vt:lpstr>收益法（汇总）</vt:lpstr>
      <vt:lpstr>比较法-住宅</vt:lpstr>
      <vt:lpstr>收益法倒推租金-办公</vt:lpstr>
      <vt:lpstr>售价比较法-办公 </vt:lpstr>
      <vt:lpstr>办公售价案例</vt:lpstr>
      <vt:lpstr>租金比较法-办公</vt:lpstr>
      <vt:lpstr>办公租金案例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系统读取表</vt:lpstr>
      <vt:lpstr>存贷款利率</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'收益法倒推租金-商业'!Print_Area</vt:lpstr>
      <vt:lpstr>'售价比较法-办公 '!Print_Area</vt:lpstr>
      <vt:lpstr>'售价比较法-商业'!Print_Area</vt:lpstr>
      <vt:lpstr>'数据-汇总表'!Print_Area</vt:lpstr>
      <vt:lpstr>'土地比较法-工业'!Print_Area</vt:lpstr>
      <vt:lpstr>'土地比较法-住宅、综合'!Print_Area</vt:lpstr>
      <vt:lpstr>系统读取表!Print_Area</vt:lpstr>
      <vt:lpstr>项目基本情况!Print_Area</vt:lpstr>
      <vt:lpstr>'租金比较法-办公'!Print_Area</vt:lpstr>
      <vt:lpstr>'租金比较法-商业'!Print_Area</vt:lpstr>
      <vt:lpstr>八级</vt:lpstr>
      <vt:lpstr>'售价比较法-办公 '!办公层高</vt:lpstr>
      <vt:lpstr>办公层高</vt:lpstr>
      <vt:lpstr>'售价比较法-办公 '!办公朝向</vt:lpstr>
      <vt:lpstr>办公朝向</vt:lpstr>
      <vt:lpstr>'售价比较法-办公 '!办公道路级别</vt:lpstr>
      <vt:lpstr>办公道路级别</vt:lpstr>
      <vt:lpstr>'售价比较法-办公 '!办公公共部分装修</vt:lpstr>
      <vt:lpstr>办公公共部分装修</vt:lpstr>
      <vt:lpstr>'售价比较法-办公 '!办公基础设施水平</vt:lpstr>
      <vt:lpstr>办公基础设施水平</vt:lpstr>
      <vt:lpstr>办公集聚程度</vt:lpstr>
      <vt:lpstr>'售价比较法-办公 '!办公建筑结构</vt:lpstr>
      <vt:lpstr>办公建筑结构</vt:lpstr>
      <vt:lpstr>'售价比较法-办公 '!办公建筑类型</vt:lpstr>
      <vt:lpstr>办公建筑类型</vt:lpstr>
      <vt:lpstr>'售价比较法-办公 '!办公交易情况</vt:lpstr>
      <vt:lpstr>办公交易情况</vt:lpstr>
      <vt:lpstr>'售价比较法-办公 '!办公楼层</vt:lpstr>
      <vt:lpstr>办公楼层</vt:lpstr>
      <vt:lpstr>'售价比较法-办公 '!办公内部装修</vt:lpstr>
      <vt:lpstr>办公内部装修</vt:lpstr>
      <vt:lpstr>'售价比较法-办公 '!办公物业管理</vt:lpstr>
      <vt:lpstr>办公物业管理</vt:lpstr>
      <vt:lpstr>'售价比较法-办公 '!办公用途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'售价比较法-商业'!商业层高</vt:lpstr>
      <vt:lpstr>商业层高</vt:lpstr>
      <vt:lpstr>'售价比较法-商业'!商业成新度</vt:lpstr>
      <vt:lpstr>商业成新度</vt:lpstr>
      <vt:lpstr>商业繁华度</vt:lpstr>
      <vt:lpstr>'售价比较法-商业'!商业公共部分装修</vt:lpstr>
      <vt:lpstr>商业公共部分装修</vt:lpstr>
      <vt:lpstr>'售价比较法-商业'!商业基础设施水平</vt:lpstr>
      <vt:lpstr>商业基础设施水平</vt:lpstr>
      <vt:lpstr>'售价比较法-商业'!商业建筑结构</vt:lpstr>
      <vt:lpstr>商业建筑结构</vt:lpstr>
      <vt:lpstr>'售价比较法-商业'!商业交易情况</vt:lpstr>
      <vt:lpstr>商业交易情况</vt:lpstr>
      <vt:lpstr>商业街名称</vt:lpstr>
      <vt:lpstr>'售价比较法-商业'!商业进深比</vt:lpstr>
      <vt:lpstr>商业进深比</vt:lpstr>
      <vt:lpstr>'售价比较法-商业'!商业类型</vt:lpstr>
      <vt:lpstr>商业类型</vt:lpstr>
      <vt:lpstr>'售价比较法-商业'!商业临街状况</vt:lpstr>
      <vt:lpstr>商业临街状况</vt:lpstr>
      <vt:lpstr>'售价比较法-商业'!商业楼层</vt:lpstr>
      <vt:lpstr>商业楼层</vt:lpstr>
      <vt:lpstr>'售价比较法-商业'!商业内部装修</vt:lpstr>
      <vt:lpstr>商业内部装修</vt:lpstr>
      <vt:lpstr>'售价比较法-商业'!商业人流量</vt:lpstr>
      <vt:lpstr>商业人流量</vt:lpstr>
      <vt:lpstr>'售价比较法-商业'!商业业态</vt:lpstr>
      <vt:lpstr>商业业态</vt:lpstr>
      <vt:lpstr>'售价比较法-商业'!商业用途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'售价比较法-办公 '!写字楼等级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2024-07-15T07:41:56Z</cp:lastPrinted>
  <dcterms:created xsi:type="dcterms:W3CDTF">2015-07-13T07:17:23Z</dcterms:created>
  <dcterms:modified xsi:type="dcterms:W3CDTF">2024-07-22T03:27:00Z</dcterms:modified>
</cp:coreProperties>
</file>