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3.xml" ContentType="application/vnd.openxmlformats-officedocument.drawing+xml"/>
  <Override PartName="/xl/comments9.xml" ContentType="application/vnd.openxmlformats-officedocument.spreadsheetml.comments+xml"/>
  <Override PartName="/xl/drawings/drawing4.xml" ContentType="application/vnd.openxmlformats-officedocument.drawing+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drawings/drawing5.xml" ContentType="application/vnd.openxmlformats-officedocument.drawing+xml"/>
  <Override PartName="/xl/comments16.xml" ContentType="application/vnd.openxmlformats-officedocument.spreadsheetml.comments+xml"/>
  <Override PartName="/xl/drawings/drawing6.xml" ContentType="application/vnd.openxmlformats-officedocument.drawing+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24226"/>
  <mc:AlternateContent xmlns:mc="http://schemas.openxmlformats.org/markup-compatibility/2006">
    <mc:Choice Requires="x15">
      <x15ac:absPath xmlns:x15ac="http://schemas.microsoft.com/office/spreadsheetml/2010/11/ac" url="C:\Users\win10\Desktop\火炬大厦\"/>
    </mc:Choice>
  </mc:AlternateContent>
  <bookViews>
    <workbookView xWindow="0" yWindow="0" windowWidth="10380" windowHeight="6972" tabRatio="899" firstSheet="12" activeTab="15"/>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r:id="rId11"/>
    <sheet name="项目基本情况" sheetId="4" r:id="rId12"/>
    <sheet name="数据-基础表" sheetId="3" r:id="rId13"/>
    <sheet name="数据-汇总表" sheetId="6" r:id="rId14"/>
    <sheet name="Sheet6" sheetId="85" state="hidden" r:id="rId15"/>
    <sheet name="结果" sheetId="90" r:id="rId16"/>
    <sheet name="Sheet2" sheetId="92" r:id="rId17"/>
    <sheet name="Sheet1" sheetId="91" r:id="rId18"/>
    <sheet name="面积" sheetId="80" r:id="rId19"/>
    <sheet name="数据-取费表" sheetId="1" r:id="rId20"/>
    <sheet name="估价对象房地状况" sheetId="20" state="hidden" r:id="rId21"/>
    <sheet name="结果表" sheetId="9" state="hidden" r:id="rId22"/>
    <sheet name="收益法倒推租金-商业" sheetId="83" r:id="rId23"/>
    <sheet name="售价比较法-商业" sheetId="82" r:id="rId24"/>
    <sheet name="商业售价案例" sheetId="84" r:id="rId25"/>
    <sheet name="租金比较法-商业" sheetId="33" r:id="rId26"/>
    <sheet name="商业租金案例" sheetId="81" r:id="rId27"/>
    <sheet name="成本法" sheetId="68" state="hidden" r:id="rId28"/>
    <sheet name="成本法 (元)" sheetId="69" state="hidden" r:id="rId29"/>
    <sheet name="假设开发法" sheetId="12" state="hidden" r:id="rId30"/>
    <sheet name="收益法" sheetId="15" state="hidden" r:id="rId31"/>
    <sheet name="收益法 (元)" sheetId="67" state="hidden" r:id="rId32"/>
    <sheet name="收益法-酒店模型" sheetId="77" state="hidden" r:id="rId33"/>
    <sheet name="收益法（汇总）" sheetId="70" state="hidden" r:id="rId34"/>
    <sheet name="比较法-住宅" sheetId="21" state="hidden" r:id="rId35"/>
    <sheet name="收益法倒推租金-办公" sheetId="89" r:id="rId36"/>
    <sheet name="售价比较法-办公 " sheetId="87" r:id="rId37"/>
    <sheet name="办公售价案例" sheetId="88" r:id="rId38"/>
    <sheet name="租金比较法-办公" sheetId="34" r:id="rId39"/>
    <sheet name="办公租金案例" sheetId="86" r:id="rId40"/>
    <sheet name="比较法-工业" sheetId="37" state="hidden" r:id="rId41"/>
    <sheet name="比较法-车位" sheetId="35" state="hidden" r:id="rId42"/>
    <sheet name="比较法-仓储" sheetId="36" state="hidden" r:id="rId43"/>
    <sheet name="土地比较法-住宅、综合" sheetId="39" state="hidden" r:id="rId44"/>
    <sheet name="土地比较法-工业" sheetId="40" state="hidden" r:id="rId45"/>
    <sheet name="典型户型修正" sheetId="31" state="hidden" r:id="rId46"/>
    <sheet name="基准地价（汇总）" sheetId="76" state="hidden" r:id="rId47"/>
    <sheet name="基准地价修正" sheetId="43" r:id="rId48"/>
    <sheet name="修正" sheetId="45" state="hidden" r:id="rId49"/>
    <sheet name="容积率修正" sheetId="46" state="hidden" r:id="rId50"/>
    <sheet name="成本法（废）" sheetId="11" state="hidden" r:id="rId51"/>
    <sheet name="区片价" sheetId="44" state="hidden" r:id="rId52"/>
    <sheet name="因素修正幅度" sheetId="65" state="hidden" r:id="rId53"/>
    <sheet name="区片价（范围）" sheetId="75" state="hidden" r:id="rId54"/>
    <sheet name="地价-分区" sheetId="79" state="hidden" r:id="rId55"/>
    <sheet name="地价" sheetId="71" state="hidden" r:id="rId56"/>
    <sheet name="系统读取表" sheetId="74" r:id="rId57"/>
    <sheet name="存贷款利率" sheetId="73" state="hidden" r:id="rId58"/>
  </sheets>
  <externalReferences>
    <externalReference r:id="rId59"/>
    <externalReference r:id="rId60"/>
    <externalReference r:id="rId61"/>
  </externalReferences>
  <definedNames>
    <definedName name="_xlnm._FilterDatabase" localSheetId="42" hidden="1">'比较法-仓储'!$A$1:$L$37</definedName>
    <definedName name="_xlnm._FilterDatabase" localSheetId="41" hidden="1">'比较法-车位'!$A$1:$L$39</definedName>
    <definedName name="_xlnm._FilterDatabase" localSheetId="40" hidden="1">'比较法-工业'!$A$1:$L$43</definedName>
    <definedName name="_xlnm._FilterDatabase" localSheetId="34" hidden="1">'比较法-住宅'!$A$1:$L$49</definedName>
    <definedName name="_xlnm._FilterDatabase" localSheetId="36" hidden="1">'售价比较法-办公 '!$A$1:$L$50</definedName>
    <definedName name="_xlnm._FilterDatabase" localSheetId="23" hidden="1">'售价比较法-商业'!$A$1:$L$49</definedName>
    <definedName name="_xlnm._FilterDatabase" localSheetId="12" hidden="1">'数据-基础表'!$A$12:$AT$587</definedName>
    <definedName name="_xlnm._FilterDatabase" localSheetId="44" hidden="1">'土地比较法-工业'!$A$1:$L$43</definedName>
    <definedName name="_xlnm._FilterDatabase" localSheetId="43" hidden="1">'土地比较法-住宅、综合'!$A$1:$L$48</definedName>
    <definedName name="_xlnm._FilterDatabase" localSheetId="11" hidden="1">项目基本情况!$A$42:$N$42</definedName>
    <definedName name="_xlnm._FilterDatabase" localSheetId="38" hidden="1">'租金比较法-办公'!$A$1:$L$50</definedName>
    <definedName name="_xlnm._FilterDatabase" localSheetId="25" hidden="1">'租金比较法-商业'!$A$1:$L$49</definedName>
    <definedName name="_xlnm.Print_Area" localSheetId="42">'比较法-仓储'!$A$1:$K$42,'比较法-仓储'!$A$45:$M$96</definedName>
    <definedName name="_xlnm.Print_Area" localSheetId="41">'比较法-车位'!$A$1:$K$44,'比较法-车位'!$A$47:$M$102</definedName>
    <definedName name="_xlnm.Print_Area" localSheetId="40">'比较法-工业'!$A$1:$K$48,'比较法-工业'!$A$51:$M$113</definedName>
    <definedName name="_xlnm.Print_Area" localSheetId="34">'比较法-住宅'!$A$1:$K$54,'比较法-住宅'!$A$57:$M$131</definedName>
    <definedName name="_xlnm.Print_Area" localSheetId="27">成本法!$A$1:$G$57</definedName>
    <definedName name="_xlnm.Print_Area" localSheetId="28">'成本法 (元)'!$A$1:$G$57</definedName>
    <definedName name="_xlnm.Print_Area" localSheetId="20">估价对象房地状况!$A$1:$G$24</definedName>
    <definedName name="_xlnm.Print_Area" localSheetId="8">估价师及机构信息!$A$1:$G$22</definedName>
    <definedName name="_xlnm.Print_Area" localSheetId="46">'基准地价（汇总）'!$A$1:$E$13</definedName>
    <definedName name="_xlnm.Print_Area" localSheetId="47">基准地价修正!$A$1:$J$44,基准地价修正!$A$47:$H$101,基准地价修正!$R$1:$V$16</definedName>
    <definedName name="_xlnm.Print_Area" localSheetId="29">假设开发法!$A$1:$K$32</definedName>
    <definedName name="_xlnm.Print_Area" localSheetId="21">结果表!$A$1:$I$127</definedName>
    <definedName name="_xlnm.Print_Area" localSheetId="30">收益法!$A$1:$F$43,收益法!$H$3:$M$29,收益法!$A$46:$F$71,收益法!$I$46:$N$65</definedName>
    <definedName name="_xlnm.Print_Area" localSheetId="31">'收益法 (元)'!$A$1:$F$43,'收益法 (元)'!$H$3:$M$29,'收益法 (元)'!$A$45:$F$71,'收益法 (元)'!$I$46:$N$65</definedName>
    <definedName name="_xlnm.Print_Area" localSheetId="33">'收益法（汇总）'!$A$1:$F$13</definedName>
    <definedName name="_xlnm.Print_Area" localSheetId="22">'收益法倒推租金-商业'!$A$1:$I$53</definedName>
    <definedName name="_xlnm.Print_Area" localSheetId="36">'售价比较法-办公 '!$A$1:$K$55,'售价比较法-办公 '!$A$58:$M$132</definedName>
    <definedName name="_xlnm.Print_Area" localSheetId="23">'售价比较法-商业'!$A$1:$K$54,'售价比较法-商业'!$A$57:$M$131</definedName>
    <definedName name="_xlnm.Print_Area" localSheetId="13">'数据-汇总表'!$A$1:$P$32</definedName>
    <definedName name="_xlnm.Print_Area" localSheetId="44">'土地比较法-工业'!$A$1:$K$61,'土地比较法-工业'!$A$64:$M$121</definedName>
    <definedName name="_xlnm.Print_Area" localSheetId="43">'土地比较法-住宅、综合'!$A$1:$K$65,'土地比较法-住宅、综合'!$A$68:$M$131</definedName>
    <definedName name="_xlnm.Print_Area" localSheetId="56">系统读取表!$A$1:$I$26</definedName>
    <definedName name="_xlnm.Print_Area" localSheetId="11">项目基本情况!$A$1:$I$38</definedName>
    <definedName name="_xlnm.Print_Area" localSheetId="38">'租金比较法-办公'!$A$1:$K$55,'租金比较法-办公'!$A$58:$M$132</definedName>
    <definedName name="_xlnm.Print_Area" localSheetId="25">'租金比较法-商业'!$A$1:$K$54,'租金比较法-商业'!$A$57:$M$131</definedName>
    <definedName name="八级">区片价!$P$1:$P$44</definedName>
    <definedName name="办公">'[1]比较法-办公'!$B$87:$M$87</definedName>
    <definedName name="办公层高" localSheetId="35">'[2]比较法-办公'!$B$119:$M$119</definedName>
    <definedName name="办公层高" localSheetId="22">'[2]比较法-办公'!$B$119:$M$119</definedName>
    <definedName name="办公层高" localSheetId="36">'售价比较法-办公 '!$B$119:$M$119</definedName>
    <definedName name="办公层高">'租金比较法-办公'!$B$119:$M$119</definedName>
    <definedName name="办公朝向" localSheetId="35">'[2]比较法-办公'!$B$91:$M$91</definedName>
    <definedName name="办公朝向" localSheetId="22">'[2]比较法-办公'!$B$91:$M$91</definedName>
    <definedName name="办公朝向" localSheetId="36">'售价比较法-办公 '!$B$91:$M$91</definedName>
    <definedName name="办公朝向">'租金比较法-办公'!$B$91:$M$91</definedName>
    <definedName name="办公道路级别" localSheetId="35">'[2]比较法-办公'!$B$87:$M$87</definedName>
    <definedName name="办公道路级别" localSheetId="22">'[2]比较法-办公'!$B$87:$M$87</definedName>
    <definedName name="办公道路级别" localSheetId="36">'售价比较法-办公 '!$B$87:$M$87</definedName>
    <definedName name="办公道路级别">'租金比较法-办公'!$B$87:$M$87</definedName>
    <definedName name="办公公共部分装修" localSheetId="35">'[2]比较法-办公'!$B$108:$M$108</definedName>
    <definedName name="办公公共部分装修" localSheetId="22">'[2]比较法-办公'!$B$108:$M$108</definedName>
    <definedName name="办公公共部分装修" localSheetId="36">'售价比较法-办公 '!$B$108:$M$108</definedName>
    <definedName name="办公公共部分装修">'租金比较法-办公'!$B$108:$M$108</definedName>
    <definedName name="办公基础设施水平" localSheetId="35">'[2]比较法-办公'!$B$117:$M$117</definedName>
    <definedName name="办公基础设施水平" localSheetId="22">'[2]比较法-办公'!$B$117:$M$117</definedName>
    <definedName name="办公基础设施水平" localSheetId="36">'售价比较法-办公 '!$B$117:$M$117</definedName>
    <definedName name="办公基础设施水平">'租金比较法-办公'!$B$117:$M$117</definedName>
    <definedName name="办公集聚程度" localSheetId="35">[2]定义!$M$1:$M$6</definedName>
    <definedName name="办公集聚程度" localSheetId="22">[2]定义!$M$1:$M$6</definedName>
    <definedName name="办公集聚程度">定义!$M$1:$M$6</definedName>
    <definedName name="办公建筑结构" localSheetId="35">'[2]比较法-办公'!$B$106:$M$106</definedName>
    <definedName name="办公建筑结构" localSheetId="22">'[2]比较法-办公'!$B$106:$M$106</definedName>
    <definedName name="办公建筑结构" localSheetId="36">'售价比较法-办公 '!$B$106:$M$106</definedName>
    <definedName name="办公建筑结构">'租金比较法-办公'!$B$106:$M$106</definedName>
    <definedName name="办公建筑类型" localSheetId="35">'[2]比较法-办公'!$B$101:$M$101</definedName>
    <definedName name="办公建筑类型" localSheetId="22">'[2]比较法-办公'!$B$101:$M$101</definedName>
    <definedName name="办公建筑类型" localSheetId="36">'售价比较法-办公 '!$B$101:$M$101</definedName>
    <definedName name="办公建筑类型">'租金比较法-办公'!$B$101:$M$101</definedName>
    <definedName name="办公交易情况" localSheetId="35">'[2]比较法-办公'!$A$62:$M$62</definedName>
    <definedName name="办公交易情况" localSheetId="22">'[2]比较法-办公'!$A$62:$M$62</definedName>
    <definedName name="办公交易情况" localSheetId="36">'售价比较法-办公 '!$A$62:$M$62</definedName>
    <definedName name="办公交易情况">'租金比较法-办公'!$A$62:$M$62</definedName>
    <definedName name="办公楼层" localSheetId="35">'[2]比较法-办公'!$B$89:$M$89</definedName>
    <definedName name="办公楼层" localSheetId="22">'[2]比较法-办公'!$B$89:$M$89</definedName>
    <definedName name="办公楼层" localSheetId="36">'售价比较法-办公 '!$B$89:$M$89</definedName>
    <definedName name="办公楼层">'租金比较法-办公'!$B$89:$M$89</definedName>
    <definedName name="办公内部装修" localSheetId="35">'[2]比较法-办公'!$B$123:$M$123</definedName>
    <definedName name="办公内部装修" localSheetId="22">'[2]比较法-办公'!$B$123:$M$123</definedName>
    <definedName name="办公内部装修" localSheetId="36">'售价比较法-办公 '!$B$123:$M$123</definedName>
    <definedName name="办公内部装修">'租金比较法-办公'!$B$123:$M$123</definedName>
    <definedName name="办公物业管理" localSheetId="35">'[2]比较法-办公'!$B$115:$M$115</definedName>
    <definedName name="办公物业管理" localSheetId="22">'[2]比较法-办公'!$B$115:$M$115</definedName>
    <definedName name="办公物业管理" localSheetId="36">'售价比较法-办公 '!$B$115:$M$115</definedName>
    <definedName name="办公物业管理">'租金比较法-办公'!$B$115:$M$115</definedName>
    <definedName name="办公用途" localSheetId="35">'[2]比较法-办公'!$B$64:$M$64</definedName>
    <definedName name="办公用途" localSheetId="22">'[2]比较法-办公'!$B$64:$M$64</definedName>
    <definedName name="办公用途" localSheetId="36">'售价比较法-办公 '!$B$64:$M$64</definedName>
    <definedName name="办公用途">'租金比较法-办公'!$B$64:$M$64</definedName>
    <definedName name="仓储公共部分装修" localSheetId="35">'[2]比较法-仓储'!$B$77:$M$77</definedName>
    <definedName name="仓储公共部分装修" localSheetId="22">'[2]比较法-仓储'!$B$77:$M$77</definedName>
    <definedName name="仓储公共部分装修">'比较法-仓储'!$B$77:$M$77</definedName>
    <definedName name="仓储交易情况" localSheetId="35">'[2]比较法-仓储'!$A$49:$M$49</definedName>
    <definedName name="仓储交易情况" localSheetId="22">'[2]比较法-仓储'!$A$49:$M$49</definedName>
    <definedName name="仓储交易情况">'比较法-仓储'!$A$49:$M$49</definedName>
    <definedName name="仓储楼层" localSheetId="35">'[2]比较法-仓储'!$B$69:$M$69</definedName>
    <definedName name="仓储楼层" localSheetId="22">'[2]比较法-仓储'!$B$69:$M$69</definedName>
    <definedName name="仓储楼层">'比较法-仓储'!$B$69:$M$69</definedName>
    <definedName name="仓储物业等级" localSheetId="35">'[2]比较法-仓储'!$B$82:$M$82</definedName>
    <definedName name="仓储物业等级" localSheetId="22">'[2]比较法-仓储'!$B$82:$M$82</definedName>
    <definedName name="仓储物业等级">'比较法-仓储'!$B$82:$M$82</definedName>
    <definedName name="仓储用途" localSheetId="35">'[2]比较法-仓储'!$B$51:$M$51</definedName>
    <definedName name="仓储用途" localSheetId="22">'[2]比较法-仓储'!$B$51:$M$51</definedName>
    <definedName name="仓储用途">'比较法-仓储'!$B$51:$M$51</definedName>
    <definedName name="产业集聚程度" localSheetId="35">[2]定义!$N$1:$N$6</definedName>
    <definedName name="产业集聚程度" localSheetId="22">[2]定义!$N$1:$N$6</definedName>
    <definedName name="产业集聚程度">定义!$N$1:$N$6</definedName>
    <definedName name="车位公共部分装修" localSheetId="35">'[2]比较法-车位'!$B$83:$M$83</definedName>
    <definedName name="车位公共部分装修" localSheetId="22">'[2]比较法-车位'!$B$83:$M$83</definedName>
    <definedName name="车位公共部分装修">'比较法-车位'!$B$83:$M$83</definedName>
    <definedName name="车位交易情况" localSheetId="35">'[2]比较法-车位'!$A$51:$M$51</definedName>
    <definedName name="车位交易情况" localSheetId="22">'[2]比较法-车位'!$A$51:$M$51</definedName>
    <definedName name="车位交易情况">'比较法-车位'!$A$51:$M$51</definedName>
    <definedName name="车位类型" localSheetId="35">'[2]比较法-车位'!$B$93:$M$93</definedName>
    <definedName name="车位类型" localSheetId="22">'[2]比较法-车位'!$B$93:$M$93</definedName>
    <definedName name="车位类型">'比较法-车位'!$B$93:$M$93</definedName>
    <definedName name="车位楼层" localSheetId="35">'[2]比较法-车位'!$B$71:$M$71</definedName>
    <definedName name="车位楼层" localSheetId="22">'[2]比较法-车位'!$B$71:$M$71</definedName>
    <definedName name="车位楼层">'比较法-车位'!$B$71:$M$71</definedName>
    <definedName name="车位配套类型" localSheetId="35">'[2]比较法-车位'!$B$79:$M$79</definedName>
    <definedName name="车位配套类型" localSheetId="22">'[2]比较法-车位'!$B$79:$M$79</definedName>
    <definedName name="车位配套类型">'比较法-车位'!$B$79:$M$79</definedName>
    <definedName name="车位物业等级" localSheetId="35">'[2]比较法-车位'!$B$88:$M$88</definedName>
    <definedName name="车位物业等级" localSheetId="22">'[2]比较法-车位'!$B$88:$M$88</definedName>
    <definedName name="车位物业等级">'比较法-车位'!$B$88:$M$88</definedName>
    <definedName name="车位用途" localSheetId="35">'[2]比较法-车位'!$B$53:$M$53</definedName>
    <definedName name="车位用途" localSheetId="22">'[2]比较法-车位'!$B$53:$M$53</definedName>
    <definedName name="车位用途">'比较法-车位'!$B$53:$M$53</definedName>
    <definedName name="城镇土地纳税等级分级范围" localSheetId="35">'[2]数据-取费表'!$A$53:$A$63</definedName>
    <definedName name="城镇土地纳税等级分级范围" localSheetId="22">'[2]数据-取费表'!$A$53:$A$63</definedName>
    <definedName name="城镇土地纳税等级分级范围">'数据-取费表'!$A$53:$A$63</definedName>
    <definedName name="单价内涵" localSheetId="35">[2]定义!$V$1:$V$3</definedName>
    <definedName name="单价内涵" localSheetId="22">[2]定义!$V$1:$V$3</definedName>
    <definedName name="单价内涵">定义!$V$1:$V$3</definedName>
    <definedName name="地类判定" localSheetId="35">[2]定义!$H$1:$H$9</definedName>
    <definedName name="地类判定" localSheetId="22">[2]定义!$H$1:$H$9</definedName>
    <definedName name="地类判定">定义!$H$1:$H$9</definedName>
    <definedName name="二级">区片价!$J$1:$J$21</definedName>
    <definedName name="二级分类" localSheetId="35">[2]修正!$C$17:$C$39</definedName>
    <definedName name="二级分类" localSheetId="22">[2]修正!$C$17:$C$39</definedName>
    <definedName name="二级分类">修正!$C$19:$C$51</definedName>
    <definedName name="法定最高年限" localSheetId="35">[2]定义!$G$1:$G$4</definedName>
    <definedName name="法定最高年限" localSheetId="22">[2]定义!$G$1:$G$4</definedName>
    <definedName name="法定最高年限">定义!$G$1:$G$6</definedName>
    <definedName name="工业公共部分装修" localSheetId="35">'[2]比较法-工业'!$B$95:$M$95</definedName>
    <definedName name="工业公共部分装修" localSheetId="22">'[2]比较法-工业'!$B$95:$M$95</definedName>
    <definedName name="工业公共部分装修">'比较法-工业'!$B$95:$M$95</definedName>
    <definedName name="工业基础设施水平" localSheetId="35">'[2]比较法-工业'!$B$102:$M$102</definedName>
    <definedName name="工业基础设施水平" localSheetId="22">'[2]比较法-工业'!$B$102:$M$102</definedName>
    <definedName name="工业基础设施水平">'比较法-工业'!$B$102:$M$102</definedName>
    <definedName name="工业建筑结构" localSheetId="35">'[2]比较法-工业'!$B$93:$M$93</definedName>
    <definedName name="工业建筑结构" localSheetId="22">'[2]比较法-工业'!$B$93:$M$93</definedName>
    <definedName name="工业建筑结构">'比较法-工业'!$B$93:$M$93</definedName>
    <definedName name="工业建筑类型" localSheetId="35">'[2]比较法-工业'!$B$88:$M$88</definedName>
    <definedName name="工业建筑类型" localSheetId="22">'[2]比较法-工业'!$B$88:$M$88</definedName>
    <definedName name="工业建筑类型">'比较法-工业'!$B$88:$M$88</definedName>
    <definedName name="工业交易情况" localSheetId="35">'[2]比较法-工业'!$A$55:$M$55</definedName>
    <definedName name="工业交易情况" localSheetId="22">'[2]比较法-工业'!$A$55:$M$55</definedName>
    <definedName name="工业交易情况">'比较法-工业'!$A$55:$M$55</definedName>
    <definedName name="工业内部装修" localSheetId="35">'[2]比较法-工业'!$B$104:$M$104</definedName>
    <definedName name="工业内部装修" localSheetId="22">'[2]比较法-工业'!$B$104:$M$104</definedName>
    <definedName name="工业内部装修">'比较法-工业'!$B$104:$M$104</definedName>
    <definedName name="工业物业管理" localSheetId="35">'[2]比较法-工业'!$B$100:$M$100</definedName>
    <definedName name="工业物业管理" localSheetId="22">'[2]比较法-工业'!$B$100:$M$100</definedName>
    <definedName name="工业物业管理">'比较法-工业'!$B$100:$M$100</definedName>
    <definedName name="工业用途" localSheetId="35">'[2]比较法-工业'!$B$57:$M$57</definedName>
    <definedName name="工业用途" localSheetId="22">'[2]比较法-工业'!$B$57:$M$57</definedName>
    <definedName name="工业用途">'比较法-工业'!$B$57:$M$57</definedName>
    <definedName name="公共配套设施" localSheetId="35">[2]定义!$Q$1:$Q$6</definedName>
    <definedName name="公共配套设施" localSheetId="22">[2]定义!$Q$1:$Q$6</definedName>
    <definedName name="公共配套设施">定义!$Q$1:$Q$6</definedName>
    <definedName name="估价范围判定">定义!$D$1:$D$4</definedName>
    <definedName name="估价方法" localSheetId="35">[2]定义!$B$1:$B$50</definedName>
    <definedName name="估价方法" localSheetId="22">[2]定义!$B$1:$B$50</definedName>
    <definedName name="估价方法">定义!$B$1:$B$50</definedName>
    <definedName name="环境" localSheetId="35">[2]定义!$S$1:$S$6</definedName>
    <definedName name="环境" localSheetId="22">[2]定义!$S$1:$S$6</definedName>
    <definedName name="环境">定义!$S$1:$S$6</definedName>
    <definedName name="基础设施水平" localSheetId="35">[2]定义!$R$1:$R$6</definedName>
    <definedName name="基础设施水平" localSheetId="22">[2]定义!$R$1:$R$6</definedName>
    <definedName name="基础设施水平">定义!$R$1:$R$6</definedName>
    <definedName name="季度">基准地价修正!$Q$19:$AD$19</definedName>
    <definedName name="价值类型2" localSheetId="35">[2]定义!$B$54:$B$56</definedName>
    <definedName name="价值类型2" localSheetId="22">[2]定义!$B$54:$B$56</definedName>
    <definedName name="价值类型2">定义!$B$54:$B$56</definedName>
    <definedName name="交通便捷度" localSheetId="35">[2]定义!$O$1:$O$6</definedName>
    <definedName name="交通便捷度" localSheetId="22">[2]定义!$O$1:$O$6</definedName>
    <definedName name="交通便捷度">定义!$O$1:$O$6</definedName>
    <definedName name="九级">区片价!$Q$1:$Q$51</definedName>
    <definedName name="居住社区成熟度" localSheetId="35">[2]定义!$K$1:$K$6</definedName>
    <definedName name="居住社区成熟度" localSheetId="22">[2]定义!$K$1:$K$6</definedName>
    <definedName name="居住社区成熟度">定义!$K$1:$K$6</definedName>
    <definedName name="类别" localSheetId="35">[2]定义!$J$1:$J$3</definedName>
    <definedName name="类别" localSheetId="22">[2]定义!$J$1:$J$3</definedName>
    <definedName name="类别">定义!$J$1:$J$3</definedName>
    <definedName name="临街状况" localSheetId="35">[2]定义!$T$1:$T$5</definedName>
    <definedName name="临街状况" localSheetId="22">[2]定义!$T$1:$T$5</definedName>
    <definedName name="临街状况">定义!$T$1:$T$5</definedName>
    <definedName name="六级">区片价!$N$1:$N$64</definedName>
    <definedName name="内部装修维护情况" localSheetId="35">[2]定义!$U$1:$U$6</definedName>
    <definedName name="内部装修维护情况" localSheetId="22">[2]定义!$U$1:$U$6</definedName>
    <definedName name="内部装修维护情况">定义!$U$1:$U$6</definedName>
    <definedName name="判定" localSheetId="35">[2]定义!$D$1:$D$4</definedName>
    <definedName name="判定" localSheetId="22">[2]定义!$D$1:$D$4</definedName>
    <definedName name="判定">[1]定义!$D$1:$D$4</definedName>
    <definedName name="七级">区片价!$O$1:$O$45</definedName>
    <definedName name="七通一平" localSheetId="35">[2]修正!$A$6:$A$14</definedName>
    <definedName name="七通一平" localSheetId="22">[2]修正!$A$6:$A$14</definedName>
    <definedName name="七通一平">修正!$A$8:$A$16</definedName>
    <definedName name="区域土地利用方向" localSheetId="35">[2]定义!$P$1:$P$6</definedName>
    <definedName name="区域土地利用方向" localSheetId="22">[2]定义!$P$1:$P$6</definedName>
    <definedName name="区域土地利用方向">定义!$P$1:$P$6</definedName>
    <definedName name="人">'[1]比较法-办公'!$A$62:$M$62</definedName>
    <definedName name="三级">区片价!$K$1:$K$26</definedName>
    <definedName name="商业层高" localSheetId="35">'[2]比较法-商业'!$B$116:$M$116</definedName>
    <definedName name="商业层高" localSheetId="22">'[2]比较法-商业'!$B$116:$M$116</definedName>
    <definedName name="商业层高" localSheetId="23">'售价比较法-商业'!$B$116:$M$116</definedName>
    <definedName name="商业层高">'租金比较法-商业'!$B$116:$M$116</definedName>
    <definedName name="商业成新度" localSheetId="23">'售价比较法-商业'!$B$109:$M$109</definedName>
    <definedName name="商业成新度">'租金比较法-商业'!$B$109:$M$109</definedName>
    <definedName name="商业繁华度" localSheetId="35">[2]定义!$L$1:$L$6</definedName>
    <definedName name="商业繁华度" localSheetId="22">[2]定义!$L$1:$L$6</definedName>
    <definedName name="商业繁华度">定义!$L$1:$L$6</definedName>
    <definedName name="商业公共部分装修" localSheetId="35">'[2]比较法-商业'!$B$107:$M$107</definedName>
    <definedName name="商业公共部分装修" localSheetId="22">'[2]比较法-商业'!$B$107:$M$107</definedName>
    <definedName name="商业公共部分装修" localSheetId="23">'售价比较法-商业'!$B$107:$M$107</definedName>
    <definedName name="商业公共部分装修">'租金比较法-商业'!$B$107:$M$107</definedName>
    <definedName name="商业基础设施水平" localSheetId="35">'[2]比较法-商业'!$B$112:$M$112</definedName>
    <definedName name="商业基础设施水平" localSheetId="22">'[2]比较法-商业'!$B$112:$M$112</definedName>
    <definedName name="商业基础设施水平" localSheetId="23">'售价比较法-商业'!$B$112:$M$112</definedName>
    <definedName name="商业基础设施水平">'租金比较法-商业'!$B$112:$M$112</definedName>
    <definedName name="商业建筑结构" localSheetId="35">'[2]比较法-商业'!$B$105:$M$105</definedName>
    <definedName name="商业建筑结构" localSheetId="22">'[2]比较法-商业'!$B$105:$M$105</definedName>
    <definedName name="商业建筑结构" localSheetId="23">'售价比较法-商业'!$B$105:$M$105</definedName>
    <definedName name="商业建筑结构">'租金比较法-商业'!$B$105:$M$105</definedName>
    <definedName name="商业交易情况" localSheetId="35">'[2]比较法-商业'!$A$61:$M$61</definedName>
    <definedName name="商业交易情况" localSheetId="22">'[2]比较法-商业'!$A$61:$M$61</definedName>
    <definedName name="商业交易情况" localSheetId="23">'售价比较法-商业'!$A$61:$M$61</definedName>
    <definedName name="商业交易情况">'租金比较法-商业'!$A$61:$M$61</definedName>
    <definedName name="商业街名称" localSheetId="35">[2]修正!$C$59:$C$119</definedName>
    <definedName name="商业街名称" localSheetId="22">[2]修正!$C$59:$C$119</definedName>
    <definedName name="商业街名称">修正!$C$71:$C$138</definedName>
    <definedName name="商业进深比" localSheetId="35">'[2]比较法-商业'!$B$120:$M$120</definedName>
    <definedName name="商业进深比" localSheetId="22">'[2]比较法-商业'!$B$120:$M$120</definedName>
    <definedName name="商业进深比" localSheetId="23">'售价比较法-商业'!$B$120:$M$120</definedName>
    <definedName name="商业进深比">'租金比较法-商业'!$B$120:$M$120</definedName>
    <definedName name="商业类型" localSheetId="35">'[2]比较法-商业'!$B$100:$M$100</definedName>
    <definedName name="商业类型" localSheetId="22">'[2]比较法-商业'!$B$100:$M$100</definedName>
    <definedName name="商业类型" localSheetId="23">'售价比较法-商业'!$B$100:$M$100</definedName>
    <definedName name="商业类型">'租金比较法-商业'!$B$100:$M$100</definedName>
    <definedName name="商业临街状况" localSheetId="35">'[2]比较法-商业'!$B$86:$M$86</definedName>
    <definedName name="商业临街状况" localSheetId="22">'[2]比较法-商业'!$B$86:$M$86</definedName>
    <definedName name="商业临街状况" localSheetId="23">'售价比较法-商业'!$B$86:$M$86</definedName>
    <definedName name="商业临街状况">'租金比较法-商业'!$B$86:$M$86</definedName>
    <definedName name="商业楼层" localSheetId="35">'[2]比较法-商业'!$B$92:$M$92</definedName>
    <definedName name="商业楼层" localSheetId="22">'[2]比较法-商业'!$B$92:$M$92</definedName>
    <definedName name="商业楼层" localSheetId="23">'售价比较法-商业'!$B$92:$M$92</definedName>
    <definedName name="商业楼层">'租金比较法-商业'!$B$92:$M$92</definedName>
    <definedName name="商业内部装修" localSheetId="35">'[2]比较法-商业'!$B$122:$M$122</definedName>
    <definedName name="商业内部装修" localSheetId="22">'[2]比较法-商业'!$B$122:$M$122</definedName>
    <definedName name="商业内部装修" localSheetId="23">'售价比较法-商业'!$B$122:$M$122</definedName>
    <definedName name="商业内部装修">'租金比较法-商业'!$B$122:$M$122</definedName>
    <definedName name="商业人流量" localSheetId="35">'[2]比较法-商业'!$B$90:$M$90</definedName>
    <definedName name="商业人流量" localSheetId="22">'[2]比较法-商业'!$B$90:$M$90</definedName>
    <definedName name="商业人流量" localSheetId="23">'售价比较法-商业'!$B$90:$M$90</definedName>
    <definedName name="商业人流量">'租金比较法-商业'!$B$90:$M$90</definedName>
    <definedName name="商业业态" localSheetId="35">'[2]比较法-商业'!$B$114:$M$114</definedName>
    <definedName name="商业业态" localSheetId="22">'[2]比较法-商业'!$B$114:$M$114</definedName>
    <definedName name="商业业态" localSheetId="23">'售价比较法-商业'!$B$114:$M$114</definedName>
    <definedName name="商业业态">'租金比较法-商业'!$B$114:$M$114</definedName>
    <definedName name="商业用途" localSheetId="35">'[2]比较法-商业'!$B$63:$M$63</definedName>
    <definedName name="商业用途" localSheetId="22">'[2]比较法-商业'!$B$63:$M$63</definedName>
    <definedName name="商业用途" localSheetId="23">'售价比较法-商业'!$B$63:$M$63</definedName>
    <definedName name="商业用途">'租金比较法-商业'!$B$63:$M$63</definedName>
    <definedName name="十二级">区片价!$T$1:$T$8</definedName>
    <definedName name="十级">区片价!$R$1:$R$32</definedName>
    <definedName name="十一级">区片价!$S$1:$S$21</definedName>
    <definedName name="是否封闭" localSheetId="35">'[2]比较法-仓储'!$B$89:$M$89</definedName>
    <definedName name="是否封闭" localSheetId="22">'[2]比较法-仓储'!$B$89:$M$89</definedName>
    <definedName name="是否封闭">'比较法-仓储'!$B$89:$M$89</definedName>
    <definedName name="是否直接入户" localSheetId="35">'[2]比较法-车位'!$B$95:$M$95</definedName>
    <definedName name="是否直接入户" localSheetId="22">'[2]比较法-车位'!$B$95:$M$95</definedName>
    <definedName name="是否直接入户">'比较法-车位'!$B$95:$M$95</definedName>
    <definedName name="四级">区片价!$L$1:$L$33</definedName>
    <definedName name="套工道路等级" localSheetId="35">'[2]土地比较法-工业'!$B$97:$M$97</definedName>
    <definedName name="套工道路等级" localSheetId="22">'[2]土地比较法-工业'!$B$97:$M$97</definedName>
    <definedName name="套工道路等级">'土地比较法-工业'!$B$97:$M$97</definedName>
    <definedName name="套工地质条件" localSheetId="35">'[2]土地比较法-工业'!$B$114:$M$114</definedName>
    <definedName name="套工地质条件" localSheetId="22">'[2]土地比较法-工业'!$B$114:$M$114</definedName>
    <definedName name="套工地质条件">'土地比较法-工业'!$B$114:$M$114</definedName>
    <definedName name="套工交易情况" localSheetId="35">'[2]土地比较法-住宅、综合'!$A$73:$M$73</definedName>
    <definedName name="套工交易情况" localSheetId="22">'[2]土地比较法-住宅、综合'!$A$73:$M$73</definedName>
    <definedName name="套工交易情况">'土地比较法-住宅、综合'!$A$72:$M$72</definedName>
    <definedName name="套工土地级别" localSheetId="35">'[2]土地比较法-工业'!$B$99:$M$99</definedName>
    <definedName name="套工土地级别" localSheetId="22">'[2]土地比较法-工业'!$B$99:$M$99</definedName>
    <definedName name="套工土地级别">'土地比较法-工业'!$B$99:$M$99</definedName>
    <definedName name="套工用途" localSheetId="35">'[2]土地比较法-工业'!$B$70:$M$70</definedName>
    <definedName name="套工用途" localSheetId="22">'[2]土地比较法-工业'!$B$70:$M$70</definedName>
    <definedName name="套工用途">'土地比较法-工业'!$B$70:$M$70</definedName>
    <definedName name="套工宗地开发程度" localSheetId="35">'[2]土地比较法-工业'!$B$112:$M$112</definedName>
    <definedName name="套工宗地开发程度" localSheetId="22">'[2]土地比较法-工业'!$B$112:$M$112</definedName>
    <definedName name="套工宗地开发程度">'土地比较法-工业'!$B$112:$M$112</definedName>
    <definedName name="套工宗地形状" localSheetId="35">'[2]土地比较法-工业'!$B$110:$M$110</definedName>
    <definedName name="套工宗地形状" localSheetId="22">'[2]土地比较法-工业'!$B$110:$M$110</definedName>
    <definedName name="套工宗地形状">'土地比较法-工业'!$B$110:$M$110</definedName>
    <definedName name="套综道路等级" localSheetId="35">'[2]土地比较法-住宅、综合'!$B$106:$M$106</definedName>
    <definedName name="套综道路等级" localSheetId="22">'[2]土地比较法-住宅、综合'!$B$106:$M$106</definedName>
    <definedName name="套综道路等级">'土地比较法-住宅、综合'!$B$105:$M$105</definedName>
    <definedName name="套综工程地质条件" localSheetId="35">'[2]土地比较法-住宅、综合'!$B$125:$M$125</definedName>
    <definedName name="套综工程地质条件" localSheetId="22">'[2]土地比较法-住宅、综合'!$B$125:$M$125</definedName>
    <definedName name="套综工程地质条件">'土地比较法-住宅、综合'!$B$124:$M$124</definedName>
    <definedName name="套综交易情况" localSheetId="35">'[2]土地比较法-住宅、综合'!$A$73:$M$73</definedName>
    <definedName name="套综交易情况" localSheetId="22">'[2]土地比较法-住宅、综合'!$A$73:$M$73</definedName>
    <definedName name="套综交易情况">'土地比较法-住宅、综合'!$A$72:$M$72</definedName>
    <definedName name="套综临街宽度及深度" localSheetId="35">'[2]土地比较法-住宅、综合'!$B$121:$M$121</definedName>
    <definedName name="套综临街宽度及深度" localSheetId="22">'[2]土地比较法-住宅、综合'!$B$121:$M$121</definedName>
    <definedName name="套综临街宽度及深度">'土地比较法-住宅、综合'!$B$120:$M$120</definedName>
    <definedName name="套综土地级别" localSheetId="35">'[2]土地比较法-住宅、综合'!$B$108:$M$108</definedName>
    <definedName name="套综土地级别" localSheetId="22">'[2]土地比较法-住宅、综合'!$B$108:$M$108</definedName>
    <definedName name="套综土地级别">'土地比较法-住宅、综合'!$B$107:$M$107</definedName>
    <definedName name="套综用途" localSheetId="35">'[2]土地比较法-住宅、综合'!$B$75:$M$75</definedName>
    <definedName name="套综用途" localSheetId="22">'[2]土地比较法-住宅、综合'!$B$75:$M$75</definedName>
    <definedName name="套综用途">'土地比较法-住宅、综合'!$B$74:$M$74</definedName>
    <definedName name="套综宗地内开发程度" localSheetId="35">'[2]土地比较法-住宅、综合'!$B$123:$M$123</definedName>
    <definedName name="套综宗地内开发程度" localSheetId="22">'[2]土地比较法-住宅、综合'!$B$123:$M$123</definedName>
    <definedName name="套综宗地内开发程度">'土地比较法-住宅、综合'!$B$122:$M$122</definedName>
    <definedName name="套综宗地形状" localSheetId="35">'[2]土地比较法-住宅、综合'!$B$119:$M$119</definedName>
    <definedName name="套综宗地形状" localSheetId="22">'[2]土地比较法-住宅、综合'!$B$119:$M$119</definedName>
    <definedName name="套综宗地形状">'土地比较法-住宅、综合'!$B$118:$M$118</definedName>
    <definedName name="土地估价师">估价师及机构信息!$D$3:$D$24</definedName>
    <definedName name="土地级别" localSheetId="35">[2]定义!$C$1:$C$14</definedName>
    <definedName name="土地级别" localSheetId="22">[2]定义!$C$1:$C$14</definedName>
    <definedName name="土地级别">定义!$C$1:$C$14</definedName>
    <definedName name="土地利用方向">定义!$P$1:$P$6</definedName>
    <definedName name="土地年限区间" localSheetId="35">[2]定义!$I$1:$I$8</definedName>
    <definedName name="土地年限区间" localSheetId="22">[2]定义!$I$1:$I$8</definedName>
    <definedName name="土地年限区间">定义!$I$1:$I$16</definedName>
    <definedName name="位置" localSheetId="35">[2]定义!$E$2:$E$4</definedName>
    <definedName name="位置" localSheetId="22">[2]定义!$E$2:$E$4</definedName>
    <definedName name="位置">定义!$E$2:$E$4</definedName>
    <definedName name="我">'[1]比较法-办公'!$B$115:$M$115</definedName>
    <definedName name="五等判定" localSheetId="35">[2]定义!$W$1:$W$6</definedName>
    <definedName name="五等判定" localSheetId="22">[2]定义!$W$1:$W$6</definedName>
    <definedName name="五等判定">定义!$W$1:$W$6</definedName>
    <definedName name="五级">区片价!$M$1:$M$41</definedName>
    <definedName name="项目类型" localSheetId="35">'[2]数据-汇总表'!$C$17:$C$26</definedName>
    <definedName name="项目类型" localSheetId="22">'[2]数据-汇总表'!$C$17:$C$26</definedName>
    <definedName name="项目类型" localSheetId="32">'[3]数据-汇总表'!$C$17:$C$26</definedName>
    <definedName name="项目类型">'数据-汇总表'!$C$17:$C$26</definedName>
    <definedName name="写字楼等级" localSheetId="35">'[2]比较法-办公'!$B$113:$M$113</definedName>
    <definedName name="写字楼等级" localSheetId="22">'[2]比较法-办公'!$B$113:$M$113</definedName>
    <definedName name="写字楼等级" localSheetId="36">'售价比较法-办公 '!$B$113:$M$113</definedName>
    <definedName name="写字楼等级">'租金比较法-办公'!$B$113:$M$113</definedName>
    <definedName name="一级">区片价!$I$1:$I$6</definedName>
    <definedName name="一修多修正项2" localSheetId="35">[2]典型户型修正!$5:$5</definedName>
    <definedName name="一修多修正项2" localSheetId="22">[2]典型户型修正!$5:$5</definedName>
    <definedName name="一修多修正项2">典型户型修正!$5:$5</definedName>
    <definedName name="一修多修正项3" localSheetId="35">[2]典型户型修正!$7:$7</definedName>
    <definedName name="一修多修正项3" localSheetId="22">[2]典型户型修正!$7:$7</definedName>
    <definedName name="一修多修正项3">典型户型修正!$7:$7</definedName>
    <definedName name="一修多修正项4" localSheetId="35">[2]典型户型修正!$9:$9</definedName>
    <definedName name="一修多修正项4" localSheetId="22">[2]典型户型修正!$9:$9</definedName>
    <definedName name="一修多修正项4">典型户型修正!$9:$9</definedName>
    <definedName name="一修多修正项5" localSheetId="35">[2]典型户型修正!$11:$11</definedName>
    <definedName name="一修多修正项5" localSheetId="22">[2]典型户型修正!$11:$11</definedName>
    <definedName name="一修多修正项5">典型户型修正!$11:$11</definedName>
    <definedName name="一修多修正项6" localSheetId="35">[2]典型户型修正!$13:$13</definedName>
    <definedName name="一修多修正项6" localSheetId="22">[2]典型户型修正!$13:$13</definedName>
    <definedName name="一修多修正项6">典型户型修正!$13:$13</definedName>
    <definedName name="一修多修正项7" localSheetId="35">[2]典型户型修正!$15:$15</definedName>
    <definedName name="一修多修正项7" localSheetId="22">[2]典型户型修正!$15:$15</definedName>
    <definedName name="一修多修正项7">典型户型修正!$15:$15</definedName>
    <definedName name="一修多修正项8" localSheetId="35">[2]典型户型修正!$17:$17</definedName>
    <definedName name="一修多修正项8" localSheetId="22">[2]典型户型修正!$17:$17</definedName>
    <definedName name="一修多修正项8">典型户型修正!$17:$17</definedName>
    <definedName name="用途明细" localSheetId="35">[2]定义!$A$1:$A$50</definedName>
    <definedName name="用途明细" localSheetId="22">[2]定义!$A$1:$A$50</definedName>
    <definedName name="用途明细">定义!$A$1:$A$50</definedName>
    <definedName name="有无电梯" localSheetId="35">'[2]比较法-仓储'!$B$84:$M$84</definedName>
    <definedName name="有无电梯" localSheetId="22">'[2]比较法-仓储'!$B$84:$M$84</definedName>
    <definedName name="有无电梯">'比较法-仓储'!$B$84:$M$84</definedName>
    <definedName name="主用途" localSheetId="35">[2]定义!$F$1:$F$10</definedName>
    <definedName name="主用途" localSheetId="22">[2]定义!$F$1:$F$10</definedName>
    <definedName name="主用途">定义!$F$1:$F$12</definedName>
    <definedName name="住宅朝向" localSheetId="35">'[2]比较法-住宅'!$B$88:$M$88</definedName>
    <definedName name="住宅朝向" localSheetId="22">'[2]比较法-住宅'!$B$88:$M$88</definedName>
    <definedName name="住宅朝向">'比较法-住宅'!$B$88:$M$88</definedName>
    <definedName name="住宅房型" localSheetId="35">'[2]比较法-住宅'!$B$118:$M$118</definedName>
    <definedName name="住宅房型" localSheetId="22">'[2]比较法-住宅'!$B$118:$M$118</definedName>
    <definedName name="住宅房型">'比较法-住宅'!$B$118:$M$118</definedName>
    <definedName name="住宅公共部分装修" localSheetId="35">'[2]比较法-住宅'!$B$109:$M$109</definedName>
    <definedName name="住宅公共部分装修" localSheetId="22">'[2]比较法-住宅'!$B$109:$M$109</definedName>
    <definedName name="住宅公共部分装修">'比较法-住宅'!$B$109:$M$109</definedName>
    <definedName name="住宅基础设施水平" localSheetId="35">'[2]比较法-住宅'!$B$116:$M$116</definedName>
    <definedName name="住宅基础设施水平" localSheetId="22">'[2]比较法-住宅'!$B$116:$M$116</definedName>
    <definedName name="住宅基础设施水平">'比较法-住宅'!$B$116:$M$116</definedName>
    <definedName name="住宅建筑结构" localSheetId="35">'[2]比较法-住宅'!$B$105:$M$105</definedName>
    <definedName name="住宅建筑结构" localSheetId="22">'[2]比较法-住宅'!$B$105:$M$105</definedName>
    <definedName name="住宅建筑结构">'比较法-住宅'!$B$105:$M$105</definedName>
    <definedName name="住宅建筑类型" localSheetId="35">'[2]比较法-住宅'!$B$100:$M$100</definedName>
    <definedName name="住宅建筑类型" localSheetId="22">'[2]比较法-住宅'!$B$100:$M$100</definedName>
    <definedName name="住宅建筑类型">'比较法-住宅'!$B$100:$M$100</definedName>
    <definedName name="住宅建筑品质" localSheetId="35">'[2]比较法-住宅'!$B$107:$M$107</definedName>
    <definedName name="住宅建筑品质" localSheetId="22">'[2]比较法-住宅'!$B$107:$M$107</definedName>
    <definedName name="住宅建筑品质">'比较法-住宅'!$B$107:$M$107</definedName>
    <definedName name="住宅交易情况" localSheetId="35">'[2]比较法-住宅'!$A$61:$M$61</definedName>
    <definedName name="住宅交易情况" localSheetId="22">'[2]比较法-住宅'!$A$61:$M$61</definedName>
    <definedName name="住宅交易情况">'比较法-住宅'!$A$61:$M$61</definedName>
    <definedName name="住宅楼层" localSheetId="35">'[2]比较法-住宅'!$B$86:$M$86</definedName>
    <definedName name="住宅楼层" localSheetId="22">'[2]比较法-住宅'!$B$86:$M$86</definedName>
    <definedName name="住宅楼层">'比较法-住宅'!$B$86:$M$86</definedName>
    <definedName name="住宅内部装修" localSheetId="35">'[2]比较法-住宅'!$B$122:$M$122</definedName>
    <definedName name="住宅内部装修" localSheetId="22">'[2]比较法-住宅'!$B$122:$M$122</definedName>
    <definedName name="住宅内部装修">'比较法-住宅'!$B$122:$M$122</definedName>
    <definedName name="住宅物业管理" localSheetId="35">'[2]比较法-住宅'!$B$114:$M$114</definedName>
    <definedName name="住宅物业管理" localSheetId="22">'[2]比较法-住宅'!$B$114:$M$114</definedName>
    <definedName name="住宅物业管理">'比较法-住宅'!$B$114:$M$114</definedName>
    <definedName name="住宅用途" localSheetId="35">'[2]比较法-住宅'!$B$63:$M$63</definedName>
    <definedName name="住宅用途" localSheetId="22">'[2]比较法-住宅'!$B$63:$M$63</definedName>
    <definedName name="住宅用途">'比较法-住宅'!$B$63:$M$63</definedName>
    <definedName name="住宅主力户型面积">'比较法-住宅'!$B$120:$M$120</definedName>
    <definedName name="注册房地产估价师" localSheetId="35">[2]估价师及机构信息!$A$3:$A$24</definedName>
    <definedName name="注册房地产估价师" localSheetId="22">[2]估价师及机构信息!$A$3:$A$24</definedName>
    <definedName name="注册房地产估价师">估价师及机构信息!$A$3:$A$16</definedName>
  </definedNames>
  <calcPr calcId="152511"/>
</workbook>
</file>

<file path=xl/calcChain.xml><?xml version="1.0" encoding="utf-8"?>
<calcChain xmlns="http://schemas.openxmlformats.org/spreadsheetml/2006/main">
  <c r="C3" i="89" l="1"/>
  <c r="C3" i="83"/>
  <c r="E7" i="90" l="1"/>
  <c r="E6" i="90"/>
  <c r="E5" i="90"/>
  <c r="G16" i="90" l="1"/>
  <c r="G21" i="90" l="1"/>
  <c r="C34" i="34"/>
  <c r="I3" i="89"/>
  <c r="E8" i="90"/>
  <c r="I3" i="83"/>
  <c r="C33" i="33"/>
  <c r="C33" i="82"/>
  <c r="H15" i="90"/>
  <c r="H16" i="90"/>
  <c r="I18" i="90" s="1"/>
  <c r="J4" i="90"/>
  <c r="J2" i="90"/>
  <c r="D39" i="92"/>
  <c r="D38" i="92"/>
  <c r="D37" i="92"/>
  <c r="D36" i="92"/>
  <c r="D35" i="92"/>
  <c r="D34" i="92"/>
  <c r="G27" i="92"/>
  <c r="I15" i="90" l="1"/>
  <c r="H27" i="92"/>
  <c r="G17" i="92"/>
  <c r="F28" i="92"/>
  <c r="F2" i="92"/>
  <c r="F29" i="92" s="1"/>
  <c r="V45" i="80"/>
  <c r="Z27" i="80"/>
  <c r="Z26" i="80"/>
  <c r="Z25" i="80"/>
  <c r="Z24" i="80"/>
  <c r="Z23" i="80"/>
  <c r="Z22" i="80"/>
  <c r="Z21" i="80"/>
  <c r="Z20" i="80"/>
  <c r="Z19" i="80"/>
  <c r="Z18" i="80"/>
  <c r="Z17" i="80"/>
  <c r="Z16" i="80"/>
  <c r="Z15" i="80"/>
  <c r="Z14" i="80"/>
  <c r="Z13" i="80"/>
  <c r="Z12" i="80"/>
  <c r="Z11" i="80"/>
  <c r="Z10" i="80"/>
  <c r="Z9" i="80"/>
  <c r="Z8" i="80"/>
  <c r="Z7" i="80"/>
  <c r="Z6" i="80"/>
  <c r="Z5" i="80"/>
  <c r="Z4" i="80"/>
  <c r="Z3" i="80"/>
  <c r="Z2" i="80"/>
  <c r="U28" i="80" l="1"/>
  <c r="F93" i="87" l="1"/>
  <c r="E93" i="87"/>
  <c r="F46" i="89"/>
  <c r="C37" i="89"/>
  <c r="E29" i="89"/>
  <c r="H26" i="89"/>
  <c r="H25" i="89"/>
  <c r="E24" i="89" s="1"/>
  <c r="E25" i="89"/>
  <c r="C22" i="89"/>
  <c r="C21" i="89"/>
  <c r="E19" i="89" s="1"/>
  <c r="F19" i="89"/>
  <c r="C18" i="89"/>
  <c r="E16" i="89" s="1"/>
  <c r="F16" i="89"/>
  <c r="E15" i="89"/>
  <c r="C15" i="89"/>
  <c r="H12" i="89"/>
  <c r="I11" i="89"/>
  <c r="M10" i="89"/>
  <c r="P9" i="89"/>
  <c r="O10" i="89" s="1"/>
  <c r="H9" i="89"/>
  <c r="I5" i="89"/>
  <c r="M4" i="89"/>
  <c r="I5" i="87"/>
  <c r="B131" i="87"/>
  <c r="J47" i="87" s="1"/>
  <c r="B129" i="87"/>
  <c r="B127" i="87"/>
  <c r="J45" i="87" s="1"/>
  <c r="D126" i="87"/>
  <c r="J44" i="87" s="1"/>
  <c r="E124" i="87"/>
  <c r="F124" i="87" s="1"/>
  <c r="G124" i="87" s="1"/>
  <c r="H124" i="87" s="1"/>
  <c r="I124" i="87" s="1"/>
  <c r="J124" i="87" s="1"/>
  <c r="K124" i="87" s="1"/>
  <c r="L124" i="87" s="1"/>
  <c r="M124" i="87" s="1"/>
  <c r="D124" i="87"/>
  <c r="D120" i="87"/>
  <c r="E120" i="87" s="1"/>
  <c r="F120" i="87" s="1"/>
  <c r="G120" i="87" s="1"/>
  <c r="H120" i="87" s="1"/>
  <c r="I120" i="87" s="1"/>
  <c r="J120" i="87" s="1"/>
  <c r="K120" i="87" s="1"/>
  <c r="L120" i="87" s="1"/>
  <c r="M120" i="87" s="1"/>
  <c r="G118" i="87"/>
  <c r="D118" i="87"/>
  <c r="E118" i="87" s="1"/>
  <c r="F118" i="87" s="1"/>
  <c r="I116" i="87"/>
  <c r="J116" i="87" s="1"/>
  <c r="K116" i="87" s="1"/>
  <c r="L116" i="87" s="1"/>
  <c r="M116" i="87" s="1"/>
  <c r="E116" i="87"/>
  <c r="F116" i="87" s="1"/>
  <c r="G116" i="87" s="1"/>
  <c r="H116" i="87" s="1"/>
  <c r="D116" i="87"/>
  <c r="G114" i="87"/>
  <c r="H114" i="87" s="1"/>
  <c r="I114" i="87" s="1"/>
  <c r="J114" i="87" s="1"/>
  <c r="K114" i="87" s="1"/>
  <c r="L114" i="87" s="1"/>
  <c r="M114" i="87" s="1"/>
  <c r="D114" i="87"/>
  <c r="E114" i="87" s="1"/>
  <c r="F114" i="87" s="1"/>
  <c r="E112" i="87"/>
  <c r="F112" i="87" s="1"/>
  <c r="G112" i="87" s="1"/>
  <c r="D112" i="87"/>
  <c r="G110" i="87"/>
  <c r="F110" i="87"/>
  <c r="E110" i="87"/>
  <c r="D110" i="87"/>
  <c r="C110" i="87"/>
  <c r="H109" i="87"/>
  <c r="I109" i="87" s="1"/>
  <c r="J109" i="87" s="1"/>
  <c r="K109" i="87" s="1"/>
  <c r="L109" i="87" s="1"/>
  <c r="M109" i="87" s="1"/>
  <c r="D109" i="87"/>
  <c r="E109" i="87" s="1"/>
  <c r="F109" i="87" s="1"/>
  <c r="G109" i="87" s="1"/>
  <c r="D107" i="87"/>
  <c r="E107" i="87" s="1"/>
  <c r="F107" i="87" s="1"/>
  <c r="G107" i="87" s="1"/>
  <c r="H107" i="87" s="1"/>
  <c r="I107" i="87" s="1"/>
  <c r="J107" i="87" s="1"/>
  <c r="K107" i="87" s="1"/>
  <c r="L107" i="87" s="1"/>
  <c r="M107" i="87" s="1"/>
  <c r="M103" i="87"/>
  <c r="L103" i="87"/>
  <c r="K103" i="87"/>
  <c r="J103" i="87"/>
  <c r="I103" i="87"/>
  <c r="H103" i="87"/>
  <c r="G103" i="87"/>
  <c r="F103" i="87"/>
  <c r="E103" i="87"/>
  <c r="D103" i="87"/>
  <c r="C103" i="87"/>
  <c r="K102" i="87"/>
  <c r="L102" i="87" s="1"/>
  <c r="M102" i="87" s="1"/>
  <c r="G102" i="87"/>
  <c r="H102" i="87" s="1"/>
  <c r="I102" i="87" s="1"/>
  <c r="J102" i="87" s="1"/>
  <c r="D102" i="87"/>
  <c r="E102" i="87" s="1"/>
  <c r="F102" i="87" s="1"/>
  <c r="B99" i="87"/>
  <c r="J32" i="87" s="1"/>
  <c r="B97" i="87"/>
  <c r="B95" i="87"/>
  <c r="J29" i="87"/>
  <c r="AC29" i="87" s="1"/>
  <c r="C93" i="87"/>
  <c r="B93" i="87"/>
  <c r="I92" i="87"/>
  <c r="J92" i="87" s="1"/>
  <c r="K92" i="87" s="1"/>
  <c r="L92" i="87" s="1"/>
  <c r="M92" i="87" s="1"/>
  <c r="E92" i="87"/>
  <c r="F92" i="87" s="1"/>
  <c r="G92" i="87" s="1"/>
  <c r="H92" i="87" s="1"/>
  <c r="D92" i="87"/>
  <c r="B91" i="87"/>
  <c r="L90" i="87"/>
  <c r="M90" i="87" s="1"/>
  <c r="H90" i="87"/>
  <c r="I90" i="87" s="1"/>
  <c r="J90" i="87" s="1"/>
  <c r="K90" i="87" s="1"/>
  <c r="D90" i="87"/>
  <c r="E90" i="87" s="1"/>
  <c r="F90" i="87" s="1"/>
  <c r="G90" i="87" s="1"/>
  <c r="B89" i="87"/>
  <c r="K88" i="87"/>
  <c r="L88" i="87" s="1"/>
  <c r="M88" i="87" s="1"/>
  <c r="G88" i="87"/>
  <c r="H88" i="87" s="1"/>
  <c r="I88" i="87" s="1"/>
  <c r="J88" i="87" s="1"/>
  <c r="D88" i="87"/>
  <c r="E88" i="87" s="1"/>
  <c r="F88" i="87" s="1"/>
  <c r="D86" i="87"/>
  <c r="E86" i="87" s="1"/>
  <c r="F86" i="87" s="1"/>
  <c r="G86" i="87" s="1"/>
  <c r="G84" i="87"/>
  <c r="D84" i="87"/>
  <c r="E84" i="87" s="1"/>
  <c r="F84" i="87" s="1"/>
  <c r="D82" i="87"/>
  <c r="E82" i="87" s="1"/>
  <c r="F82" i="87" s="1"/>
  <c r="G82" i="87" s="1"/>
  <c r="G80" i="87"/>
  <c r="D80" i="87"/>
  <c r="E80" i="87" s="1"/>
  <c r="F80" i="87" s="1"/>
  <c r="D78" i="87"/>
  <c r="E78" i="87" s="1"/>
  <c r="F78" i="87" s="1"/>
  <c r="G78" i="87" s="1"/>
  <c r="B75" i="87"/>
  <c r="B73" i="87"/>
  <c r="B71" i="87"/>
  <c r="L70" i="87"/>
  <c r="M70" i="87" s="1"/>
  <c r="H70" i="87"/>
  <c r="I70" i="87" s="1"/>
  <c r="J70" i="87" s="1"/>
  <c r="K70" i="87" s="1"/>
  <c r="D70" i="87"/>
  <c r="E70" i="87" s="1"/>
  <c r="F70" i="87" s="1"/>
  <c r="G70" i="87" s="1"/>
  <c r="M68" i="87"/>
  <c r="L68" i="87"/>
  <c r="K68" i="87"/>
  <c r="J68" i="87"/>
  <c r="I68" i="87"/>
  <c r="H68" i="87"/>
  <c r="G68" i="87"/>
  <c r="F68" i="87"/>
  <c r="E68" i="87"/>
  <c r="D68" i="87"/>
  <c r="C68" i="87"/>
  <c r="C64" i="87"/>
  <c r="I55" i="87"/>
  <c r="J55" i="87" s="1"/>
  <c r="G55" i="87"/>
  <c r="H55" i="87" s="1"/>
  <c r="E55" i="87"/>
  <c r="F55" i="87" s="1"/>
  <c r="P50" i="87"/>
  <c r="P49" i="87"/>
  <c r="K49" i="87"/>
  <c r="V48" i="87"/>
  <c r="T48" i="87"/>
  <c r="R48" i="87"/>
  <c r="P48" i="87"/>
  <c r="Q47" i="87"/>
  <c r="Z47" i="87" s="1"/>
  <c r="Q46" i="87"/>
  <c r="Z46" i="87" s="1"/>
  <c r="J46" i="87"/>
  <c r="AC46" i="87" s="1"/>
  <c r="H46" i="87"/>
  <c r="AB46" i="87" s="1"/>
  <c r="F46" i="87"/>
  <c r="AA46" i="87" s="1"/>
  <c r="Q45" i="87"/>
  <c r="Z45" i="87" s="1"/>
  <c r="Q44" i="87"/>
  <c r="Z44" i="87" s="1"/>
  <c r="F44" i="87"/>
  <c r="AA44" i="87" s="1"/>
  <c r="W43" i="87"/>
  <c r="Q43" i="87"/>
  <c r="Z43" i="87" s="1"/>
  <c r="J43" i="87"/>
  <c r="AC43" i="87" s="1"/>
  <c r="H43" i="87"/>
  <c r="AB43" i="87" s="1"/>
  <c r="F43" i="87"/>
  <c r="AA43" i="87" s="1"/>
  <c r="Q42" i="87"/>
  <c r="Z42" i="87" s="1"/>
  <c r="J42" i="87"/>
  <c r="AC42" i="87" s="1"/>
  <c r="H42" i="87"/>
  <c r="AB42" i="87" s="1"/>
  <c r="F42" i="87"/>
  <c r="AA42" i="87" s="1"/>
  <c r="Q41" i="87"/>
  <c r="Z41" i="87" s="1"/>
  <c r="J41" i="87"/>
  <c r="AC41" i="87" s="1"/>
  <c r="H41" i="87"/>
  <c r="AB41" i="87" s="1"/>
  <c r="F41" i="87"/>
  <c r="AA41" i="87" s="1"/>
  <c r="Z40" i="87"/>
  <c r="Q40" i="87"/>
  <c r="J40" i="87"/>
  <c r="AC40" i="87" s="1"/>
  <c r="H40" i="87"/>
  <c r="AB40" i="87" s="1"/>
  <c r="F40" i="87"/>
  <c r="AA40" i="87" s="1"/>
  <c r="W39" i="87"/>
  <c r="Q39" i="87"/>
  <c r="Z39" i="87" s="1"/>
  <c r="J39" i="87"/>
  <c r="AC39" i="87" s="1"/>
  <c r="H39" i="87"/>
  <c r="AB39" i="87" s="1"/>
  <c r="F39" i="87"/>
  <c r="AA39" i="87" s="1"/>
  <c r="AB38" i="87"/>
  <c r="U38" i="87"/>
  <c r="Q38" i="87"/>
  <c r="Z38" i="87" s="1"/>
  <c r="J38" i="87"/>
  <c r="AC38" i="87" s="1"/>
  <c r="H38" i="87"/>
  <c r="F38" i="87"/>
  <c r="AA38" i="87" s="1"/>
  <c r="Q37" i="87"/>
  <c r="Z37" i="87" s="1"/>
  <c r="AA36" i="87"/>
  <c r="Z36" i="87"/>
  <c r="Q36" i="87"/>
  <c r="J36" i="87"/>
  <c r="AC36" i="87" s="1"/>
  <c r="H36" i="87"/>
  <c r="AB36" i="87" s="1"/>
  <c r="F36" i="87"/>
  <c r="S36" i="87" s="1"/>
  <c r="Z35" i="87"/>
  <c r="W35" i="87"/>
  <c r="Q35" i="87"/>
  <c r="J35" i="87"/>
  <c r="AC35" i="87" s="1"/>
  <c r="H35" i="87"/>
  <c r="AB35" i="87" s="1"/>
  <c r="F35" i="87"/>
  <c r="AA35" i="87" s="1"/>
  <c r="Q34" i="87"/>
  <c r="Z34" i="87" s="1"/>
  <c r="AB33" i="87"/>
  <c r="U33" i="87"/>
  <c r="Q33" i="87"/>
  <c r="Z33" i="87" s="1"/>
  <c r="J33" i="87"/>
  <c r="W33" i="87" s="1"/>
  <c r="H33" i="87"/>
  <c r="F33" i="87"/>
  <c r="AA33" i="87" s="1"/>
  <c r="AA32" i="87"/>
  <c r="U32" i="87"/>
  <c r="Q32" i="87"/>
  <c r="Z32" i="87" s="1"/>
  <c r="H32" i="87"/>
  <c r="AB32" i="87" s="1"/>
  <c r="F32" i="87"/>
  <c r="S32" i="87" s="1"/>
  <c r="AA31" i="87"/>
  <c r="W31" i="87"/>
  <c r="Q31" i="87"/>
  <c r="Z31" i="87" s="1"/>
  <c r="J31" i="87"/>
  <c r="AC31" i="87" s="1"/>
  <c r="H31" i="87"/>
  <c r="AB31" i="87" s="1"/>
  <c r="F31" i="87"/>
  <c r="S31" i="87" s="1"/>
  <c r="AC30" i="87"/>
  <c r="AB30" i="87"/>
  <c r="Z30" i="87"/>
  <c r="U30" i="87"/>
  <c r="Q30" i="87"/>
  <c r="J30" i="87"/>
  <c r="W30" i="87" s="1"/>
  <c r="H30" i="87"/>
  <c r="F30" i="87"/>
  <c r="AA30" i="87" s="1"/>
  <c r="Q29" i="87"/>
  <c r="Z29" i="87" s="1"/>
  <c r="H29" i="87"/>
  <c r="U29" i="87" s="1"/>
  <c r="F29" i="87"/>
  <c r="S29" i="87" s="1"/>
  <c r="AA28" i="87"/>
  <c r="Q28" i="87"/>
  <c r="Z28" i="87" s="1"/>
  <c r="J28" i="87"/>
  <c r="AC28" i="87" s="1"/>
  <c r="H28" i="87"/>
  <c r="U28" i="87" s="1"/>
  <c r="F28" i="87"/>
  <c r="S28" i="87" s="1"/>
  <c r="AC27" i="87"/>
  <c r="Z27" i="87"/>
  <c r="Q27" i="87"/>
  <c r="J27" i="87"/>
  <c r="W27" i="87" s="1"/>
  <c r="H27" i="87"/>
  <c r="F27" i="87"/>
  <c r="AA27" i="87" s="1"/>
  <c r="Q25" i="87"/>
  <c r="Z25" i="87" s="1"/>
  <c r="J25" i="87"/>
  <c r="AC25" i="87" s="1"/>
  <c r="H25" i="87"/>
  <c r="AB25" i="87" s="1"/>
  <c r="F25" i="87"/>
  <c r="AA25" i="87" s="1"/>
  <c r="Q23" i="87"/>
  <c r="Z23" i="87" s="1"/>
  <c r="J23" i="87"/>
  <c r="AC23" i="87" s="1"/>
  <c r="H23" i="87"/>
  <c r="AB23" i="87" s="1"/>
  <c r="F23" i="87"/>
  <c r="AA23" i="87" s="1"/>
  <c r="C23" i="87"/>
  <c r="Q21" i="87"/>
  <c r="Z21" i="87" s="1"/>
  <c r="J21" i="87"/>
  <c r="AC21" i="87" s="1"/>
  <c r="H21" i="87"/>
  <c r="AB21" i="87" s="1"/>
  <c r="F21" i="87"/>
  <c r="AA21" i="87" s="1"/>
  <c r="C21" i="87"/>
  <c r="Q19" i="87"/>
  <c r="Z19" i="87" s="1"/>
  <c r="J19" i="87"/>
  <c r="AC19" i="87" s="1"/>
  <c r="H19" i="87"/>
  <c r="AB19" i="87" s="1"/>
  <c r="F19" i="87"/>
  <c r="AA19" i="87" s="1"/>
  <c r="C19" i="87"/>
  <c r="Q17" i="87"/>
  <c r="Z17" i="87" s="1"/>
  <c r="J17" i="87"/>
  <c r="AC17" i="87" s="1"/>
  <c r="H17" i="87"/>
  <c r="AB17" i="87" s="1"/>
  <c r="F17" i="87"/>
  <c r="AA17" i="87" s="1"/>
  <c r="C17" i="87"/>
  <c r="Q15" i="87"/>
  <c r="Z15" i="87" s="1"/>
  <c r="J15" i="87"/>
  <c r="AC15" i="87" s="1"/>
  <c r="H15" i="87"/>
  <c r="AB15" i="87" s="1"/>
  <c r="F15" i="87"/>
  <c r="AA15" i="87" s="1"/>
  <c r="C15" i="87"/>
  <c r="Q14" i="87"/>
  <c r="Z14" i="87" s="1"/>
  <c r="J14" i="87"/>
  <c r="AC14" i="87" s="1"/>
  <c r="H14" i="87"/>
  <c r="AB14" i="87" s="1"/>
  <c r="F14" i="87"/>
  <c r="AA14" i="87" s="1"/>
  <c r="Q13" i="87"/>
  <c r="Z13" i="87" s="1"/>
  <c r="J13" i="87"/>
  <c r="AC13" i="87" s="1"/>
  <c r="H13" i="87"/>
  <c r="AB13" i="87" s="1"/>
  <c r="F13" i="87"/>
  <c r="AA13" i="87" s="1"/>
  <c r="Q12" i="87"/>
  <c r="Z12" i="87" s="1"/>
  <c r="J12" i="87"/>
  <c r="AC12" i="87" s="1"/>
  <c r="H12" i="87"/>
  <c r="AB12" i="87" s="1"/>
  <c r="F12" i="87"/>
  <c r="AA12" i="87" s="1"/>
  <c r="Q11" i="87"/>
  <c r="Z11" i="87" s="1"/>
  <c r="J11" i="87"/>
  <c r="AC11" i="87" s="1"/>
  <c r="H11" i="87"/>
  <c r="AB11" i="87" s="1"/>
  <c r="F11" i="87"/>
  <c r="AA11" i="87" s="1"/>
  <c r="Q10" i="87"/>
  <c r="Z10" i="87" s="1"/>
  <c r="J10" i="87"/>
  <c r="AC10" i="87" s="1"/>
  <c r="H10" i="87"/>
  <c r="AB10" i="87" s="1"/>
  <c r="F10" i="87"/>
  <c r="AA10" i="87" s="1"/>
  <c r="Q9" i="87"/>
  <c r="Z9" i="87" s="1"/>
  <c r="J9" i="87"/>
  <c r="AC9" i="87" s="1"/>
  <c r="H9" i="87"/>
  <c r="AB9" i="87" s="1"/>
  <c r="F9" i="87"/>
  <c r="AA9" i="87" s="1"/>
  <c r="AA8" i="87"/>
  <c r="J8" i="87"/>
  <c r="W8" i="87" s="1"/>
  <c r="H8" i="87"/>
  <c r="U8" i="87" s="1"/>
  <c r="F8" i="87"/>
  <c r="S8" i="87" s="1"/>
  <c r="I7" i="87"/>
  <c r="G7" i="87"/>
  <c r="E7" i="87"/>
  <c r="C7" i="87"/>
  <c r="C59" i="87" s="1"/>
  <c r="D59" i="87" s="1"/>
  <c r="E59" i="87" s="1"/>
  <c r="F59" i="87" s="1"/>
  <c r="G59" i="87" s="1"/>
  <c r="H59" i="87" s="1"/>
  <c r="I59" i="87" s="1"/>
  <c r="J59" i="87" s="1"/>
  <c r="K59" i="87" s="1"/>
  <c r="L59" i="87" s="1"/>
  <c r="M59" i="87" s="1"/>
  <c r="N59" i="87" s="1"/>
  <c r="O59" i="87" s="1"/>
  <c r="E5" i="87"/>
  <c r="B2" i="87"/>
  <c r="F93" i="34"/>
  <c r="E93" i="34"/>
  <c r="D93" i="34"/>
  <c r="C93" i="34"/>
  <c r="D2" i="87"/>
  <c r="AC47" i="87" l="1"/>
  <c r="W47" i="87"/>
  <c r="F47" i="87"/>
  <c r="AA47" i="87" s="1"/>
  <c r="H47" i="87"/>
  <c r="AB47" i="87" s="1"/>
  <c r="F45" i="87"/>
  <c r="AA45" i="87" s="1"/>
  <c r="H45" i="87"/>
  <c r="AB45" i="87" s="1"/>
  <c r="F7" i="87"/>
  <c r="H7" i="87"/>
  <c r="J7" i="87"/>
  <c r="W10" i="87"/>
  <c r="S12" i="87"/>
  <c r="U13" i="87"/>
  <c r="W14" i="87"/>
  <c r="W21" i="87"/>
  <c r="W15" i="87"/>
  <c r="W19" i="87"/>
  <c r="W23" i="87"/>
  <c r="S27" i="87"/>
  <c r="W29" i="87"/>
  <c r="S41" i="87"/>
  <c r="H112" i="87"/>
  <c r="I112" i="87" s="1"/>
  <c r="J112" i="87" s="1"/>
  <c r="K112" i="87" s="1"/>
  <c r="L112" i="87" s="1"/>
  <c r="M112" i="87" s="1"/>
  <c r="J37" i="87"/>
  <c r="AB8" i="87"/>
  <c r="W9" i="87"/>
  <c r="S11" i="87"/>
  <c r="U12" i="87"/>
  <c r="W13" i="87"/>
  <c r="S25" i="87"/>
  <c r="AB27" i="87"/>
  <c r="U27" i="87"/>
  <c r="AB28" i="87"/>
  <c r="AA29" i="87"/>
  <c r="AC33" i="87"/>
  <c r="F37" i="87"/>
  <c r="W38" i="87"/>
  <c r="AC32" i="87"/>
  <c r="W32" i="87"/>
  <c r="AC45" i="87"/>
  <c r="W45" i="87"/>
  <c r="AC8" i="87"/>
  <c r="S10" i="87"/>
  <c r="U11" i="87"/>
  <c r="W12" i="87"/>
  <c r="S14" i="87"/>
  <c r="S15" i="87"/>
  <c r="S17" i="87"/>
  <c r="S19" i="87"/>
  <c r="S21" i="87"/>
  <c r="S23" i="87"/>
  <c r="U25" i="87"/>
  <c r="AB29" i="87"/>
  <c r="H37" i="87"/>
  <c r="U42" i="87"/>
  <c r="U46" i="87"/>
  <c r="U9" i="87"/>
  <c r="W17" i="87"/>
  <c r="S9" i="87"/>
  <c r="U10" i="87"/>
  <c r="W11" i="87"/>
  <c r="S13" i="87"/>
  <c r="U14" i="87"/>
  <c r="U15" i="87"/>
  <c r="U17" i="87"/>
  <c r="U19" i="87"/>
  <c r="U21" i="87"/>
  <c r="U23" i="87"/>
  <c r="W25" i="87"/>
  <c r="AC44" i="87"/>
  <c r="W44" i="87"/>
  <c r="S40" i="87"/>
  <c r="U41" i="87"/>
  <c r="W42" i="87"/>
  <c r="S44" i="87"/>
  <c r="W46" i="87"/>
  <c r="W28" i="87"/>
  <c r="S30" i="87"/>
  <c r="U31" i="87"/>
  <c r="S35" i="87"/>
  <c r="U36" i="87"/>
  <c r="S39" i="87"/>
  <c r="U40" i="87"/>
  <c r="W41" i="87"/>
  <c r="S43" i="87"/>
  <c r="H44" i="87"/>
  <c r="E126" i="87"/>
  <c r="F126" i="87" s="1"/>
  <c r="G126" i="87" s="1"/>
  <c r="S33" i="87"/>
  <c r="U35" i="87"/>
  <c r="W36" i="87"/>
  <c r="S38" i="87"/>
  <c r="U39" i="87"/>
  <c r="W40" i="87"/>
  <c r="S42" i="87"/>
  <c r="U43" i="87"/>
  <c r="S46" i="87"/>
  <c r="U47" i="87"/>
  <c r="I7" i="34"/>
  <c r="G7" i="34"/>
  <c r="E7" i="34"/>
  <c r="E5" i="34"/>
  <c r="I7" i="33"/>
  <c r="G7" i="33"/>
  <c r="E7" i="33"/>
  <c r="C5" i="33"/>
  <c r="S47" i="87" l="1"/>
  <c r="S45" i="87"/>
  <c r="U45" i="87"/>
  <c r="AB44" i="87"/>
  <c r="U44" i="87"/>
  <c r="AA37" i="87"/>
  <c r="S37" i="87"/>
  <c r="AB37" i="87"/>
  <c r="U37" i="87"/>
  <c r="AC37" i="87"/>
  <c r="W37" i="87"/>
  <c r="W7" i="87"/>
  <c r="AC7" i="87"/>
  <c r="AB7" i="87"/>
  <c r="U7" i="87"/>
  <c r="AA7" i="87"/>
  <c r="S7" i="87"/>
  <c r="I7" i="82"/>
  <c r="G7" i="82"/>
  <c r="E7" i="82"/>
  <c r="I5" i="83" l="1"/>
  <c r="R2" i="80"/>
  <c r="R3" i="80"/>
  <c r="R4" i="80"/>
  <c r="R5" i="80"/>
  <c r="R6" i="80"/>
  <c r="R7" i="80"/>
  <c r="R8" i="80"/>
  <c r="R9" i="80"/>
  <c r="R10" i="80"/>
  <c r="R11" i="80"/>
  <c r="R12" i="80"/>
  <c r="R13" i="80"/>
  <c r="R14" i="80"/>
  <c r="R15" i="80"/>
  <c r="R16" i="80"/>
  <c r="R17" i="80"/>
  <c r="R18" i="80"/>
  <c r="R19" i="80"/>
  <c r="R20" i="80"/>
  <c r="R21" i="80"/>
  <c r="R22" i="80"/>
  <c r="R23" i="80"/>
  <c r="R24" i="80"/>
  <c r="R25" i="80"/>
  <c r="R26" i="80"/>
  <c r="S27" i="80"/>
  <c r="S29" i="80"/>
  <c r="S31" i="80" s="1"/>
  <c r="M31" i="80"/>
  <c r="L21" i="1"/>
  <c r="L20" i="1"/>
  <c r="B55" i="1"/>
  <c r="B56" i="1"/>
  <c r="B57" i="1"/>
  <c r="B58" i="1"/>
  <c r="B59" i="1"/>
  <c r="B54" i="1"/>
  <c r="K13" i="3"/>
  <c r="F20" i="6" s="1"/>
  <c r="AH7" i="1" s="1"/>
  <c r="F46" i="83" l="1"/>
  <c r="C37" i="83"/>
  <c r="E29" i="83"/>
  <c r="H26" i="83"/>
  <c r="H25" i="83"/>
  <c r="E25" i="83"/>
  <c r="E24" i="83"/>
  <c r="C22" i="83"/>
  <c r="C21" i="83"/>
  <c r="F19" i="83"/>
  <c r="E19" i="83"/>
  <c r="C18" i="83"/>
  <c r="F16" i="83"/>
  <c r="E16" i="83"/>
  <c r="E15" i="83"/>
  <c r="C15" i="83"/>
  <c r="H12" i="83"/>
  <c r="I11" i="83"/>
  <c r="O10" i="83"/>
  <c r="M10" i="83"/>
  <c r="P9" i="83"/>
  <c r="H9" i="83"/>
  <c r="M4" i="83"/>
  <c r="B130" i="82"/>
  <c r="B128" i="82"/>
  <c r="B126" i="82"/>
  <c r="D125" i="82"/>
  <c r="E125" i="82" s="1"/>
  <c r="F125" i="82" s="1"/>
  <c r="G125" i="82" s="1"/>
  <c r="D123" i="82"/>
  <c r="E123" i="82" s="1"/>
  <c r="F123" i="82" s="1"/>
  <c r="G123" i="82" s="1"/>
  <c r="H123" i="82" s="1"/>
  <c r="I123" i="82" s="1"/>
  <c r="J123" i="82" s="1"/>
  <c r="K123" i="82" s="1"/>
  <c r="L123" i="82" s="1"/>
  <c r="M123" i="82" s="1"/>
  <c r="D121" i="82"/>
  <c r="E121" i="82" s="1"/>
  <c r="F121" i="82" s="1"/>
  <c r="G121" i="82" s="1"/>
  <c r="H121" i="82" s="1"/>
  <c r="I121" i="82" s="1"/>
  <c r="J121" i="82" s="1"/>
  <c r="K121" i="82" s="1"/>
  <c r="L121" i="82" s="1"/>
  <c r="M121" i="82" s="1"/>
  <c r="D117" i="82"/>
  <c r="E117" i="82" s="1"/>
  <c r="F117" i="82" s="1"/>
  <c r="G117" i="82" s="1"/>
  <c r="E115" i="82"/>
  <c r="F115" i="82" s="1"/>
  <c r="G115" i="82" s="1"/>
  <c r="H115" i="82" s="1"/>
  <c r="I115" i="82" s="1"/>
  <c r="J115" i="82" s="1"/>
  <c r="K115" i="82" s="1"/>
  <c r="L115" i="82" s="1"/>
  <c r="M115" i="82" s="1"/>
  <c r="D115" i="82"/>
  <c r="D113" i="82"/>
  <c r="E113" i="82" s="1"/>
  <c r="F113" i="82" s="1"/>
  <c r="G113" i="82" s="1"/>
  <c r="H113" i="82" s="1"/>
  <c r="I113" i="82" s="1"/>
  <c r="J113" i="82" s="1"/>
  <c r="K113" i="82" s="1"/>
  <c r="L113" i="82" s="1"/>
  <c r="M113" i="82" s="1"/>
  <c r="D111" i="82"/>
  <c r="E111" i="82" s="1"/>
  <c r="F111" i="82" s="1"/>
  <c r="G111" i="82" s="1"/>
  <c r="G109" i="82"/>
  <c r="F109" i="82"/>
  <c r="E109" i="82"/>
  <c r="D109" i="82"/>
  <c r="C109" i="82"/>
  <c r="E108" i="82"/>
  <c r="F108" i="82" s="1"/>
  <c r="G108" i="82" s="1"/>
  <c r="H108" i="82" s="1"/>
  <c r="I108" i="82" s="1"/>
  <c r="J108" i="82" s="1"/>
  <c r="K108" i="82" s="1"/>
  <c r="L108" i="82" s="1"/>
  <c r="M108" i="82" s="1"/>
  <c r="D108" i="82"/>
  <c r="D106" i="82"/>
  <c r="E106" i="82" s="1"/>
  <c r="F106" i="82" s="1"/>
  <c r="G106" i="82" s="1"/>
  <c r="H106" i="82" s="1"/>
  <c r="I106" i="82" s="1"/>
  <c r="J106" i="82" s="1"/>
  <c r="K106" i="82" s="1"/>
  <c r="L106" i="82" s="1"/>
  <c r="M106" i="82" s="1"/>
  <c r="M102" i="82"/>
  <c r="L102" i="82"/>
  <c r="K102" i="82"/>
  <c r="J102" i="82"/>
  <c r="I102" i="82"/>
  <c r="H102" i="82"/>
  <c r="G102" i="82"/>
  <c r="F102" i="82"/>
  <c r="E102" i="82"/>
  <c r="D102" i="82"/>
  <c r="C102" i="82"/>
  <c r="D101" i="82"/>
  <c r="E101" i="82" s="1"/>
  <c r="F101" i="82" s="1"/>
  <c r="G101" i="82" s="1"/>
  <c r="H101" i="82" s="1"/>
  <c r="I101" i="82" s="1"/>
  <c r="J101" i="82" s="1"/>
  <c r="K101" i="82" s="1"/>
  <c r="L101" i="82" s="1"/>
  <c r="M101" i="82" s="1"/>
  <c r="B98" i="82"/>
  <c r="F31" i="82" s="1"/>
  <c r="B96" i="82"/>
  <c r="B94" i="82"/>
  <c r="B92" i="82"/>
  <c r="F28" i="82" s="1"/>
  <c r="D91" i="82"/>
  <c r="E91" i="82" s="1"/>
  <c r="F91" i="82" s="1"/>
  <c r="G91" i="82" s="1"/>
  <c r="H91" i="82" s="1"/>
  <c r="I91" i="82" s="1"/>
  <c r="J91" i="82" s="1"/>
  <c r="K91" i="82" s="1"/>
  <c r="L91" i="82" s="1"/>
  <c r="M91" i="82" s="1"/>
  <c r="B90" i="82"/>
  <c r="B88" i="82"/>
  <c r="J26" i="82" s="1"/>
  <c r="D87" i="82"/>
  <c r="E87" i="82" s="1"/>
  <c r="D85" i="82"/>
  <c r="E85" i="82" s="1"/>
  <c r="F85" i="82" s="1"/>
  <c r="G85" i="82" s="1"/>
  <c r="D83" i="82"/>
  <c r="E83" i="82" s="1"/>
  <c r="F83" i="82" s="1"/>
  <c r="G83" i="82" s="1"/>
  <c r="E81" i="82"/>
  <c r="F81" i="82" s="1"/>
  <c r="G81" i="82" s="1"/>
  <c r="D81" i="82"/>
  <c r="D79" i="82"/>
  <c r="E79" i="82" s="1"/>
  <c r="F79" i="82" s="1"/>
  <c r="G79" i="82" s="1"/>
  <c r="D77" i="82"/>
  <c r="E77" i="82" s="1"/>
  <c r="F77" i="82" s="1"/>
  <c r="G77" i="82" s="1"/>
  <c r="B74" i="82"/>
  <c r="B72" i="82"/>
  <c r="J13" i="82" s="1"/>
  <c r="B70" i="82"/>
  <c r="F12" i="82" s="1"/>
  <c r="AA12" i="82" s="1"/>
  <c r="D69" i="82"/>
  <c r="E69" i="82" s="1"/>
  <c r="F69" i="82" s="1"/>
  <c r="G69" i="82" s="1"/>
  <c r="H69" i="82" s="1"/>
  <c r="I69" i="82" s="1"/>
  <c r="J69" i="82" s="1"/>
  <c r="K69" i="82" s="1"/>
  <c r="L69" i="82" s="1"/>
  <c r="M69" i="82" s="1"/>
  <c r="M67" i="82"/>
  <c r="L67" i="82"/>
  <c r="K67" i="82"/>
  <c r="J67" i="82"/>
  <c r="I67" i="82"/>
  <c r="H67" i="82"/>
  <c r="G67" i="82"/>
  <c r="F67" i="82"/>
  <c r="E67" i="82"/>
  <c r="D67" i="82"/>
  <c r="C67" i="82"/>
  <c r="C63" i="82"/>
  <c r="I54" i="82"/>
  <c r="J54" i="82" s="1"/>
  <c r="G54" i="82"/>
  <c r="H54" i="82" s="1"/>
  <c r="E54" i="82"/>
  <c r="F54" i="82" s="1"/>
  <c r="P49" i="82"/>
  <c r="P48" i="82"/>
  <c r="K48" i="82"/>
  <c r="V47" i="82"/>
  <c r="T47" i="82"/>
  <c r="R47" i="82"/>
  <c r="P47" i="82"/>
  <c r="Q46" i="82"/>
  <c r="Z46" i="82" s="1"/>
  <c r="J46" i="82"/>
  <c r="AC46" i="82" s="1"/>
  <c r="H46" i="82"/>
  <c r="U46" i="82" s="1"/>
  <c r="F46" i="82"/>
  <c r="AA46" i="82" s="1"/>
  <c r="Q45" i="82"/>
  <c r="Z45" i="82" s="1"/>
  <c r="J45" i="82"/>
  <c r="AC45" i="82" s="1"/>
  <c r="H45" i="82"/>
  <c r="AB45" i="82" s="1"/>
  <c r="F45" i="82"/>
  <c r="AA45" i="82" s="1"/>
  <c r="Q44" i="82"/>
  <c r="Z44" i="82" s="1"/>
  <c r="Q43" i="82"/>
  <c r="Z43" i="82" s="1"/>
  <c r="J43" i="82"/>
  <c r="AC43" i="82" s="1"/>
  <c r="H43" i="82"/>
  <c r="AB43" i="82" s="1"/>
  <c r="F43" i="82"/>
  <c r="AA43" i="82" s="1"/>
  <c r="Q42" i="82"/>
  <c r="Z42" i="82" s="1"/>
  <c r="J42" i="82"/>
  <c r="AC42" i="82" s="1"/>
  <c r="H42" i="82"/>
  <c r="U42" i="82" s="1"/>
  <c r="F42" i="82"/>
  <c r="AA42" i="82" s="1"/>
  <c r="Q41" i="82"/>
  <c r="Z41" i="82" s="1"/>
  <c r="J41" i="82"/>
  <c r="AC41" i="82" s="1"/>
  <c r="H41" i="82"/>
  <c r="AB41" i="82" s="1"/>
  <c r="F41" i="82"/>
  <c r="AA41" i="82" s="1"/>
  <c r="Q40" i="82"/>
  <c r="Z40" i="82" s="1"/>
  <c r="J40" i="82"/>
  <c r="AC40" i="82" s="1"/>
  <c r="H40" i="82"/>
  <c r="AB40" i="82" s="1"/>
  <c r="F40" i="82"/>
  <c r="AA40" i="82" s="1"/>
  <c r="Q39" i="82"/>
  <c r="Z39" i="82" s="1"/>
  <c r="J39" i="82"/>
  <c r="AC39" i="82" s="1"/>
  <c r="H39" i="82"/>
  <c r="AB39" i="82" s="1"/>
  <c r="F39" i="82"/>
  <c r="AA39" i="82" s="1"/>
  <c r="Q38" i="82"/>
  <c r="Z38" i="82" s="1"/>
  <c r="J38" i="82"/>
  <c r="AC38" i="82" s="1"/>
  <c r="H38" i="82"/>
  <c r="AB38" i="82" s="1"/>
  <c r="F38" i="82"/>
  <c r="AA38" i="82" s="1"/>
  <c r="Q37" i="82"/>
  <c r="Z37" i="82" s="1"/>
  <c r="H37" i="82"/>
  <c r="AB37" i="82" s="1"/>
  <c r="F37" i="82"/>
  <c r="S37" i="82" s="1"/>
  <c r="Q36" i="82"/>
  <c r="Z36" i="82" s="1"/>
  <c r="Q35" i="82"/>
  <c r="Z35" i="82" s="1"/>
  <c r="J35" i="82"/>
  <c r="AC35" i="82" s="1"/>
  <c r="H35" i="82"/>
  <c r="AB35" i="82" s="1"/>
  <c r="F35" i="82"/>
  <c r="AA35" i="82" s="1"/>
  <c r="Q34" i="82"/>
  <c r="Z34" i="82" s="1"/>
  <c r="J34" i="82"/>
  <c r="AC34" i="82" s="1"/>
  <c r="H34" i="82"/>
  <c r="AB34" i="82" s="1"/>
  <c r="F34" i="82"/>
  <c r="AA34" i="82" s="1"/>
  <c r="Z33" i="82"/>
  <c r="Q33" i="82"/>
  <c r="Z32" i="82"/>
  <c r="Q32" i="82"/>
  <c r="F32" i="82"/>
  <c r="AA32" i="82" s="1"/>
  <c r="Q31" i="82"/>
  <c r="Z31" i="82" s="1"/>
  <c r="H31" i="82"/>
  <c r="U31" i="82" s="1"/>
  <c r="Q30" i="82"/>
  <c r="Z30" i="82" s="1"/>
  <c r="J30" i="82"/>
  <c r="AC30" i="82" s="1"/>
  <c r="H30" i="82"/>
  <c r="U30" i="82" s="1"/>
  <c r="F30" i="82"/>
  <c r="AA30" i="82" s="1"/>
  <c r="Z29" i="82"/>
  <c r="W29" i="82"/>
  <c r="Q29" i="82"/>
  <c r="J29" i="82"/>
  <c r="AC29" i="82" s="1"/>
  <c r="H29" i="82"/>
  <c r="AB29" i="82" s="1"/>
  <c r="F29" i="82"/>
  <c r="S29" i="82" s="1"/>
  <c r="Z28" i="82"/>
  <c r="Q28" i="82"/>
  <c r="J28" i="82"/>
  <c r="W28" i="82" s="1"/>
  <c r="H28" i="82"/>
  <c r="U28" i="82" s="1"/>
  <c r="Q27" i="82"/>
  <c r="Z27" i="82" s="1"/>
  <c r="J27" i="82"/>
  <c r="W27" i="82" s="1"/>
  <c r="H27" i="82"/>
  <c r="U27" i="82" s="1"/>
  <c r="F27" i="82"/>
  <c r="S27" i="82" s="1"/>
  <c r="U26" i="82"/>
  <c r="Q26" i="82"/>
  <c r="Z26" i="82" s="1"/>
  <c r="H26" i="82"/>
  <c r="AB26" i="82" s="1"/>
  <c r="F26" i="82"/>
  <c r="AA26" i="82" s="1"/>
  <c r="Q25" i="82"/>
  <c r="Z25" i="82" s="1"/>
  <c r="Q23" i="82"/>
  <c r="Z23" i="82" s="1"/>
  <c r="J23" i="82"/>
  <c r="AC23" i="82" s="1"/>
  <c r="H23" i="82"/>
  <c r="U23" i="82" s="1"/>
  <c r="F23" i="82"/>
  <c r="AA23" i="82" s="1"/>
  <c r="C23" i="82"/>
  <c r="Q21" i="82"/>
  <c r="Z21" i="82" s="1"/>
  <c r="J21" i="82"/>
  <c r="AC21" i="82" s="1"/>
  <c r="H21" i="82"/>
  <c r="AB21" i="82" s="1"/>
  <c r="F21" i="82"/>
  <c r="AA21" i="82" s="1"/>
  <c r="C21" i="82"/>
  <c r="Q19" i="82"/>
  <c r="Z19" i="82" s="1"/>
  <c r="J19" i="82"/>
  <c r="AC19" i="82" s="1"/>
  <c r="H19" i="82"/>
  <c r="AB19" i="82" s="1"/>
  <c r="F19" i="82"/>
  <c r="AA19" i="82" s="1"/>
  <c r="C19" i="82"/>
  <c r="Q17" i="82"/>
  <c r="Z17" i="82" s="1"/>
  <c r="J17" i="82"/>
  <c r="AC17" i="82" s="1"/>
  <c r="H17" i="82"/>
  <c r="AB17" i="82" s="1"/>
  <c r="F17" i="82"/>
  <c r="AA17" i="82" s="1"/>
  <c r="C17" i="82"/>
  <c r="Q15" i="82"/>
  <c r="Z15" i="82" s="1"/>
  <c r="J15" i="82"/>
  <c r="AC15" i="82" s="1"/>
  <c r="H15" i="82"/>
  <c r="AB15" i="82" s="1"/>
  <c r="F15" i="82"/>
  <c r="AA15" i="82" s="1"/>
  <c r="C15" i="82"/>
  <c r="Q14" i="82"/>
  <c r="Z14" i="82" s="1"/>
  <c r="J14" i="82"/>
  <c r="AC14" i="82" s="1"/>
  <c r="H14" i="82"/>
  <c r="AB14" i="82" s="1"/>
  <c r="F14" i="82"/>
  <c r="AA14" i="82" s="1"/>
  <c r="Q13" i="82"/>
  <c r="Z13" i="82" s="1"/>
  <c r="H13" i="82"/>
  <c r="AB13" i="82" s="1"/>
  <c r="F13" i="82"/>
  <c r="AA13" i="82" s="1"/>
  <c r="Q12" i="82"/>
  <c r="Z12" i="82" s="1"/>
  <c r="H12" i="82"/>
  <c r="AB12" i="82" s="1"/>
  <c r="Q11" i="82"/>
  <c r="Z11" i="82" s="1"/>
  <c r="J11" i="82"/>
  <c r="AC11" i="82" s="1"/>
  <c r="H11" i="82"/>
  <c r="AB11" i="82" s="1"/>
  <c r="F11" i="82"/>
  <c r="AA11" i="82" s="1"/>
  <c r="Q10" i="82"/>
  <c r="Z10" i="82" s="1"/>
  <c r="J10" i="82"/>
  <c r="AC10" i="82" s="1"/>
  <c r="H10" i="82"/>
  <c r="AB10" i="82" s="1"/>
  <c r="F10" i="82"/>
  <c r="AA10" i="82" s="1"/>
  <c r="Q9" i="82"/>
  <c r="Z9" i="82" s="1"/>
  <c r="J9" i="82"/>
  <c r="AC9" i="82" s="1"/>
  <c r="H9" i="82"/>
  <c r="AB9" i="82" s="1"/>
  <c r="F9" i="82"/>
  <c r="AA9" i="82" s="1"/>
  <c r="J8" i="82"/>
  <c r="W8" i="82" s="1"/>
  <c r="H8" i="82"/>
  <c r="U8" i="82" s="1"/>
  <c r="F8" i="82"/>
  <c r="S8" i="82" s="1"/>
  <c r="C7" i="82"/>
  <c r="C58" i="82" s="1"/>
  <c r="B2" i="82"/>
  <c r="D2" i="82"/>
  <c r="H32" i="82" l="1"/>
  <c r="AB32" i="82" s="1"/>
  <c r="J32" i="82"/>
  <c r="W32" i="82" s="1"/>
  <c r="U38" i="82"/>
  <c r="J37" i="82"/>
  <c r="AC37" i="82" s="1"/>
  <c r="H111" i="82"/>
  <c r="I111" i="82" s="1"/>
  <c r="J111" i="82" s="1"/>
  <c r="K111" i="82" s="1"/>
  <c r="L111" i="82" s="1"/>
  <c r="M111" i="82" s="1"/>
  <c r="H36" i="82"/>
  <c r="AB36" i="82" s="1"/>
  <c r="F36" i="82"/>
  <c r="AA36" i="82" s="1"/>
  <c r="J36" i="82"/>
  <c r="AC36" i="82" s="1"/>
  <c r="F25" i="82"/>
  <c r="AA25" i="82" s="1"/>
  <c r="F87" i="82"/>
  <c r="G87" i="82" s="1"/>
  <c r="H87" i="82" s="1"/>
  <c r="I87" i="82" s="1"/>
  <c r="J87" i="82" s="1"/>
  <c r="K87" i="82" s="1"/>
  <c r="L87" i="82" s="1"/>
  <c r="M87" i="82" s="1"/>
  <c r="J25" i="82"/>
  <c r="AC25" i="82" s="1"/>
  <c r="H25" i="82"/>
  <c r="AB25" i="82" s="1"/>
  <c r="AA37" i="82"/>
  <c r="W35" i="82"/>
  <c r="U34" i="82"/>
  <c r="AB28" i="82"/>
  <c r="AA27" i="82"/>
  <c r="S26" i="82"/>
  <c r="AB27" i="82"/>
  <c r="S31" i="82"/>
  <c r="AA31" i="82"/>
  <c r="AB30" i="82"/>
  <c r="AB31" i="82"/>
  <c r="J31" i="82"/>
  <c r="W31" i="82" s="1"/>
  <c r="J12" i="82"/>
  <c r="AC12" i="82" s="1"/>
  <c r="AA8" i="82"/>
  <c r="D58" i="82"/>
  <c r="E58" i="82" s="1"/>
  <c r="F58" i="82" s="1"/>
  <c r="G58" i="82" s="1"/>
  <c r="H58" i="82" s="1"/>
  <c r="I58" i="82" s="1"/>
  <c r="J58" i="82" s="1"/>
  <c r="K58" i="82" s="1"/>
  <c r="L58" i="82" s="1"/>
  <c r="M58" i="82" s="1"/>
  <c r="N58" i="82" s="1"/>
  <c r="O58" i="82" s="1"/>
  <c r="J7" i="82"/>
  <c r="H7" i="82"/>
  <c r="F7" i="82"/>
  <c r="AC13" i="82"/>
  <c r="W13" i="82"/>
  <c r="W10" i="82"/>
  <c r="U13" i="82"/>
  <c r="W14" i="82"/>
  <c r="W17" i="82"/>
  <c r="W19" i="82"/>
  <c r="W21" i="82"/>
  <c r="W23" i="82"/>
  <c r="S30" i="82"/>
  <c r="AB42" i="82"/>
  <c r="AB46" i="82"/>
  <c r="AB8" i="82"/>
  <c r="W9" i="82"/>
  <c r="S11" i="82"/>
  <c r="U12" i="82"/>
  <c r="S41" i="82"/>
  <c r="W43" i="82"/>
  <c r="S45" i="82"/>
  <c r="AC26" i="82"/>
  <c r="W26" i="82"/>
  <c r="H44" i="82"/>
  <c r="F44" i="82"/>
  <c r="J44" i="82"/>
  <c r="W15" i="82"/>
  <c r="AC8" i="82"/>
  <c r="S10" i="82"/>
  <c r="U11" i="82"/>
  <c r="W12" i="82"/>
  <c r="S14" i="82"/>
  <c r="S15" i="82"/>
  <c r="S17" i="82"/>
  <c r="S19" i="82"/>
  <c r="S21" i="82"/>
  <c r="S23" i="82"/>
  <c r="AB23" i="82"/>
  <c r="AC27" i="82"/>
  <c r="AC28" i="82"/>
  <c r="AA29" i="82"/>
  <c r="AC31" i="82"/>
  <c r="W39" i="82"/>
  <c r="U9" i="82"/>
  <c r="S12" i="82"/>
  <c r="S9" i="82"/>
  <c r="U10" i="82"/>
  <c r="W11" i="82"/>
  <c r="S13" i="82"/>
  <c r="U14" i="82"/>
  <c r="U15" i="82"/>
  <c r="U17" i="82"/>
  <c r="U19" i="82"/>
  <c r="U21" i="82"/>
  <c r="AA28" i="82"/>
  <c r="S28" i="82"/>
  <c r="S34" i="82"/>
  <c r="U35" i="82"/>
  <c r="S38" i="82"/>
  <c r="U39" i="82"/>
  <c r="W40" i="82"/>
  <c r="S42" i="82"/>
  <c r="U43" i="82"/>
  <c r="S46" i="82"/>
  <c r="U29" i="82"/>
  <c r="W30" i="82"/>
  <c r="S32" i="82"/>
  <c r="W34" i="82"/>
  <c r="U37" i="82"/>
  <c r="W38" i="82"/>
  <c r="S40" i="82"/>
  <c r="U41" i="82"/>
  <c r="W42" i="82"/>
  <c r="U45" i="82"/>
  <c r="W46" i="82"/>
  <c r="S35" i="82"/>
  <c r="S39" i="82"/>
  <c r="U40" i="82"/>
  <c r="W41" i="82"/>
  <c r="S43" i="82"/>
  <c r="W45" i="82"/>
  <c r="U32" i="82" l="1"/>
  <c r="AC32" i="82"/>
  <c r="W37" i="82"/>
  <c r="U36" i="82"/>
  <c r="S36" i="82"/>
  <c r="W36" i="82"/>
  <c r="W25" i="82"/>
  <c r="U25" i="82"/>
  <c r="S25" i="82"/>
  <c r="AC44" i="82"/>
  <c r="W44" i="82"/>
  <c r="AB7" i="82"/>
  <c r="U7" i="82"/>
  <c r="AA44" i="82"/>
  <c r="S44" i="82"/>
  <c r="W7" i="82"/>
  <c r="AC7" i="82"/>
  <c r="AA7" i="82"/>
  <c r="S7" i="82"/>
  <c r="AB44" i="82"/>
  <c r="U44" i="82"/>
  <c r="E24" i="80" l="1"/>
  <c r="E10" i="80"/>
  <c r="E5" i="80"/>
  <c r="E4" i="80"/>
  <c r="I13" i="3" s="1"/>
  <c r="F19" i="6" s="1"/>
  <c r="AH6" i="1" s="1"/>
  <c r="E3" i="80"/>
  <c r="B30" i="80"/>
  <c r="D3" i="4"/>
  <c r="AB28" i="79" l="1"/>
  <c r="AA28" i="79"/>
  <c r="Z28" i="79"/>
  <c r="N28" i="79"/>
  <c r="M28" i="79"/>
  <c r="P28" i="79" s="1"/>
  <c r="L28" i="79"/>
  <c r="I28" i="79"/>
  <c r="AD28" i="79" s="1"/>
  <c r="AC5" i="79"/>
  <c r="AB5" i="79"/>
  <c r="AA5" i="79"/>
  <c r="AD5" i="79" s="1"/>
  <c r="Z5" i="79"/>
  <c r="Y5" i="79"/>
  <c r="O5" i="79"/>
  <c r="N5" i="79"/>
  <c r="M5" i="79"/>
  <c r="P5" i="79" s="1"/>
  <c r="L5" i="79"/>
  <c r="K5" i="79"/>
  <c r="I5" i="79"/>
  <c r="I8" i="79" l="1"/>
  <c r="I31" i="79" l="1"/>
  <c r="I30" i="79"/>
  <c r="N30" i="79"/>
  <c r="M30" i="79"/>
  <c r="P30" i="79" s="1"/>
  <c r="L30" i="79"/>
  <c r="N31" i="79"/>
  <c r="M31" i="79"/>
  <c r="L31" i="79"/>
  <c r="O7" i="79"/>
  <c r="N7" i="79"/>
  <c r="M7" i="79"/>
  <c r="P7" i="79" s="1"/>
  <c r="L7" i="79"/>
  <c r="K7" i="79"/>
  <c r="O8" i="79"/>
  <c r="N8" i="79"/>
  <c r="M8" i="79"/>
  <c r="P8" i="79" s="1"/>
  <c r="L8" i="79"/>
  <c r="K8" i="79"/>
  <c r="P31" i="79" l="1"/>
  <c r="G14" i="73" l="1"/>
  <c r="F14" i="73"/>
  <c r="E14" i="73"/>
  <c r="L32" i="79" l="1"/>
  <c r="M32" i="79"/>
  <c r="P32" i="79" s="1"/>
  <c r="N32" i="79"/>
  <c r="L33" i="79"/>
  <c r="M33" i="79"/>
  <c r="P33" i="79" s="1"/>
  <c r="N33" i="79"/>
  <c r="L34" i="79"/>
  <c r="M34" i="79"/>
  <c r="N34" i="79"/>
  <c r="I32" i="79"/>
  <c r="I33" i="79"/>
  <c r="I34" i="79"/>
  <c r="I9" i="79"/>
  <c r="I10" i="79"/>
  <c r="I11" i="79"/>
  <c r="K9" i="79"/>
  <c r="L9" i="79"/>
  <c r="M9" i="79"/>
  <c r="P9" i="79" s="1"/>
  <c r="N9" i="79"/>
  <c r="O9" i="79"/>
  <c r="K10" i="79"/>
  <c r="L10" i="79"/>
  <c r="M10" i="79"/>
  <c r="P10" i="79" s="1"/>
  <c r="N10" i="79"/>
  <c r="O10" i="79"/>
  <c r="K11" i="79"/>
  <c r="L11" i="79"/>
  <c r="M11" i="79"/>
  <c r="P11" i="79" s="1"/>
  <c r="N11" i="79"/>
  <c r="O11" i="79"/>
  <c r="P3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2" i="79"/>
  <c r="AA42" i="79"/>
  <c r="Z42" i="79"/>
  <c r="W42" i="79"/>
  <c r="N42" i="79"/>
  <c r="M42" i="79"/>
  <c r="P42" i="79" s="1"/>
  <c r="L42" i="79"/>
  <c r="I42" i="79"/>
  <c r="AD42" i="79" s="1"/>
  <c r="AB41" i="79"/>
  <c r="AA41" i="79"/>
  <c r="Z41" i="79"/>
  <c r="N41" i="79"/>
  <c r="U41" i="79" s="1"/>
  <c r="M41" i="79"/>
  <c r="L41" i="79"/>
  <c r="S41" i="79" s="1"/>
  <c r="I41" i="79"/>
  <c r="AD41" i="79" s="1"/>
  <c r="AB40" i="79"/>
  <c r="AA40" i="79"/>
  <c r="Z40" i="79"/>
  <c r="N40" i="79"/>
  <c r="U40" i="79" s="1"/>
  <c r="M40" i="79"/>
  <c r="L40" i="79"/>
  <c r="S40" i="79" s="1"/>
  <c r="I40" i="79"/>
  <c r="AB39" i="79"/>
  <c r="AA39" i="79"/>
  <c r="Z39" i="79"/>
  <c r="N39" i="79"/>
  <c r="M39" i="79"/>
  <c r="L39" i="79"/>
  <c r="I39" i="79"/>
  <c r="AB38" i="79"/>
  <c r="AA38" i="79"/>
  <c r="Z38" i="79"/>
  <c r="N38" i="79"/>
  <c r="M38" i="79"/>
  <c r="L38" i="79"/>
  <c r="S38" i="79" s="1"/>
  <c r="I38" i="79"/>
  <c r="AB37" i="79"/>
  <c r="AA37" i="79"/>
  <c r="Z37" i="79"/>
  <c r="N37" i="79"/>
  <c r="M37" i="79"/>
  <c r="L37" i="79"/>
  <c r="I37" i="79"/>
  <c r="AD37" i="79" s="1"/>
  <c r="AB36" i="79"/>
  <c r="AA36" i="79"/>
  <c r="Z36" i="79"/>
  <c r="N36" i="79"/>
  <c r="U36" i="79" s="1"/>
  <c r="M36" i="79"/>
  <c r="L36" i="79"/>
  <c r="I36" i="79"/>
  <c r="AB35" i="79"/>
  <c r="AA35" i="79"/>
  <c r="Z35" i="79"/>
  <c r="N35" i="79"/>
  <c r="M35" i="79"/>
  <c r="T30" i="79" s="1"/>
  <c r="W30" i="79" s="1"/>
  <c r="L35" i="79"/>
  <c r="S30" i="79" s="1"/>
  <c r="I35" i="79"/>
  <c r="AB29" i="79"/>
  <c r="AA29" i="79"/>
  <c r="AA26" i="79" s="1"/>
  <c r="AD26" i="79" s="1"/>
  <c r="Z29" i="79"/>
  <c r="N29" i="79"/>
  <c r="M29" i="79"/>
  <c r="L29" i="79"/>
  <c r="I29" i="79"/>
  <c r="AD29" i="79" s="1"/>
  <c r="N26" i="79"/>
  <c r="M26" i="79"/>
  <c r="P26" i="79" s="1"/>
  <c r="G26" i="79"/>
  <c r="F26" i="79"/>
  <c r="I26" i="79" s="1"/>
  <c r="E26" i="79"/>
  <c r="AC19" i="79"/>
  <c r="AB19" i="79"/>
  <c r="AA19" i="79"/>
  <c r="AD19" i="79" s="1"/>
  <c r="Z19" i="79"/>
  <c r="Y19" i="79"/>
  <c r="W19" i="79"/>
  <c r="P19" i="79"/>
  <c r="O19" i="79"/>
  <c r="N19" i="79"/>
  <c r="M19" i="79"/>
  <c r="L19" i="79"/>
  <c r="K19" i="79"/>
  <c r="I19" i="79"/>
  <c r="AC18" i="79"/>
  <c r="AB18" i="79"/>
  <c r="AA18" i="79"/>
  <c r="AD18" i="79" s="1"/>
  <c r="Z18" i="79"/>
  <c r="Y18" i="79"/>
  <c r="O18" i="79"/>
  <c r="V18" i="79" s="1"/>
  <c r="N18" i="79"/>
  <c r="U18" i="79" s="1"/>
  <c r="M18" i="79"/>
  <c r="L18" i="79"/>
  <c r="S18" i="79" s="1"/>
  <c r="K18" i="79"/>
  <c r="R18" i="79" s="1"/>
  <c r="I18" i="79"/>
  <c r="AC17" i="79"/>
  <c r="AB17" i="79"/>
  <c r="AA17" i="79"/>
  <c r="AD17" i="79" s="1"/>
  <c r="Z17" i="79"/>
  <c r="Y17" i="79"/>
  <c r="O17" i="79"/>
  <c r="V17" i="79" s="1"/>
  <c r="N17" i="79"/>
  <c r="U17" i="79" s="1"/>
  <c r="M17" i="79"/>
  <c r="T17" i="79" s="1"/>
  <c r="W17" i="79" s="1"/>
  <c r="L17" i="79"/>
  <c r="S17" i="79" s="1"/>
  <c r="K17" i="79"/>
  <c r="R17" i="79" s="1"/>
  <c r="I17" i="79"/>
  <c r="AC16" i="79"/>
  <c r="AB16" i="79"/>
  <c r="AA16" i="79"/>
  <c r="AD16" i="79" s="1"/>
  <c r="Z16" i="79"/>
  <c r="Y16" i="79"/>
  <c r="O16" i="79"/>
  <c r="N16" i="79"/>
  <c r="M16" i="79"/>
  <c r="L16" i="79"/>
  <c r="S16" i="79" s="1"/>
  <c r="K16" i="79"/>
  <c r="I16" i="79"/>
  <c r="AD15" i="79"/>
  <c r="AC15" i="79"/>
  <c r="AB15" i="79"/>
  <c r="AA15" i="79"/>
  <c r="Z15" i="79"/>
  <c r="Y15" i="79"/>
  <c r="O15" i="79"/>
  <c r="N15" i="79"/>
  <c r="M15" i="79"/>
  <c r="T15" i="79" s="1"/>
  <c r="W15" i="79" s="1"/>
  <c r="L15" i="79"/>
  <c r="S15" i="79" s="1"/>
  <c r="K15" i="79"/>
  <c r="I15" i="79"/>
  <c r="AC14" i="79"/>
  <c r="AB14" i="79"/>
  <c r="AA14" i="79"/>
  <c r="AD14" i="79" s="1"/>
  <c r="Z14" i="79"/>
  <c r="Y14" i="79"/>
  <c r="O14" i="79"/>
  <c r="N14" i="79"/>
  <c r="M14" i="79"/>
  <c r="L14" i="79"/>
  <c r="S14" i="79" s="1"/>
  <c r="K14" i="79"/>
  <c r="I14" i="79"/>
  <c r="AC13" i="79"/>
  <c r="AB13" i="79"/>
  <c r="AA13" i="79"/>
  <c r="AD13" i="79" s="1"/>
  <c r="Z13" i="79"/>
  <c r="Y13" i="79"/>
  <c r="O13" i="79"/>
  <c r="V13" i="79" s="1"/>
  <c r="N13" i="79"/>
  <c r="M13" i="79"/>
  <c r="L13" i="79"/>
  <c r="K13" i="79"/>
  <c r="R13" i="79" s="1"/>
  <c r="I13" i="79"/>
  <c r="AC12" i="79"/>
  <c r="AB12" i="79"/>
  <c r="AA12" i="79"/>
  <c r="AD12" i="79" s="1"/>
  <c r="Z12" i="79"/>
  <c r="Y12" i="79"/>
  <c r="O12" i="79"/>
  <c r="N12" i="79"/>
  <c r="M12" i="79"/>
  <c r="L12" i="79"/>
  <c r="K12" i="79"/>
  <c r="I12" i="79"/>
  <c r="AC6" i="79"/>
  <c r="AB6" i="79"/>
  <c r="AA6" i="79"/>
  <c r="AD6" i="79" s="1"/>
  <c r="Z6" i="79"/>
  <c r="Z3" i="79" s="1"/>
  <c r="Y6" i="79"/>
  <c r="O6" i="79"/>
  <c r="N6" i="79"/>
  <c r="M6" i="79"/>
  <c r="L6" i="79"/>
  <c r="K6" i="79"/>
  <c r="I6" i="79"/>
  <c r="L3" i="79"/>
  <c r="H3" i="79"/>
  <c r="G3" i="79"/>
  <c r="F3" i="79"/>
  <c r="I3" i="79" s="1"/>
  <c r="E3" i="79"/>
  <c r="D3" i="79"/>
  <c r="T371" i="46"/>
  <c r="S371" i="46"/>
  <c r="R371" i="46"/>
  <c r="T279" i="46"/>
  <c r="S279" i="46"/>
  <c r="R279" i="46"/>
  <c r="U279" i="46" s="1"/>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U5" i="79" l="1"/>
  <c r="V3" i="79"/>
  <c r="S13" i="79"/>
  <c r="U15" i="79"/>
  <c r="U16" i="79"/>
  <c r="S28" i="79"/>
  <c r="AB3" i="79"/>
  <c r="T26" i="79"/>
  <c r="W26" i="79" s="1"/>
  <c r="T29" i="79"/>
  <c r="T28" i="79"/>
  <c r="W28" i="79" s="1"/>
  <c r="U30" i="79"/>
  <c r="AD36" i="79"/>
  <c r="S37" i="79"/>
  <c r="U39" i="79"/>
  <c r="AD40" i="79"/>
  <c r="Y3" i="79"/>
  <c r="AC3" i="79"/>
  <c r="L26" i="79"/>
  <c r="U26" i="79"/>
  <c r="U28" i="79"/>
  <c r="U38" i="79"/>
  <c r="AD39" i="79"/>
  <c r="T36" i="79"/>
  <c r="U37" i="79"/>
  <c r="AD38" i="79"/>
  <c r="S39" i="79"/>
  <c r="N3" i="79"/>
  <c r="K3" i="79"/>
  <c r="R5" i="79"/>
  <c r="O3" i="79"/>
  <c r="V5" i="79"/>
  <c r="T13" i="79"/>
  <c r="W13" i="79" s="1"/>
  <c r="U14" i="79"/>
  <c r="R15" i="79"/>
  <c r="V15" i="79"/>
  <c r="R16" i="79"/>
  <c r="V16" i="79"/>
  <c r="S3" i="79"/>
  <c r="S5" i="79"/>
  <c r="U13" i="79"/>
  <c r="R14" i="79"/>
  <c r="V14" i="79"/>
  <c r="P6" i="79"/>
  <c r="T5" i="79"/>
  <c r="W5" i="79" s="1"/>
  <c r="U3" i="79"/>
  <c r="S29" i="79"/>
  <c r="M3" i="79"/>
  <c r="P3" i="79" s="1"/>
  <c r="T3" i="79"/>
  <c r="W3" i="79" s="1"/>
  <c r="U29" i="79"/>
  <c r="AD35" i="79"/>
  <c r="T34" i="79"/>
  <c r="T32" i="79"/>
  <c r="W32" i="79" s="1"/>
  <c r="T35" i="79"/>
  <c r="W35" i="79" s="1"/>
  <c r="T33" i="79"/>
  <c r="W33" i="79" s="1"/>
  <c r="T31" i="79"/>
  <c r="W31" i="79" s="1"/>
  <c r="S36" i="79"/>
  <c r="T37" i="79"/>
  <c r="W37" i="79" s="1"/>
  <c r="T39" i="79"/>
  <c r="W39" i="79" s="1"/>
  <c r="T41" i="79"/>
  <c r="W41" i="79" s="1"/>
  <c r="S35" i="79"/>
  <c r="S33" i="79"/>
  <c r="S34" i="79"/>
  <c r="S32" i="79"/>
  <c r="S31" i="79"/>
  <c r="U35" i="79"/>
  <c r="U33" i="79"/>
  <c r="U34" i="79"/>
  <c r="U32" i="79"/>
  <c r="U31" i="79"/>
  <c r="T38" i="79"/>
  <c r="W38" i="79" s="1"/>
  <c r="T40" i="79"/>
  <c r="W40" i="79" s="1"/>
  <c r="S8" i="79"/>
  <c r="S11" i="79"/>
  <c r="S12" i="79"/>
  <c r="S7" i="79"/>
  <c r="U8" i="79"/>
  <c r="U11" i="79"/>
  <c r="U12" i="79"/>
  <c r="U7" i="79"/>
  <c r="P16" i="79"/>
  <c r="T16" i="79"/>
  <c r="W16" i="79" s="1"/>
  <c r="R8" i="79"/>
  <c r="R11" i="79"/>
  <c r="R12" i="79"/>
  <c r="R7" i="79"/>
  <c r="T8" i="79"/>
  <c r="W8" i="79" s="1"/>
  <c r="T11" i="79"/>
  <c r="W11" i="79" s="1"/>
  <c r="T12" i="79"/>
  <c r="W12" i="79" s="1"/>
  <c r="T7" i="79"/>
  <c r="W7" i="79" s="1"/>
  <c r="V8" i="79"/>
  <c r="V11" i="79"/>
  <c r="V12" i="79"/>
  <c r="V7" i="79"/>
  <c r="P14" i="79"/>
  <c r="T14" i="79"/>
  <c r="W14" i="79" s="1"/>
  <c r="P18" i="79"/>
  <c r="T18" i="79"/>
  <c r="W18" i="79" s="1"/>
  <c r="AA3" i="79"/>
  <c r="AD3" i="79" s="1"/>
  <c r="W34" i="79"/>
  <c r="W29" i="79"/>
  <c r="AB26" i="79"/>
  <c r="R9" i="79"/>
  <c r="R6" i="79"/>
  <c r="R10" i="79"/>
  <c r="P12" i="79"/>
  <c r="T10" i="79"/>
  <c r="W10" i="79" s="1"/>
  <c r="T9" i="79"/>
  <c r="W9" i="79" s="1"/>
  <c r="T6" i="79"/>
  <c r="W6" i="79" s="1"/>
  <c r="V9" i="79"/>
  <c r="V6" i="79"/>
  <c r="V10" i="79"/>
  <c r="S10" i="79"/>
  <c r="S6" i="79"/>
  <c r="S9" i="79"/>
  <c r="U10" i="79"/>
  <c r="U6" i="79"/>
  <c r="U9" i="79"/>
  <c r="S26" i="79"/>
  <c r="P15" i="79"/>
  <c r="P17" i="79"/>
  <c r="R3" i="79"/>
  <c r="Z26" i="79"/>
  <c r="W36" i="79"/>
  <c r="P13"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9" i="79"/>
  <c r="P36" i="79"/>
  <c r="P38" i="79"/>
  <c r="P40" i="79"/>
  <c r="P35" i="79"/>
  <c r="P37" i="79"/>
  <c r="P39" i="79"/>
  <c r="P41" i="79"/>
  <c r="E25" i="78"/>
  <c r="E24" i="78"/>
  <c r="F23" i="78"/>
  <c r="F24" i="78" s="1"/>
  <c r="F25" i="78" s="1"/>
  <c r="E23" i="78"/>
  <c r="E22" i="78"/>
  <c r="G22" i="78" s="1"/>
  <c r="F12" i="78"/>
  <c r="C15" i="78" s="1"/>
  <c r="F11" i="78"/>
  <c r="D7" i="78"/>
  <c r="D6" i="78"/>
  <c r="D5" i="78"/>
  <c r="C18" i="78" l="1"/>
  <c r="H100" i="43"/>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D11" i="77" s="1"/>
  <c r="R11" i="77"/>
  <c r="R10" i="77"/>
  <c r="D10" i="77"/>
  <c r="R9" i="77"/>
  <c r="D9" i="77"/>
  <c r="R8" i="77"/>
  <c r="R7" i="77"/>
  <c r="R4" i="77"/>
  <c r="R3" i="77"/>
  <c r="E11" i="77" l="1"/>
  <c r="E7" i="77" s="1"/>
  <c r="C27" i="77" s="1"/>
  <c r="D7" i="77"/>
  <c r="C26" i="77" s="1"/>
  <c r="C32" i="77" s="1"/>
  <c r="C38" i="77" s="1"/>
  <c r="C39" i="77" s="1"/>
  <c r="R14" i="77"/>
  <c r="R24" i="77" s="1"/>
  <c r="R25" i="77"/>
  <c r="D29" i="77"/>
  <c r="D32" i="77"/>
  <c r="E23" i="77"/>
  <c r="D26" i="77"/>
  <c r="C29" i="77"/>
  <c r="R35" i="77"/>
  <c r="U34" i="77" s="1"/>
  <c r="AH9" i="71"/>
  <c r="AG9" i="71"/>
  <c r="AE9" i="71"/>
  <c r="AF9" i="71" s="1"/>
  <c r="AD9" i="71"/>
  <c r="Q9" i="71"/>
  <c r="P9" i="71"/>
  <c r="O9" i="71"/>
  <c r="N9" i="71"/>
  <c r="R19" i="77" l="1"/>
  <c r="R5" i="77" s="1"/>
  <c r="U5" i="77" s="1"/>
  <c r="E26" i="77"/>
  <c r="E38" i="77"/>
  <c r="E39" i="77" s="1"/>
  <c r="C40" i="77" s="1"/>
  <c r="B2" i="77" s="1"/>
  <c r="E29" i="77"/>
  <c r="E32" i="77" s="1"/>
  <c r="AH10" i="71"/>
  <c r="AG10" i="71"/>
  <c r="AE10" i="71"/>
  <c r="AF10" i="71" s="1"/>
  <c r="AD10" i="71"/>
  <c r="Q10" i="71"/>
  <c r="P10" i="71"/>
  <c r="O10" i="71"/>
  <c r="N10" i="71"/>
  <c r="B3" i="77" l="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c r="AD18" i="71"/>
  <c r="F24" i="12"/>
  <c r="F7" i="69"/>
  <c r="F7" i="68"/>
  <c r="AH19" i="71"/>
  <c r="AG19" i="71"/>
  <c r="AE19" i="71"/>
  <c r="AF19" i="71"/>
  <c r="AD19"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O21" i="71"/>
  <c r="O22" i="71"/>
  <c r="N21" i="71"/>
  <c r="N22" i="71"/>
  <c r="N23" i="71"/>
  <c r="AH22" i="71"/>
  <c r="AG22" i="71"/>
  <c r="AE22" i="71"/>
  <c r="AF22" i="71"/>
  <c r="AD22" i="71"/>
  <c r="Q23" i="71"/>
  <c r="P23" i="71"/>
  <c r="O23" i="71"/>
  <c r="D25" i="71"/>
  <c r="AH23" i="71"/>
  <c r="AG23" i="71"/>
  <c r="AE23" i="71"/>
  <c r="AF23" i="71" s="1"/>
  <c r="AD23" i="71"/>
  <c r="AD24" i="71"/>
  <c r="AG24" i="71"/>
  <c r="AH24" i="71"/>
  <c r="AE24" i="71"/>
  <c r="AF24" i="71"/>
  <c r="N24" i="71"/>
  <c r="Q24" i="71"/>
  <c r="P24" i="71"/>
  <c r="O24" i="71"/>
  <c r="C24" i="71"/>
  <c r="C23" i="71"/>
  <c r="Q25" i="71"/>
  <c r="F24" i="71"/>
  <c r="F23" i="71"/>
  <c r="F22" i="71"/>
  <c r="P25" i="71"/>
  <c r="O25" i="71"/>
  <c r="N25"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s="1"/>
  <c r="A19" i="62"/>
  <c r="B65" i="72" s="1"/>
  <c r="A12" i="62"/>
  <c r="B58" i="72" s="1"/>
  <c r="A120" i="9"/>
  <c r="H2" i="52"/>
  <c r="A1" i="52"/>
  <c r="A3" i="53"/>
  <c r="Q26" i="71"/>
  <c r="P26" i="71"/>
  <c r="O26" i="71"/>
  <c r="Y25" i="71" s="1"/>
  <c r="Z25" i="71" s="1"/>
  <c r="N26" i="71"/>
  <c r="A15" i="51"/>
  <c r="B12" i="72" s="1"/>
  <c r="C76" i="9"/>
  <c r="I107" i="40"/>
  <c r="K6" i="4"/>
  <c r="M56" i="9" s="1"/>
  <c r="B22" i="31"/>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s="1"/>
  <c r="AG26" i="71"/>
  <c r="AH26" i="71"/>
  <c r="AD27" i="71"/>
  <c r="AE27" i="71"/>
  <c r="AF27" i="71"/>
  <c r="AG27" i="71"/>
  <c r="AH27" i="71"/>
  <c r="AD28" i="71"/>
  <c r="AE28" i="71"/>
  <c r="AF28" i="71" s="1"/>
  <c r="AG28" i="71"/>
  <c r="AH28" i="71"/>
  <c r="AD29" i="71"/>
  <c r="AE29" i="71"/>
  <c r="AF29" i="71"/>
  <c r="AG29" i="71"/>
  <c r="AH29" i="71"/>
  <c r="AD30" i="71"/>
  <c r="AE30" i="71"/>
  <c r="AF30" i="71" s="1"/>
  <c r="AG30" i="71"/>
  <c r="AH30" i="71"/>
  <c r="AD31" i="71"/>
  <c r="AE31" i="71"/>
  <c r="AF31" i="71"/>
  <c r="AG31" i="71"/>
  <c r="AH31" i="71"/>
  <c r="AD32" i="71"/>
  <c r="AE32" i="71"/>
  <c r="AF32" i="71" s="1"/>
  <c r="AG32" i="71"/>
  <c r="AH32" i="71"/>
  <c r="AD33" i="71"/>
  <c r="AE33" i="71"/>
  <c r="AF33" i="71"/>
  <c r="AG33" i="71"/>
  <c r="AH33" i="71"/>
  <c r="AD34" i="71"/>
  <c r="AE34" i="71"/>
  <c r="AF34" i="71" s="1"/>
  <c r="AG34" i="71"/>
  <c r="AH34" i="71"/>
  <c r="AD35" i="71"/>
  <c r="AE35" i="71"/>
  <c r="AF35" i="71"/>
  <c r="AG35" i="71"/>
  <c r="AH35" i="71"/>
  <c r="AD36" i="71"/>
  <c r="AE36" i="71"/>
  <c r="AF36" i="71" s="1"/>
  <c r="AG36" i="71"/>
  <c r="AH36" i="71"/>
  <c r="AD37" i="71"/>
  <c r="AE37" i="71"/>
  <c r="AF37" i="7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C8" i="68"/>
  <c r="B49" i="48"/>
  <c r="B5" i="72" s="1"/>
  <c r="D89" i="71"/>
  <c r="F88" i="71"/>
  <c r="F87" i="71" s="1"/>
  <c r="E88" i="71"/>
  <c r="E87" i="71" s="1"/>
  <c r="E86" i="71" s="1"/>
  <c r="C88" i="71"/>
  <c r="B88" i="71"/>
  <c r="F86" i="71"/>
  <c r="B87" i="71"/>
  <c r="B86" i="71" s="1"/>
  <c r="D85" i="71"/>
  <c r="F84" i="71"/>
  <c r="F83" i="71" s="1"/>
  <c r="E84" i="71"/>
  <c r="E83" i="71" s="1"/>
  <c r="E82" i="71" s="1"/>
  <c r="C84" i="71"/>
  <c r="D84" i="71" s="1"/>
  <c r="B84" i="71"/>
  <c r="F82" i="71"/>
  <c r="B83" i="71"/>
  <c r="B82" i="71" s="1"/>
  <c r="D81" i="71"/>
  <c r="Q80" i="71"/>
  <c r="P80" i="71"/>
  <c r="O80" i="71"/>
  <c r="N80" i="71"/>
  <c r="F80" i="71"/>
  <c r="V80" i="71" s="1"/>
  <c r="E80" i="71"/>
  <c r="U80" i="71" s="1"/>
  <c r="C80" i="71"/>
  <c r="T80" i="71" s="1"/>
  <c r="B80" i="71"/>
  <c r="S80" i="71" s="1"/>
  <c r="Q79" i="71"/>
  <c r="P79" i="71"/>
  <c r="O79" i="71"/>
  <c r="N79" i="71"/>
  <c r="F79" i="71"/>
  <c r="F78" i="71" s="1"/>
  <c r="B79" i="71"/>
  <c r="B78" i="71" s="1"/>
  <c r="Q78" i="71"/>
  <c r="P78" i="71"/>
  <c r="O78" i="71"/>
  <c r="N78" i="71"/>
  <c r="Q77" i="71"/>
  <c r="P77" i="71"/>
  <c r="O77" i="71"/>
  <c r="N77" i="71"/>
  <c r="D77" i="71"/>
  <c r="Q76" i="71"/>
  <c r="P76" i="71"/>
  <c r="O76" i="71"/>
  <c r="N76" i="71"/>
  <c r="F76" i="71"/>
  <c r="V76" i="71" s="1"/>
  <c r="E76" i="71"/>
  <c r="U76" i="71"/>
  <c r="C76" i="71"/>
  <c r="T76" i="71" s="1"/>
  <c r="B76" i="71"/>
  <c r="S76" i="71"/>
  <c r="Q75" i="71"/>
  <c r="P75" i="71"/>
  <c r="O75" i="71"/>
  <c r="N75" i="71"/>
  <c r="F75" i="71"/>
  <c r="F74" i="71" s="1"/>
  <c r="B75" i="71"/>
  <c r="B74" i="71"/>
  <c r="Q74" i="71"/>
  <c r="P74" i="71"/>
  <c r="O74" i="71"/>
  <c r="N74" i="71"/>
  <c r="Q73" i="71"/>
  <c r="P73" i="71"/>
  <c r="O73" i="71"/>
  <c r="N73" i="71"/>
  <c r="D73" i="71"/>
  <c r="Q72" i="71"/>
  <c r="P72" i="71"/>
  <c r="O72" i="71"/>
  <c r="N72" i="71"/>
  <c r="F72" i="71"/>
  <c r="V72" i="71" s="1"/>
  <c r="E72" i="71"/>
  <c r="C72" i="71"/>
  <c r="T72" i="71" s="1"/>
  <c r="B72" i="71"/>
  <c r="Q71" i="71"/>
  <c r="P71" i="71"/>
  <c r="O71" i="71"/>
  <c r="N71" i="71"/>
  <c r="F71" i="71"/>
  <c r="F70" i="71" s="1"/>
  <c r="Q70" i="71"/>
  <c r="P70" i="71"/>
  <c r="O70" i="71"/>
  <c r="N70" i="71"/>
  <c r="Q69" i="71"/>
  <c r="P69" i="71"/>
  <c r="O69" i="71"/>
  <c r="N69" i="71"/>
  <c r="D69" i="71"/>
  <c r="F68" i="71"/>
  <c r="V68" i="71"/>
  <c r="E68" i="71"/>
  <c r="P68" i="71" s="1"/>
  <c r="C68" i="71"/>
  <c r="B68" i="71"/>
  <c r="F67" i="71"/>
  <c r="F66" i="71" s="1"/>
  <c r="Q65" i="71" s="1"/>
  <c r="Q66" i="71"/>
  <c r="D65" i="71"/>
  <c r="Q64" i="71"/>
  <c r="P64" i="71"/>
  <c r="O64" i="71"/>
  <c r="N64" i="71"/>
  <c r="Q63" i="71"/>
  <c r="P63" i="71"/>
  <c r="O63" i="71"/>
  <c r="N63" i="71"/>
  <c r="Q62" i="71"/>
  <c r="P62" i="71"/>
  <c r="O62" i="71"/>
  <c r="N62" i="71"/>
  <c r="Q61" i="71"/>
  <c r="F62" i="71"/>
  <c r="F63" i="71" s="1"/>
  <c r="F64" i="71" s="1"/>
  <c r="V64" i="71" s="1"/>
  <c r="P61" i="71"/>
  <c r="E62" i="71" s="1"/>
  <c r="O61" i="71"/>
  <c r="C62" i="71"/>
  <c r="N61" i="71"/>
  <c r="B62" i="71" s="1"/>
  <c r="B63" i="71" s="1"/>
  <c r="B64" i="71" s="1"/>
  <c r="S64" i="71"/>
  <c r="D61" i="71"/>
  <c r="Q60" i="71"/>
  <c r="P60" i="71"/>
  <c r="O60" i="71"/>
  <c r="N60" i="71"/>
  <c r="Q59" i="71"/>
  <c r="P59" i="71"/>
  <c r="O59" i="71"/>
  <c r="N59" i="71"/>
  <c r="Q58" i="71"/>
  <c r="P58" i="71"/>
  <c r="O58" i="71"/>
  <c r="C59" i="71" s="1"/>
  <c r="D59" i="71" s="1"/>
  <c r="N58" i="71"/>
  <c r="Q57" i="71"/>
  <c r="F58" i="71"/>
  <c r="F59" i="71"/>
  <c r="F60" i="71" s="1"/>
  <c r="V60" i="71" s="1"/>
  <c r="P57" i="71"/>
  <c r="E58" i="71"/>
  <c r="E59" i="71" s="1"/>
  <c r="E60" i="71" s="1"/>
  <c r="U60" i="71" s="1"/>
  <c r="O57" i="71"/>
  <c r="C58" i="71" s="1"/>
  <c r="D58" i="71" s="1"/>
  <c r="N57" i="71"/>
  <c r="B58" i="71"/>
  <c r="B59" i="71" s="1"/>
  <c r="B60" i="71" s="1"/>
  <c r="S60" i="71" s="1"/>
  <c r="D57" i="71"/>
  <c r="Q56" i="71"/>
  <c r="P56" i="71"/>
  <c r="O56" i="71"/>
  <c r="N56" i="71"/>
  <c r="Q55" i="71"/>
  <c r="P55" i="71"/>
  <c r="O55" i="71"/>
  <c r="N55" i="71"/>
  <c r="Q54" i="71"/>
  <c r="P54" i="71"/>
  <c r="O54" i="71"/>
  <c r="N54" i="71"/>
  <c r="B55" i="71" s="1"/>
  <c r="B56" i="71" s="1"/>
  <c r="S56" i="71" s="1"/>
  <c r="Q53" i="71"/>
  <c r="F54" i="71"/>
  <c r="F55" i="71"/>
  <c r="F56" i="71" s="1"/>
  <c r="V56" i="71" s="1"/>
  <c r="P53" i="71"/>
  <c r="E54" i="71"/>
  <c r="E55" i="71" s="1"/>
  <c r="E56" i="71" s="1"/>
  <c r="O53" i="71"/>
  <c r="C54" i="71" s="1"/>
  <c r="C55" i="71" s="1"/>
  <c r="N53" i="71"/>
  <c r="B54" i="71"/>
  <c r="D53" i="71"/>
  <c r="Q52" i="71"/>
  <c r="P52" i="71"/>
  <c r="O52" i="71"/>
  <c r="N52" i="71"/>
  <c r="Q51" i="71"/>
  <c r="P51" i="71"/>
  <c r="O51" i="71"/>
  <c r="N51" i="71"/>
  <c r="Q50" i="71"/>
  <c r="P50" i="71"/>
  <c r="O50" i="71"/>
  <c r="N50" i="71"/>
  <c r="Q49" i="71"/>
  <c r="F50" i="71" s="1"/>
  <c r="F51" i="71" s="1"/>
  <c r="F52" i="71" s="1"/>
  <c r="V52" i="71" s="1"/>
  <c r="P49" i="71"/>
  <c r="E50" i="71"/>
  <c r="E51" i="71"/>
  <c r="E52" i="71" s="1"/>
  <c r="U52" i="71" s="1"/>
  <c r="O49" i="71"/>
  <c r="C50" i="71"/>
  <c r="N49" i="71"/>
  <c r="B50" i="71" s="1"/>
  <c r="B51" i="71" s="1"/>
  <c r="B52" i="71"/>
  <c r="S52" i="71" s="1"/>
  <c r="D49" i="71"/>
  <c r="T48" i="71"/>
  <c r="Q48" i="71"/>
  <c r="P48" i="71"/>
  <c r="O48" i="71"/>
  <c r="N48" i="71"/>
  <c r="D48" i="71"/>
  <c r="Q47" i="71"/>
  <c r="P47" i="71"/>
  <c r="O47" i="71"/>
  <c r="N47" i="71"/>
  <c r="Q46" i="71"/>
  <c r="P46" i="71"/>
  <c r="O46" i="71"/>
  <c r="N46" i="71"/>
  <c r="Q45" i="71"/>
  <c r="F46" i="71" s="1"/>
  <c r="F47" i="71" s="1"/>
  <c r="F48" i="71" s="1"/>
  <c r="V48" i="71" s="1"/>
  <c r="P45" i="71"/>
  <c r="E46" i="71"/>
  <c r="E47" i="71"/>
  <c r="E48" i="71" s="1"/>
  <c r="U48" i="71" s="1"/>
  <c r="O45" i="71"/>
  <c r="C46" i="71"/>
  <c r="N45" i="71"/>
  <c r="B46" i="71" s="1"/>
  <c r="B47" i="71" s="1"/>
  <c r="B48" i="71"/>
  <c r="S48" i="71" s="1"/>
  <c r="D45" i="71"/>
  <c r="Q44" i="71"/>
  <c r="P44" i="71"/>
  <c r="O44" i="71"/>
  <c r="N44" i="71"/>
  <c r="Q43" i="71"/>
  <c r="P43" i="71"/>
  <c r="O43" i="71"/>
  <c r="N43" i="71"/>
  <c r="Q42" i="71"/>
  <c r="P42" i="71"/>
  <c r="O42" i="71"/>
  <c r="N42" i="71"/>
  <c r="F43" i="71"/>
  <c r="F44" i="71" s="1"/>
  <c r="V44" i="71" s="1"/>
  <c r="Q41" i="71"/>
  <c r="F42" i="71" s="1"/>
  <c r="P41" i="71"/>
  <c r="E42" i="71" s="1"/>
  <c r="E43" i="71" s="1"/>
  <c r="E44" i="71" s="1"/>
  <c r="U44" i="71"/>
  <c r="O41" i="71"/>
  <c r="C42" i="71" s="1"/>
  <c r="N41" i="71"/>
  <c r="B42" i="71"/>
  <c r="B43" i="71" s="1"/>
  <c r="B44" i="71" s="1"/>
  <c r="S44" i="71" s="1"/>
  <c r="D41" i="71"/>
  <c r="Q40" i="71"/>
  <c r="P40" i="71"/>
  <c r="O40" i="71"/>
  <c r="N40" i="71"/>
  <c r="AB39" i="71"/>
  <c r="Q39" i="71"/>
  <c r="P39" i="71"/>
  <c r="AA39" i="71"/>
  <c r="O39" i="71"/>
  <c r="Y39" i="71" s="1"/>
  <c r="Z39" i="71" s="1"/>
  <c r="N39" i="71"/>
  <c r="Q38" i="71"/>
  <c r="AB38" i="71"/>
  <c r="P38" i="71"/>
  <c r="O38" i="71"/>
  <c r="Y38" i="71" s="1"/>
  <c r="Z38" i="71" s="1"/>
  <c r="N38" i="71"/>
  <c r="Q37" i="71"/>
  <c r="F38" i="71" s="1"/>
  <c r="F39" i="71" s="1"/>
  <c r="F40" i="71" s="1"/>
  <c r="V40" i="71" s="1"/>
  <c r="P37" i="71"/>
  <c r="O37" i="71"/>
  <c r="N37" i="71"/>
  <c r="D37" i="71"/>
  <c r="Q36" i="71"/>
  <c r="P36" i="71"/>
  <c r="O36" i="71"/>
  <c r="Y36" i="71" s="1"/>
  <c r="Z36" i="71" s="1"/>
  <c r="N36" i="71"/>
  <c r="X28" i="71" s="1"/>
  <c r="Q35" i="71"/>
  <c r="AB35" i="71" s="1"/>
  <c r="P35" i="71"/>
  <c r="O35" i="71"/>
  <c r="Y35" i="71" s="1"/>
  <c r="Z35" i="71" s="1"/>
  <c r="N35" i="71"/>
  <c r="Q34" i="71"/>
  <c r="AB34" i="71" s="1"/>
  <c r="P34" i="71"/>
  <c r="O34" i="71"/>
  <c r="Y34" i="71"/>
  <c r="Z34" i="71" s="1"/>
  <c r="N34" i="71"/>
  <c r="Q33" i="71"/>
  <c r="F34" i="71" s="1"/>
  <c r="F35" i="71" s="1"/>
  <c r="F36" i="71" s="1"/>
  <c r="V36" i="71" s="1"/>
  <c r="P33" i="71"/>
  <c r="O33" i="71"/>
  <c r="N33" i="71"/>
  <c r="D33" i="71"/>
  <c r="Q32" i="71"/>
  <c r="P32" i="71"/>
  <c r="O32" i="71"/>
  <c r="Y32" i="71"/>
  <c r="Z32" i="71"/>
  <c r="N32" i="71"/>
  <c r="Q31" i="71"/>
  <c r="P31" i="71"/>
  <c r="O31" i="71"/>
  <c r="N31" i="71"/>
  <c r="Q30" i="71"/>
  <c r="P30" i="71"/>
  <c r="O30" i="71"/>
  <c r="N30" i="71"/>
  <c r="F30" i="71"/>
  <c r="F31" i="71" s="1"/>
  <c r="F32" i="71" s="1"/>
  <c r="V32" i="71" s="1"/>
  <c r="Q29" i="71"/>
  <c r="P29" i="71"/>
  <c r="O29" i="71"/>
  <c r="N29" i="71"/>
  <c r="D29" i="71"/>
  <c r="O28" i="71"/>
  <c r="N28" i="71"/>
  <c r="B30" i="71"/>
  <c r="E30" i="71"/>
  <c r="E31" i="71" s="1"/>
  <c r="E32" i="71" s="1"/>
  <c r="U32" i="71" s="1"/>
  <c r="B34" i="71"/>
  <c r="B35" i="71"/>
  <c r="B36" i="71"/>
  <c r="S36" i="71"/>
  <c r="E38" i="71"/>
  <c r="C30" i="71"/>
  <c r="Y29" i="71"/>
  <c r="Z29" i="71" s="1"/>
  <c r="AA32" i="71"/>
  <c r="C34" i="71"/>
  <c r="AB33" i="71"/>
  <c r="C38" i="71"/>
  <c r="Y37" i="71"/>
  <c r="Z37" i="71" s="1"/>
  <c r="X38" i="71"/>
  <c r="C28" i="71"/>
  <c r="T28" i="71" s="1"/>
  <c r="Y26" i="71"/>
  <c r="Z26" i="71" s="1"/>
  <c r="B28" i="71"/>
  <c r="B27" i="71"/>
  <c r="B26" i="71"/>
  <c r="D30" i="71"/>
  <c r="C39" i="71"/>
  <c r="C40" i="71" s="1"/>
  <c r="D38" i="71"/>
  <c r="P28" i="71"/>
  <c r="U56" i="71"/>
  <c r="E63" i="71"/>
  <c r="E64" i="71"/>
  <c r="U64" i="71" s="1"/>
  <c r="U68" i="71"/>
  <c r="E67" i="71"/>
  <c r="E66" i="71" s="1"/>
  <c r="P66" i="71" s="1"/>
  <c r="Q28" i="71"/>
  <c r="D54" i="71"/>
  <c r="C63" i="71"/>
  <c r="D62" i="71"/>
  <c r="Q67" i="71"/>
  <c r="T68" i="71"/>
  <c r="O68" i="71"/>
  <c r="D68" i="71"/>
  <c r="C67" i="71"/>
  <c r="Q68" i="71"/>
  <c r="C71" i="71"/>
  <c r="D71" i="71" s="1"/>
  <c r="D72" i="71"/>
  <c r="C75" i="71"/>
  <c r="E75" i="71"/>
  <c r="E74" i="71"/>
  <c r="D76" i="71"/>
  <c r="E79" i="71"/>
  <c r="E78" i="71"/>
  <c r="D80" i="71"/>
  <c r="S28" i="71"/>
  <c r="F28" i="71"/>
  <c r="E28" i="71"/>
  <c r="C66" i="71"/>
  <c r="O67" i="71"/>
  <c r="D67" i="71"/>
  <c r="C64" i="71"/>
  <c r="D63" i="71"/>
  <c r="D75" i="71"/>
  <c r="C74" i="71"/>
  <c r="D74" i="71"/>
  <c r="C60" i="71"/>
  <c r="C56" i="71"/>
  <c r="D55" i="71"/>
  <c r="P67" i="71"/>
  <c r="D39" i="71"/>
  <c r="P65" i="71"/>
  <c r="O66" i="71"/>
  <c r="D66" i="71"/>
  <c r="O65" i="71"/>
  <c r="T56" i="71"/>
  <c r="D56" i="71"/>
  <c r="T64" i="71"/>
  <c r="D64" i="71"/>
  <c r="O27" i="6"/>
  <c r="N27" i="6"/>
  <c r="P20" i="6"/>
  <c r="P21" i="6"/>
  <c r="P22" i="6"/>
  <c r="P23" i="6"/>
  <c r="P24" i="6"/>
  <c r="P25" i="6"/>
  <c r="P26" i="6"/>
  <c r="P19" i="6"/>
  <c r="AP8" i="1"/>
  <c r="AP9" i="1"/>
  <c r="AP10" i="1"/>
  <c r="AP11" i="1"/>
  <c r="AP12" i="1"/>
  <c r="AP13" i="1"/>
  <c r="L21" i="6"/>
  <c r="L22" i="6"/>
  <c r="L23" i="6"/>
  <c r="L24" i="6"/>
  <c r="L25" i="6"/>
  <c r="L26" i="6"/>
  <c r="A7" i="70"/>
  <c r="A8" i="70"/>
  <c r="A9" i="70"/>
  <c r="A10" i="70"/>
  <c r="A11" i="70"/>
  <c r="A12" i="70"/>
  <c r="A13" i="70"/>
  <c r="E13" i="70"/>
  <c r="A6" i="70"/>
  <c r="Q25" i="40"/>
  <c r="Z25" i="40"/>
  <c r="D94" i="40"/>
  <c r="E94" i="40"/>
  <c r="F25" i="40"/>
  <c r="AA25" i="40" s="1"/>
  <c r="Q29" i="39"/>
  <c r="Z29" i="39" s="1"/>
  <c r="D102" i="39"/>
  <c r="E102" i="39" s="1"/>
  <c r="F102" i="39" s="1"/>
  <c r="G102" i="39" s="1"/>
  <c r="F29" i="39"/>
  <c r="AA29" i="39" s="1"/>
  <c r="Q18" i="36"/>
  <c r="Z18" i="36"/>
  <c r="D66" i="36"/>
  <c r="E66" i="36" s="1"/>
  <c r="F66" i="36" s="1"/>
  <c r="G66" i="36" s="1"/>
  <c r="H18" i="36"/>
  <c r="U18" i="36" s="1"/>
  <c r="AB18" i="36"/>
  <c r="F18" i="36"/>
  <c r="AA18" i="36" s="1"/>
  <c r="C18" i="36"/>
  <c r="Z18" i="35"/>
  <c r="Q18" i="35"/>
  <c r="D68" i="35"/>
  <c r="E68" i="35"/>
  <c r="F18" i="35"/>
  <c r="C18" i="35"/>
  <c r="Q21" i="37"/>
  <c r="Z21" i="37" s="1"/>
  <c r="D77" i="37"/>
  <c r="E77" i="37" s="1"/>
  <c r="F77" i="37" s="1"/>
  <c r="G77" i="37" s="1"/>
  <c r="C21" i="37"/>
  <c r="Z21" i="34"/>
  <c r="Q21" i="34"/>
  <c r="D84" i="34"/>
  <c r="E84" i="34"/>
  <c r="F21" i="34"/>
  <c r="C21" i="34"/>
  <c r="Q21" i="33"/>
  <c r="Z21" i="33" s="1"/>
  <c r="D83" i="33"/>
  <c r="E83" i="33" s="1"/>
  <c r="F83" i="33" s="1"/>
  <c r="G83" i="33" s="1"/>
  <c r="C21" i="33"/>
  <c r="C21" i="21"/>
  <c r="Q21" i="21"/>
  <c r="Z21" i="21" s="1"/>
  <c r="H19" i="21"/>
  <c r="D83" i="21"/>
  <c r="E83" i="21" s="1"/>
  <c r="F21" i="21"/>
  <c r="AA21" i="21" s="1"/>
  <c r="D81" i="21"/>
  <c r="G20" i="20"/>
  <c r="C22" i="20"/>
  <c r="B100" i="43" s="1"/>
  <c r="B77" i="43"/>
  <c r="B57" i="43"/>
  <c r="B68" i="43"/>
  <c r="C29" i="39"/>
  <c r="S25" i="40"/>
  <c r="S18" i="36"/>
  <c r="F94" i="40"/>
  <c r="G94" i="40" s="1"/>
  <c r="H25" i="40"/>
  <c r="AB25" i="40" s="1"/>
  <c r="J25" i="40"/>
  <c r="H29" i="39"/>
  <c r="AB29" i="39" s="1"/>
  <c r="J29" i="39"/>
  <c r="AC29" i="39" s="1"/>
  <c r="J18" i="36"/>
  <c r="AC18" i="36" s="1"/>
  <c r="F68" i="35"/>
  <c r="G68" i="35" s="1"/>
  <c r="H18" i="35"/>
  <c r="AB18" i="35" s="1"/>
  <c r="J18" i="35"/>
  <c r="W18" i="35" s="1"/>
  <c r="H21" i="37"/>
  <c r="F21" i="37"/>
  <c r="AA21" i="37" s="1"/>
  <c r="F84" i="34"/>
  <c r="G84" i="34" s="1"/>
  <c r="H21" i="34"/>
  <c r="AB21" i="34" s="1"/>
  <c r="H21" i="33"/>
  <c r="U21" i="33" s="1"/>
  <c r="F21" i="33"/>
  <c r="S21" i="33" s="1"/>
  <c r="H1" i="69"/>
  <c r="AC25" i="40"/>
  <c r="W25" i="40"/>
  <c r="U25" i="40"/>
  <c r="U29" i="39"/>
  <c r="W29" i="39"/>
  <c r="W18" i="36"/>
  <c r="AB21" i="37"/>
  <c r="U21" i="37"/>
  <c r="S21" i="37"/>
  <c r="AB21" i="33"/>
  <c r="AA21" i="33"/>
  <c r="U18" i="35"/>
  <c r="J21" i="37"/>
  <c r="J21" i="34"/>
  <c r="W21" i="34" s="1"/>
  <c r="J21" i="33"/>
  <c r="AC21" i="33" s="1"/>
  <c r="F83" i="21"/>
  <c r="G83" i="21" s="1"/>
  <c r="H21" i="21"/>
  <c r="U21" i="21" s="1"/>
  <c r="F38" i="69"/>
  <c r="E37" i="69"/>
  <c r="F36" i="69"/>
  <c r="F35" i="69"/>
  <c r="F21" i="69"/>
  <c r="F40" i="69" s="1"/>
  <c r="F20" i="69"/>
  <c r="F39" i="69" s="1"/>
  <c r="E10" i="69"/>
  <c r="E9" i="69"/>
  <c r="C7" i="69"/>
  <c r="AC21" i="37"/>
  <c r="W21" i="37"/>
  <c r="AB21" i="21"/>
  <c r="J21" i="21"/>
  <c r="AC21" i="21" s="1"/>
  <c r="F38" i="68"/>
  <c r="E37" i="68"/>
  <c r="F36" i="68"/>
  <c r="F35" i="68"/>
  <c r="F21" i="68"/>
  <c r="F40" i="68" s="1"/>
  <c r="F20" i="68"/>
  <c r="F39" i="68" s="1"/>
  <c r="E10" i="68"/>
  <c r="E9" i="68"/>
  <c r="C7" i="68"/>
  <c r="C5" i="68" s="1"/>
  <c r="W21" i="21"/>
  <c r="Q72" i="67"/>
  <c r="Q59" i="67"/>
  <c r="Q58" i="67"/>
  <c r="Q51" i="67"/>
  <c r="J50" i="67"/>
  <c r="M47" i="67"/>
  <c r="D46" i="67"/>
  <c r="F33" i="67"/>
  <c r="F61" i="67" s="1"/>
  <c r="F23" i="67"/>
  <c r="D24" i="67" s="1"/>
  <c r="F21" i="67"/>
  <c r="F20" i="67"/>
  <c r="M19" i="67"/>
  <c r="F18" i="67"/>
  <c r="F17" i="67"/>
  <c r="F15" i="67"/>
  <c r="S2" i="4"/>
  <c r="C51" i="10" s="1"/>
  <c r="A13" i="5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s="1"/>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s="1"/>
  <c r="F12" i="31" s="1"/>
  <c r="G12" i="31"/>
  <c r="H12" i="31" s="1"/>
  <c r="I12" i="31" s="1"/>
  <c r="J12" i="31" s="1"/>
  <c r="K12" i="31" s="1"/>
  <c r="L12" i="31" s="1"/>
  <c r="M12" i="31" s="1"/>
  <c r="N12" i="31" s="1"/>
  <c r="O12" i="31" s="1"/>
  <c r="P12" i="31" s="1"/>
  <c r="Q12" i="31" s="1"/>
  <c r="R12" i="31" s="1"/>
  <c r="S12" i="31" s="1"/>
  <c r="D10" i="31"/>
  <c r="E10" i="31" s="1"/>
  <c r="F10" i="31" s="1"/>
  <c r="G10" i="31"/>
  <c r="H10" i="31" s="1"/>
  <c r="I10" i="31" s="1"/>
  <c r="J10" i="31" s="1"/>
  <c r="K10" i="31" s="1"/>
  <c r="L10" i="31" s="1"/>
  <c r="M10" i="31" s="1"/>
  <c r="N10" i="31" s="1"/>
  <c r="O10" i="31" s="1"/>
  <c r="P10" i="31" s="1"/>
  <c r="Q10" i="31" s="1"/>
  <c r="R10" i="31" s="1"/>
  <c r="S10" i="31" s="1"/>
  <c r="D8" i="31"/>
  <c r="E8" i="31" s="1"/>
  <c r="F8" i="31" s="1"/>
  <c r="G8" i="31"/>
  <c r="H8" i="31" s="1"/>
  <c r="I8" i="31" s="1"/>
  <c r="J8" i="31" s="1"/>
  <c r="K8" i="31" s="1"/>
  <c r="L8" i="31" s="1"/>
  <c r="M8" i="31" s="1"/>
  <c r="N8" i="31" s="1"/>
  <c r="O8" i="31" s="1"/>
  <c r="P8" i="31" s="1"/>
  <c r="Q8" i="31" s="1"/>
  <c r="R8" i="31" s="1"/>
  <c r="S8" i="31" s="1"/>
  <c r="D6" i="31"/>
  <c r="E6" i="31" s="1"/>
  <c r="F6" i="31" s="1"/>
  <c r="G6" i="31"/>
  <c r="H6" i="31" s="1"/>
  <c r="I6" i="31" s="1"/>
  <c r="J6" i="31" s="1"/>
  <c r="K6" i="31" s="1"/>
  <c r="L6" i="31" s="1"/>
  <c r="M6" i="31" s="1"/>
  <c r="N6" i="31" s="1"/>
  <c r="O6" i="31" s="1"/>
  <c r="P6" i="31" s="1"/>
  <c r="Q6" i="31" s="1"/>
  <c r="R6" i="31" s="1"/>
  <c r="S6" i="31" s="1"/>
  <c r="B2" i="1"/>
  <c r="E15" i="4"/>
  <c r="F8" i="1" s="1"/>
  <c r="A7" i="1"/>
  <c r="B7" i="1" s="1"/>
  <c r="E7" i="1" s="1"/>
  <c r="A8" i="1"/>
  <c r="B8" i="1" s="1"/>
  <c r="E8" i="1" s="1"/>
  <c r="A9" i="1"/>
  <c r="A10" i="1"/>
  <c r="A11" i="1"/>
  <c r="B11" i="1" s="1"/>
  <c r="E11" i="1" s="1"/>
  <c r="A12" i="1"/>
  <c r="A13" i="1"/>
  <c r="K13" i="1" s="1"/>
  <c r="M13" i="1" s="1"/>
  <c r="O13" i="1" s="1"/>
  <c r="P13" i="1" s="1"/>
  <c r="A6" i="1"/>
  <c r="B13" i="1"/>
  <c r="E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AX112" i="3"/>
  <c r="AW112" i="3"/>
  <c r="AV112" i="3"/>
  <c r="AC112" i="3"/>
  <c r="H112" i="3"/>
  <c r="G112" i="3" s="1"/>
  <c r="BT111" i="3"/>
  <c r="BS111" i="3"/>
  <c r="BR111" i="3"/>
  <c r="BQ111" i="3"/>
  <c r="BP111" i="3"/>
  <c r="BO111" i="3"/>
  <c r="BN111" i="3"/>
  <c r="BM111" i="3"/>
  <c r="BK111" i="3"/>
  <c r="BJ111" i="3"/>
  <c r="BI111" i="3"/>
  <c r="BH111" i="3"/>
  <c r="BG111" i="3"/>
  <c r="BF111" i="3"/>
  <c r="BE111" i="3"/>
  <c r="BD111" i="3"/>
  <c r="BC111" i="3"/>
  <c r="BB111" i="3"/>
  <c r="BA111" i="3"/>
  <c r="AX111" i="3"/>
  <c r="AW111" i="3"/>
  <c r="AV111" i="3"/>
  <c r="AC111" i="3"/>
  <c r="G111" i="3" s="1"/>
  <c r="H111" i="3"/>
  <c r="BT110" i="3"/>
  <c r="BS110" i="3"/>
  <c r="BR110" i="3"/>
  <c r="BQ110" i="3"/>
  <c r="BP110" i="3"/>
  <c r="BO110" i="3"/>
  <c r="BN110" i="3"/>
  <c r="BM110" i="3"/>
  <c r="BL110" i="3" s="1"/>
  <c r="BK110" i="3"/>
  <c r="BJ110" i="3"/>
  <c r="BI110" i="3"/>
  <c r="BH110" i="3"/>
  <c r="BG110" i="3"/>
  <c r="BF110" i="3"/>
  <c r="BE110" i="3"/>
  <c r="BD110" i="3"/>
  <c r="BC110" i="3"/>
  <c r="BA110" i="3" s="1"/>
  <c r="BB110" i="3"/>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s="1"/>
  <c r="AX109" i="3"/>
  <c r="AW109" i="3"/>
  <c r="AV109" i="3"/>
  <c r="AC109" i="3"/>
  <c r="G109" i="3" s="1"/>
  <c r="H109" i="3"/>
  <c r="BT108" i="3"/>
  <c r="BS108" i="3"/>
  <c r="BR108" i="3"/>
  <c r="BQ108" i="3"/>
  <c r="BP108" i="3"/>
  <c r="BO108" i="3"/>
  <c r="BN108" i="3"/>
  <c r="BM108" i="3"/>
  <c r="BL108" i="3"/>
  <c r="BK108" i="3"/>
  <c r="BJ108" i="3"/>
  <c r="BI108" i="3"/>
  <c r="BH108" i="3"/>
  <c r="BG108" i="3"/>
  <c r="BF108" i="3"/>
  <c r="BE108" i="3"/>
  <c r="BD108" i="3"/>
  <c r="BC108" i="3"/>
  <c r="BA108" i="3" s="1"/>
  <c r="AZ108" i="3" s="1"/>
  <c r="BB108" i="3"/>
  <c r="AX108" i="3"/>
  <c r="AW108" i="3"/>
  <c r="AV108" i="3"/>
  <c r="AC108" i="3"/>
  <c r="H108" i="3"/>
  <c r="BT107" i="3"/>
  <c r="BS107" i="3"/>
  <c r="BR107" i="3"/>
  <c r="BQ107" i="3"/>
  <c r="BP107" i="3"/>
  <c r="BO107" i="3"/>
  <c r="BN107" i="3"/>
  <c r="BM107" i="3"/>
  <c r="BL107" i="3"/>
  <c r="BK107" i="3"/>
  <c r="BJ107" i="3"/>
  <c r="BI107" i="3"/>
  <c r="BH107" i="3"/>
  <c r="BG107" i="3"/>
  <c r="BF107" i="3"/>
  <c r="BE107" i="3"/>
  <c r="BD107" i="3"/>
  <c r="BC107" i="3"/>
  <c r="BB107" i="3"/>
  <c r="AX107" i="3"/>
  <c r="AW107" i="3"/>
  <c r="AV107" i="3"/>
  <c r="AC107" i="3"/>
  <c r="H107" i="3"/>
  <c r="G107" i="3"/>
  <c r="BT106" i="3"/>
  <c r="BS106" i="3"/>
  <c r="BR106" i="3"/>
  <c r="BQ106" i="3"/>
  <c r="BP106" i="3"/>
  <c r="BO106" i="3"/>
  <c r="BN106" i="3"/>
  <c r="BM106" i="3"/>
  <c r="BL106" i="3" s="1"/>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A105" i="3" s="1"/>
  <c r="BC105" i="3"/>
  <c r="BB105" i="3"/>
  <c r="AX105" i="3"/>
  <c r="AW105" i="3"/>
  <c r="AV105" i="3"/>
  <c r="AC105" i="3"/>
  <c r="H105" i="3"/>
  <c r="G105" i="3" s="1"/>
  <c r="BT104" i="3"/>
  <c r="BS104" i="3"/>
  <c r="BR104" i="3"/>
  <c r="BQ104" i="3"/>
  <c r="BP104" i="3"/>
  <c r="BO104" i="3"/>
  <c r="BN104" i="3"/>
  <c r="BM104" i="3"/>
  <c r="BK104" i="3"/>
  <c r="BJ104" i="3"/>
  <c r="BI104" i="3"/>
  <c r="BH104" i="3"/>
  <c r="BG104" i="3"/>
  <c r="BF104" i="3"/>
  <c r="BE104" i="3"/>
  <c r="BD104" i="3"/>
  <c r="BC104" i="3"/>
  <c r="BB104" i="3"/>
  <c r="BA104" i="3"/>
  <c r="AX104" i="3"/>
  <c r="AW104" i="3"/>
  <c r="AV104" i="3"/>
  <c r="AC104" i="3"/>
  <c r="H104" i="3"/>
  <c r="G104" i="3"/>
  <c r="BT103" i="3"/>
  <c r="BS103" i="3"/>
  <c r="BR103" i="3"/>
  <c r="BQ103" i="3"/>
  <c r="BP103" i="3"/>
  <c r="BO103" i="3"/>
  <c r="BN103" i="3"/>
  <c r="BM103" i="3"/>
  <c r="BL103" i="3" s="1"/>
  <c r="BK103" i="3"/>
  <c r="BJ103" i="3"/>
  <c r="BI103" i="3"/>
  <c r="BH103" i="3"/>
  <c r="BG103" i="3"/>
  <c r="BF103" i="3"/>
  <c r="BE103" i="3"/>
  <c r="BD103" i="3"/>
  <c r="BC103" i="3"/>
  <c r="BB103" i="3"/>
  <c r="BA103" i="3"/>
  <c r="AZ103" i="3" s="1"/>
  <c r="AX103" i="3"/>
  <c r="AW103" i="3"/>
  <c r="AV103" i="3"/>
  <c r="AC103" i="3"/>
  <c r="G103" i="3" s="1"/>
  <c r="H103" i="3"/>
  <c r="BT102" i="3"/>
  <c r="BS102" i="3"/>
  <c r="BR102" i="3"/>
  <c r="BQ102" i="3"/>
  <c r="BP102" i="3"/>
  <c r="BO102" i="3"/>
  <c r="BN102" i="3"/>
  <c r="BM102" i="3"/>
  <c r="BL102" i="3"/>
  <c r="BK102" i="3"/>
  <c r="BJ102" i="3"/>
  <c r="BI102" i="3"/>
  <c r="BH102" i="3"/>
  <c r="BG102" i="3"/>
  <c r="BF102" i="3"/>
  <c r="BE102" i="3"/>
  <c r="BD102" i="3"/>
  <c r="BC102" i="3"/>
  <c r="BA102" i="3" s="1"/>
  <c r="BB102" i="3"/>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A101" i="3" s="1"/>
  <c r="BB101" i="3"/>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Z100" i="3" s="1"/>
  <c r="AX100" i="3"/>
  <c r="AW100" i="3"/>
  <c r="AV100" i="3"/>
  <c r="AC100" i="3"/>
  <c r="H100" i="3"/>
  <c r="G100" i="3" s="1"/>
  <c r="BT99" i="3"/>
  <c r="BS99" i="3"/>
  <c r="BR99" i="3"/>
  <c r="BQ99" i="3"/>
  <c r="BP99" i="3"/>
  <c r="BO99" i="3"/>
  <c r="BN99" i="3"/>
  <c r="BM99" i="3"/>
  <c r="BL99" i="3"/>
  <c r="BK99" i="3"/>
  <c r="BJ99" i="3"/>
  <c r="BI99" i="3"/>
  <c r="BH99" i="3"/>
  <c r="BG99" i="3"/>
  <c r="BF99" i="3"/>
  <c r="BE99" i="3"/>
  <c r="BD99" i="3"/>
  <c r="BC99" i="3"/>
  <c r="BB99" i="3"/>
  <c r="BA99" i="3" s="1"/>
  <c r="AZ99" i="3" s="1"/>
  <c r="AX99" i="3"/>
  <c r="AW99" i="3"/>
  <c r="AV99" i="3"/>
  <c r="AC99" i="3"/>
  <c r="G99" i="3" s="1"/>
  <c r="H99" i="3"/>
  <c r="BT98" i="3"/>
  <c r="BS98" i="3"/>
  <c r="BR98" i="3"/>
  <c r="BQ98" i="3"/>
  <c r="BP98" i="3"/>
  <c r="BO98" i="3"/>
  <c r="BN98" i="3"/>
  <c r="BM98" i="3"/>
  <c r="BK98" i="3"/>
  <c r="BJ98" i="3"/>
  <c r="BI98" i="3"/>
  <c r="BH98" i="3"/>
  <c r="BG98" i="3"/>
  <c r="BF98" i="3"/>
  <c r="BE98" i="3"/>
  <c r="BD98" i="3"/>
  <c r="BC98" i="3"/>
  <c r="BA98" i="3" s="1"/>
  <c r="BB98" i="3"/>
  <c r="AX98" i="3"/>
  <c r="AW98" i="3"/>
  <c r="AV98" i="3"/>
  <c r="AC98" i="3"/>
  <c r="H98" i="3"/>
  <c r="G98" i="3" s="1"/>
  <c r="BT97" i="3"/>
  <c r="BS97" i="3"/>
  <c r="BR97" i="3"/>
  <c r="BQ97" i="3"/>
  <c r="BP97" i="3"/>
  <c r="BO97" i="3"/>
  <c r="BN97" i="3"/>
  <c r="BL97" i="3" s="1"/>
  <c r="BM97" i="3"/>
  <c r="BK97" i="3"/>
  <c r="BJ97" i="3"/>
  <c r="BI97" i="3"/>
  <c r="BH97" i="3"/>
  <c r="BG97" i="3"/>
  <c r="BF97" i="3"/>
  <c r="BE97" i="3"/>
  <c r="BD97" i="3"/>
  <c r="BC97" i="3"/>
  <c r="BB97" i="3"/>
  <c r="BA97" i="3" s="1"/>
  <c r="AX97" i="3"/>
  <c r="AW97" i="3"/>
  <c r="AV97" i="3"/>
  <c r="AC97" i="3"/>
  <c r="H97" i="3"/>
  <c r="G97" i="3" s="1"/>
  <c r="BT96" i="3"/>
  <c r="BS96" i="3"/>
  <c r="BR96" i="3"/>
  <c r="BQ96" i="3"/>
  <c r="BP96" i="3"/>
  <c r="BO96" i="3"/>
  <c r="BN96" i="3"/>
  <c r="BM96" i="3"/>
  <c r="BL96" i="3"/>
  <c r="BK96" i="3"/>
  <c r="BJ96" i="3"/>
  <c r="BI96" i="3"/>
  <c r="BH96" i="3"/>
  <c r="BG96" i="3"/>
  <c r="BF96" i="3"/>
  <c r="BE96" i="3"/>
  <c r="BD96" i="3"/>
  <c r="BC96" i="3"/>
  <c r="BB96" i="3"/>
  <c r="BA96" i="3" s="1"/>
  <c r="AZ96" i="3"/>
  <c r="AX96" i="3"/>
  <c r="AW96" i="3"/>
  <c r="AV96" i="3"/>
  <c r="AC96" i="3"/>
  <c r="G96" i="3" s="1"/>
  <c r="H96" i="3"/>
  <c r="BT95" i="3"/>
  <c r="BS95" i="3"/>
  <c r="BR95" i="3"/>
  <c r="BQ95" i="3"/>
  <c r="BP95" i="3"/>
  <c r="BO95" i="3"/>
  <c r="BN95" i="3"/>
  <c r="BM95" i="3"/>
  <c r="BK95" i="3"/>
  <c r="BJ95" i="3"/>
  <c r="BI95" i="3"/>
  <c r="BH95" i="3"/>
  <c r="BG95" i="3"/>
  <c r="BF95" i="3"/>
  <c r="BE95" i="3"/>
  <c r="BD95" i="3"/>
  <c r="BC95" i="3"/>
  <c r="BA95" i="3" s="1"/>
  <c r="BB95" i="3"/>
  <c r="AX95" i="3"/>
  <c r="AW95" i="3"/>
  <c r="AV95" i="3"/>
  <c r="AC95" i="3"/>
  <c r="H95" i="3"/>
  <c r="G95" i="3" s="1"/>
  <c r="BT94" i="3"/>
  <c r="BS94" i="3"/>
  <c r="BR94" i="3"/>
  <c r="BQ94" i="3"/>
  <c r="BP94" i="3"/>
  <c r="BO94" i="3"/>
  <c r="BN94" i="3"/>
  <c r="BL94" i="3" s="1"/>
  <c r="BM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AX93" i="3"/>
  <c r="AW93" i="3"/>
  <c r="AV93" i="3"/>
  <c r="AC93" i="3"/>
  <c r="H93" i="3"/>
  <c r="G93" i="3" s="1"/>
  <c r="BT92" i="3"/>
  <c r="BS92" i="3"/>
  <c r="BR92" i="3"/>
  <c r="BQ92" i="3"/>
  <c r="BP92" i="3"/>
  <c r="BO92" i="3"/>
  <c r="BN92" i="3"/>
  <c r="BL92" i="3" s="1"/>
  <c r="BM92" i="3"/>
  <c r="BK92" i="3"/>
  <c r="BJ92" i="3"/>
  <c r="BI92" i="3"/>
  <c r="BH92" i="3"/>
  <c r="BG92" i="3"/>
  <c r="BF92" i="3"/>
  <c r="BE92" i="3"/>
  <c r="BD92" i="3"/>
  <c r="BC92" i="3"/>
  <c r="BB92" i="3"/>
  <c r="BA92" i="3" s="1"/>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BA91" i="3"/>
  <c r="AX91" i="3"/>
  <c r="AW91" i="3"/>
  <c r="AV91" i="3"/>
  <c r="AC91" i="3"/>
  <c r="H91" i="3"/>
  <c r="G91" i="3" s="1"/>
  <c r="BT90" i="3"/>
  <c r="BS90" i="3"/>
  <c r="BR90" i="3"/>
  <c r="BQ90" i="3"/>
  <c r="BP90" i="3"/>
  <c r="BO90" i="3"/>
  <c r="BN90" i="3"/>
  <c r="BM90" i="3"/>
  <c r="BL90" i="3"/>
  <c r="BK90" i="3"/>
  <c r="BJ90" i="3"/>
  <c r="BI90" i="3"/>
  <c r="BH90" i="3"/>
  <c r="BG90" i="3"/>
  <c r="BF90" i="3"/>
  <c r="BE90" i="3"/>
  <c r="BD90" i="3"/>
  <c r="BC90" i="3"/>
  <c r="BB90" i="3"/>
  <c r="AX90" i="3"/>
  <c r="AW90" i="3"/>
  <c r="AV90" i="3"/>
  <c r="AC90" i="3"/>
  <c r="G90" i="3" s="1"/>
  <c r="H90" i="3"/>
  <c r="BT89" i="3"/>
  <c r="BS89" i="3"/>
  <c r="BR89" i="3"/>
  <c r="BQ89" i="3"/>
  <c r="BP89" i="3"/>
  <c r="BO89" i="3"/>
  <c r="BN89" i="3"/>
  <c r="BM89" i="3"/>
  <c r="BK89" i="3"/>
  <c r="BJ89" i="3"/>
  <c r="BI89" i="3"/>
  <c r="BH89" i="3"/>
  <c r="BG89" i="3"/>
  <c r="BF89" i="3"/>
  <c r="BE89" i="3"/>
  <c r="BD89" i="3"/>
  <c r="BC89" i="3"/>
  <c r="BB89" i="3"/>
  <c r="BA89" i="3"/>
  <c r="AX89" i="3"/>
  <c r="AW89" i="3"/>
  <c r="AV89" i="3"/>
  <c r="AC89" i="3"/>
  <c r="G89" i="3" s="1"/>
  <c r="H89" i="3"/>
  <c r="BT88" i="3"/>
  <c r="BS88" i="3"/>
  <c r="BR88" i="3"/>
  <c r="BQ88" i="3"/>
  <c r="BP88" i="3"/>
  <c r="BO88" i="3"/>
  <c r="BN88" i="3"/>
  <c r="BM88" i="3"/>
  <c r="BK88" i="3"/>
  <c r="BJ88" i="3"/>
  <c r="BI88" i="3"/>
  <c r="BH88" i="3"/>
  <c r="BG88" i="3"/>
  <c r="BF88" i="3"/>
  <c r="BE88" i="3"/>
  <c r="BD88" i="3"/>
  <c r="BC88" i="3"/>
  <c r="BA88" i="3" s="1"/>
  <c r="BB88" i="3"/>
  <c r="AX88" i="3"/>
  <c r="AW88" i="3"/>
  <c r="AV88" i="3"/>
  <c r="AC88" i="3"/>
  <c r="H88" i="3"/>
  <c r="G88" i="3"/>
  <c r="BT87" i="3"/>
  <c r="BS87" i="3"/>
  <c r="BR87" i="3"/>
  <c r="BQ87" i="3"/>
  <c r="BP87" i="3"/>
  <c r="BO87" i="3"/>
  <c r="BN87" i="3"/>
  <c r="BM87" i="3"/>
  <c r="BL87" i="3" s="1"/>
  <c r="BK87" i="3"/>
  <c r="BJ87" i="3"/>
  <c r="BI87" i="3"/>
  <c r="BH87" i="3"/>
  <c r="BG87" i="3"/>
  <c r="BF87" i="3"/>
  <c r="BE87" i="3"/>
  <c r="BD87" i="3"/>
  <c r="BC87" i="3"/>
  <c r="BA87" i="3" s="1"/>
  <c r="AZ87" i="3" s="1"/>
  <c r="BB87" i="3"/>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AX86" i="3"/>
  <c r="AW86" i="3"/>
  <c r="AV86" i="3"/>
  <c r="AC86" i="3"/>
  <c r="H86" i="3"/>
  <c r="G86" i="3" s="1"/>
  <c r="BT85" i="3"/>
  <c r="BS85" i="3"/>
  <c r="BR85" i="3"/>
  <c r="BQ85" i="3"/>
  <c r="BP85" i="3"/>
  <c r="BO85" i="3"/>
  <c r="BN85" i="3"/>
  <c r="BM85" i="3"/>
  <c r="BL85" i="3"/>
  <c r="BK85" i="3"/>
  <c r="BJ85" i="3"/>
  <c r="BI85" i="3"/>
  <c r="BH85" i="3"/>
  <c r="BG85" i="3"/>
  <c r="BF85" i="3"/>
  <c r="BE85" i="3"/>
  <c r="BD85" i="3"/>
  <c r="BC85" i="3"/>
  <c r="BB85" i="3"/>
  <c r="AX85" i="3"/>
  <c r="AW85" i="3"/>
  <c r="AV85" i="3"/>
  <c r="AC85" i="3"/>
  <c r="H85" i="3"/>
  <c r="G85" i="3" s="1"/>
  <c r="BT84" i="3"/>
  <c r="BS84" i="3"/>
  <c r="BR84" i="3"/>
  <c r="BQ84" i="3"/>
  <c r="BP84" i="3"/>
  <c r="BO84" i="3"/>
  <c r="BN84" i="3"/>
  <c r="BM84" i="3"/>
  <c r="BL84" i="3"/>
  <c r="BK84" i="3"/>
  <c r="BJ84" i="3"/>
  <c r="BI84" i="3"/>
  <c r="BH84" i="3"/>
  <c r="BG84" i="3"/>
  <c r="BF84" i="3"/>
  <c r="BE84" i="3"/>
  <c r="BD84" i="3"/>
  <c r="BC84" i="3"/>
  <c r="BB84" i="3"/>
  <c r="AX84" i="3"/>
  <c r="AW84" i="3"/>
  <c r="AV84" i="3"/>
  <c r="AC84" i="3"/>
  <c r="H84" i="3"/>
  <c r="G84" i="3" s="1"/>
  <c r="BT83" i="3"/>
  <c r="BS83" i="3"/>
  <c r="BR83" i="3"/>
  <c r="BQ83" i="3"/>
  <c r="BP83" i="3"/>
  <c r="BO83" i="3"/>
  <c r="BN83" i="3"/>
  <c r="BM83" i="3"/>
  <c r="BL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AX82" i="3"/>
  <c r="AW82" i="3"/>
  <c r="AV82" i="3"/>
  <c r="AC82" i="3"/>
  <c r="H82" i="3"/>
  <c r="G82" i="3" s="1"/>
  <c r="BT81" i="3"/>
  <c r="BS81" i="3"/>
  <c r="BR81" i="3"/>
  <c r="BQ81" i="3"/>
  <c r="BP81" i="3"/>
  <c r="BO81" i="3"/>
  <c r="BN81" i="3"/>
  <c r="BM81" i="3"/>
  <c r="BL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BA80" i="3"/>
  <c r="AX80" i="3"/>
  <c r="AW80" i="3"/>
  <c r="AV80" i="3"/>
  <c r="AC80" i="3"/>
  <c r="G80" i="3" s="1"/>
  <c r="H80" i="3"/>
  <c r="BT79" i="3"/>
  <c r="BS79" i="3"/>
  <c r="BR79" i="3"/>
  <c r="BQ79" i="3"/>
  <c r="BP79" i="3"/>
  <c r="BO79" i="3"/>
  <c r="BN79" i="3"/>
  <c r="BM79" i="3"/>
  <c r="BK79" i="3"/>
  <c r="BJ79" i="3"/>
  <c r="BI79" i="3"/>
  <c r="BH79" i="3"/>
  <c r="BG79" i="3"/>
  <c r="BF79" i="3"/>
  <c r="BE79" i="3"/>
  <c r="BD79" i="3"/>
  <c r="BC79" i="3"/>
  <c r="BA79" i="3" s="1"/>
  <c r="BB79" i="3"/>
  <c r="AX79" i="3"/>
  <c r="AW79" i="3"/>
  <c r="AV79" i="3"/>
  <c r="AC79" i="3"/>
  <c r="H79" i="3"/>
  <c r="G79" i="3"/>
  <c r="BT78" i="3"/>
  <c r="BS78" i="3"/>
  <c r="BR78" i="3"/>
  <c r="BQ78" i="3"/>
  <c r="BP78" i="3"/>
  <c r="BO78" i="3"/>
  <c r="BN78" i="3"/>
  <c r="BM78" i="3"/>
  <c r="BL78" i="3" s="1"/>
  <c r="BK78" i="3"/>
  <c r="BJ78" i="3"/>
  <c r="BI78" i="3"/>
  <c r="BH78" i="3"/>
  <c r="BG78" i="3"/>
  <c r="BF78" i="3"/>
  <c r="BE78" i="3"/>
  <c r="BD78" i="3"/>
  <c r="BC78" i="3"/>
  <c r="BA78" i="3" s="1"/>
  <c r="AZ78" i="3" s="1"/>
  <c r="BB78" i="3"/>
  <c r="AX78" i="3"/>
  <c r="AW78" i="3"/>
  <c r="AV78" i="3"/>
  <c r="AC78" i="3"/>
  <c r="H78" i="3"/>
  <c r="G78" i="3" s="1"/>
  <c r="BT77" i="3"/>
  <c r="BS77" i="3"/>
  <c r="BR77" i="3"/>
  <c r="BQ77" i="3"/>
  <c r="BP77" i="3"/>
  <c r="BO77" i="3"/>
  <c r="BN77" i="3"/>
  <c r="BM77" i="3"/>
  <c r="BL77" i="3"/>
  <c r="BK77" i="3"/>
  <c r="BJ77" i="3"/>
  <c r="BI77" i="3"/>
  <c r="BH77" i="3"/>
  <c r="BG77" i="3"/>
  <c r="BF77" i="3"/>
  <c r="BE77" i="3"/>
  <c r="BD77" i="3"/>
  <c r="BC77" i="3"/>
  <c r="BB77" i="3"/>
  <c r="AX77" i="3"/>
  <c r="AW77" i="3"/>
  <c r="AV77" i="3"/>
  <c r="AC77" i="3"/>
  <c r="H77" i="3"/>
  <c r="G77" i="3" s="1"/>
  <c r="BT76" i="3"/>
  <c r="BS76" i="3"/>
  <c r="BR76" i="3"/>
  <c r="BQ76" i="3"/>
  <c r="BP76" i="3"/>
  <c r="BO76" i="3"/>
  <c r="BN76" i="3"/>
  <c r="BM76" i="3"/>
  <c r="BL76" i="3"/>
  <c r="BK76" i="3"/>
  <c r="BJ76" i="3"/>
  <c r="BI76" i="3"/>
  <c r="BH76" i="3"/>
  <c r="BG76" i="3"/>
  <c r="BF76" i="3"/>
  <c r="BE76" i="3"/>
  <c r="BD76" i="3"/>
  <c r="BC76" i="3"/>
  <c r="BB76" i="3"/>
  <c r="AX76" i="3"/>
  <c r="AW76" i="3"/>
  <c r="AV76" i="3"/>
  <c r="AC76" i="3"/>
  <c r="G76" i="3" s="1"/>
  <c r="H76" i="3"/>
  <c r="BT75" i="3"/>
  <c r="BS75" i="3"/>
  <c r="BR75" i="3"/>
  <c r="BQ75" i="3"/>
  <c r="BP75" i="3"/>
  <c r="BO75" i="3"/>
  <c r="BN75" i="3"/>
  <c r="BM75" i="3"/>
  <c r="BK75" i="3"/>
  <c r="BJ75" i="3"/>
  <c r="BI75" i="3"/>
  <c r="BH75" i="3"/>
  <c r="BG75" i="3"/>
  <c r="BF75" i="3"/>
  <c r="BE75" i="3"/>
  <c r="BD75" i="3"/>
  <c r="BC75" i="3"/>
  <c r="BB75" i="3"/>
  <c r="BA75" i="3"/>
  <c r="AX75" i="3"/>
  <c r="AW75" i="3"/>
  <c r="AV75" i="3"/>
  <c r="AC75" i="3"/>
  <c r="G75" i="3" s="1"/>
  <c r="H75" i="3"/>
  <c r="BT74" i="3"/>
  <c r="BS74" i="3"/>
  <c r="BR74" i="3"/>
  <c r="BQ74" i="3"/>
  <c r="BP74" i="3"/>
  <c r="BO74" i="3"/>
  <c r="BN74" i="3"/>
  <c r="BM74" i="3"/>
  <c r="BK74" i="3"/>
  <c r="BJ74" i="3"/>
  <c r="BI74" i="3"/>
  <c r="BH74" i="3"/>
  <c r="BG74" i="3"/>
  <c r="BF74" i="3"/>
  <c r="BE74" i="3"/>
  <c r="BD74" i="3"/>
  <c r="BC74" i="3"/>
  <c r="BA74" i="3" s="1"/>
  <c r="BB74" i="3"/>
  <c r="AX74" i="3"/>
  <c r="AW74" i="3"/>
  <c r="AV74" i="3"/>
  <c r="AC74" i="3"/>
  <c r="H74" i="3"/>
  <c r="G74" i="3"/>
  <c r="BT73" i="3"/>
  <c r="BS73" i="3"/>
  <c r="BR73" i="3"/>
  <c r="BQ73" i="3"/>
  <c r="BP73" i="3"/>
  <c r="BO73" i="3"/>
  <c r="BN73" i="3"/>
  <c r="BM73" i="3"/>
  <c r="BL73" i="3" s="1"/>
  <c r="BK73" i="3"/>
  <c r="BJ73" i="3"/>
  <c r="BI73" i="3"/>
  <c r="BH73" i="3"/>
  <c r="BG73" i="3"/>
  <c r="BF73" i="3"/>
  <c r="BE73" i="3"/>
  <c r="BD73" i="3"/>
  <c r="BC73" i="3"/>
  <c r="BA73" i="3" s="1"/>
  <c r="AZ73" i="3" s="1"/>
  <c r="BB73" i="3"/>
  <c r="AX73" i="3"/>
  <c r="AW73" i="3"/>
  <c r="AV73" i="3"/>
  <c r="AC73" i="3"/>
  <c r="H73" i="3"/>
  <c r="G73" i="3" s="1"/>
  <c r="BT72" i="3"/>
  <c r="BS72" i="3"/>
  <c r="BR72" i="3"/>
  <c r="BQ72" i="3"/>
  <c r="BP72" i="3"/>
  <c r="BO72" i="3"/>
  <c r="BN72" i="3"/>
  <c r="BM72" i="3"/>
  <c r="BL72" i="3"/>
  <c r="BK72" i="3"/>
  <c r="BJ72" i="3"/>
  <c r="BI72" i="3"/>
  <c r="BH72" i="3"/>
  <c r="BG72" i="3"/>
  <c r="BF72" i="3"/>
  <c r="BE72" i="3"/>
  <c r="BD72" i="3"/>
  <c r="BC72" i="3"/>
  <c r="BB72" i="3"/>
  <c r="AX72" i="3"/>
  <c r="AW72" i="3"/>
  <c r="AV72" i="3"/>
  <c r="AC72" i="3"/>
  <c r="H72" i="3"/>
  <c r="G72" i="3" s="1"/>
  <c r="BT71" i="3"/>
  <c r="BS71" i="3"/>
  <c r="BR71" i="3"/>
  <c r="BQ71" i="3"/>
  <c r="BP71" i="3"/>
  <c r="BO71" i="3"/>
  <c r="BN71" i="3"/>
  <c r="BM71" i="3"/>
  <c r="BL71" i="3"/>
  <c r="BK71" i="3"/>
  <c r="BJ71" i="3"/>
  <c r="BI71" i="3"/>
  <c r="BH71" i="3"/>
  <c r="BG71" i="3"/>
  <c r="BF71" i="3"/>
  <c r="BE71" i="3"/>
  <c r="BD71" i="3"/>
  <c r="BC71" i="3"/>
  <c r="BB71" i="3"/>
  <c r="AX71" i="3"/>
  <c r="AW71" i="3"/>
  <c r="AV71" i="3"/>
  <c r="AC71" i="3"/>
  <c r="H71" i="3"/>
  <c r="G71" i="3" s="1"/>
  <c r="BT70" i="3"/>
  <c r="BS70" i="3"/>
  <c r="BR70" i="3"/>
  <c r="BQ70" i="3"/>
  <c r="BP70" i="3"/>
  <c r="BO70" i="3"/>
  <c r="BN70" i="3"/>
  <c r="BM70" i="3"/>
  <c r="BL70" i="3"/>
  <c r="BK70" i="3"/>
  <c r="BJ70" i="3"/>
  <c r="BI70" i="3"/>
  <c r="BH70" i="3"/>
  <c r="BG70" i="3"/>
  <c r="BF70" i="3"/>
  <c r="BE70" i="3"/>
  <c r="BD70" i="3"/>
  <c r="BC70" i="3"/>
  <c r="BB70" i="3"/>
  <c r="AX70" i="3"/>
  <c r="AW70" i="3"/>
  <c r="AV70" i="3"/>
  <c r="AC70" i="3"/>
  <c r="G70" i="3" s="1"/>
  <c r="H70" i="3"/>
  <c r="BT69" i="3"/>
  <c r="BS69" i="3"/>
  <c r="BR69" i="3"/>
  <c r="BQ69" i="3"/>
  <c r="BP69" i="3"/>
  <c r="BO69" i="3"/>
  <c r="BN69" i="3"/>
  <c r="BM69" i="3"/>
  <c r="BK69" i="3"/>
  <c r="BJ69" i="3"/>
  <c r="BI69" i="3"/>
  <c r="BH69" i="3"/>
  <c r="BG69" i="3"/>
  <c r="BF69" i="3"/>
  <c r="BE69" i="3"/>
  <c r="BD69" i="3"/>
  <c r="BC69" i="3"/>
  <c r="BB69" i="3"/>
  <c r="BA69" i="3"/>
  <c r="AX69" i="3"/>
  <c r="AW69" i="3"/>
  <c r="AV69" i="3"/>
  <c r="AC69" i="3"/>
  <c r="G69" i="3" s="1"/>
  <c r="H69" i="3"/>
  <c r="BT68" i="3"/>
  <c r="BS68" i="3"/>
  <c r="BR68" i="3"/>
  <c r="BQ68" i="3"/>
  <c r="BP68" i="3"/>
  <c r="BO68" i="3"/>
  <c r="BN68" i="3"/>
  <c r="BM68" i="3"/>
  <c r="BK68" i="3"/>
  <c r="BJ68" i="3"/>
  <c r="BI68" i="3"/>
  <c r="BH68" i="3"/>
  <c r="BG68" i="3"/>
  <c r="BF68" i="3"/>
  <c r="BE68" i="3"/>
  <c r="BD68" i="3"/>
  <c r="BC68" i="3"/>
  <c r="BA68" i="3" s="1"/>
  <c r="BB68" i="3"/>
  <c r="AX68" i="3"/>
  <c r="AW68" i="3"/>
  <c r="AV68" i="3"/>
  <c r="AC68" i="3"/>
  <c r="H68" i="3"/>
  <c r="G68" i="3" s="1"/>
  <c r="BT67" i="3"/>
  <c r="BS67" i="3"/>
  <c r="BR67" i="3"/>
  <c r="BQ67" i="3"/>
  <c r="BP67" i="3"/>
  <c r="BO67" i="3"/>
  <c r="BN67" i="3"/>
  <c r="BM67" i="3"/>
  <c r="BL67" i="3"/>
  <c r="BK67" i="3"/>
  <c r="BJ67" i="3"/>
  <c r="BI67" i="3"/>
  <c r="BH67" i="3"/>
  <c r="BG67" i="3"/>
  <c r="BF67" i="3"/>
  <c r="BE67" i="3"/>
  <c r="BD67" i="3"/>
  <c r="BC67" i="3"/>
  <c r="BB67" i="3"/>
  <c r="AX67" i="3"/>
  <c r="AW67" i="3"/>
  <c r="AV67" i="3"/>
  <c r="AC67" i="3"/>
  <c r="H67" i="3"/>
  <c r="G67" i="3" s="1"/>
  <c r="BT66" i="3"/>
  <c r="BS66" i="3"/>
  <c r="BR66" i="3"/>
  <c r="BQ66" i="3"/>
  <c r="BP66" i="3"/>
  <c r="BO66" i="3"/>
  <c r="BN66" i="3"/>
  <c r="BM66" i="3"/>
  <c r="BL66" i="3"/>
  <c r="BK66" i="3"/>
  <c r="BJ66" i="3"/>
  <c r="BI66" i="3"/>
  <c r="BH66" i="3"/>
  <c r="BG66" i="3"/>
  <c r="BF66" i="3"/>
  <c r="BE66" i="3"/>
  <c r="BD66" i="3"/>
  <c r="BC66" i="3"/>
  <c r="BB66" i="3"/>
  <c r="AX66" i="3"/>
  <c r="AW66" i="3"/>
  <c r="AV66" i="3"/>
  <c r="AC66" i="3"/>
  <c r="H66" i="3"/>
  <c r="G66" i="3" s="1"/>
  <c r="BT65" i="3"/>
  <c r="BS65" i="3"/>
  <c r="BR65" i="3"/>
  <c r="BQ65" i="3"/>
  <c r="BP65" i="3"/>
  <c r="BO65" i="3"/>
  <c r="BN65" i="3"/>
  <c r="BM65" i="3"/>
  <c r="BL65" i="3"/>
  <c r="BK65" i="3"/>
  <c r="BJ65" i="3"/>
  <c r="BI65" i="3"/>
  <c r="BH65" i="3"/>
  <c r="BG65" i="3"/>
  <c r="BF65" i="3"/>
  <c r="BE65" i="3"/>
  <c r="BD65" i="3"/>
  <c r="BC65" i="3"/>
  <c r="BB65" i="3"/>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X64" i="3"/>
  <c r="AW64" i="3"/>
  <c r="AV64" i="3"/>
  <c r="AC64" i="3"/>
  <c r="H64" i="3"/>
  <c r="G64" i="3" s="1"/>
  <c r="BT63" i="3"/>
  <c r="BS63" i="3"/>
  <c r="BR63" i="3"/>
  <c r="BQ63" i="3"/>
  <c r="BP63" i="3"/>
  <c r="BO63" i="3"/>
  <c r="BN63" i="3"/>
  <c r="BL63" i="3" s="1"/>
  <c r="BM63" i="3"/>
  <c r="BK63" i="3"/>
  <c r="BJ63" i="3"/>
  <c r="BI63" i="3"/>
  <c r="BH63" i="3"/>
  <c r="BG63" i="3"/>
  <c r="BF63" i="3"/>
  <c r="BE63" i="3"/>
  <c r="BD63" i="3"/>
  <c r="BC63" i="3"/>
  <c r="BB63" i="3"/>
  <c r="BA63" i="3" s="1"/>
  <c r="AX63" i="3"/>
  <c r="AW63" i="3"/>
  <c r="AV63" i="3"/>
  <c r="AC63" i="3"/>
  <c r="H63" i="3"/>
  <c r="G63" i="3" s="1"/>
  <c r="BT62" i="3"/>
  <c r="BS62" i="3"/>
  <c r="BR62" i="3"/>
  <c r="BQ62" i="3"/>
  <c r="BP62" i="3"/>
  <c r="BO62" i="3"/>
  <c r="BN62" i="3"/>
  <c r="BL62" i="3" s="1"/>
  <c r="AZ62" i="3" s="1"/>
  <c r="BM62" i="3"/>
  <c r="BK62" i="3"/>
  <c r="BJ62" i="3"/>
  <c r="BI62" i="3"/>
  <c r="BH62" i="3"/>
  <c r="BG62" i="3"/>
  <c r="BF62" i="3"/>
  <c r="BE62" i="3"/>
  <c r="BD62" i="3"/>
  <c r="BC62" i="3"/>
  <c r="BB62" i="3"/>
  <c r="BA62" i="3" s="1"/>
  <c r="AX62" i="3"/>
  <c r="AW62" i="3"/>
  <c r="AV62" i="3"/>
  <c r="AC62" i="3"/>
  <c r="G62" i="3" s="1"/>
  <c r="H62" i="3"/>
  <c r="BT61" i="3"/>
  <c r="BS61" i="3"/>
  <c r="BR61" i="3"/>
  <c r="BQ61" i="3"/>
  <c r="BP61" i="3"/>
  <c r="BO61" i="3"/>
  <c r="BN61" i="3"/>
  <c r="BM61" i="3"/>
  <c r="BK61" i="3"/>
  <c r="BJ61" i="3"/>
  <c r="BI61" i="3"/>
  <c r="BH61" i="3"/>
  <c r="BG61" i="3"/>
  <c r="BF61" i="3"/>
  <c r="BE61" i="3"/>
  <c r="BD61" i="3"/>
  <c r="BC61" i="3"/>
  <c r="BA61" i="3" s="1"/>
  <c r="BB61" i="3"/>
  <c r="AX61" i="3"/>
  <c r="AW61" i="3"/>
  <c r="AV61" i="3"/>
  <c r="AC61" i="3"/>
  <c r="H61" i="3"/>
  <c r="G61" i="3"/>
  <c r="BT60" i="3"/>
  <c r="BS60" i="3"/>
  <c r="BR60" i="3"/>
  <c r="BQ60" i="3"/>
  <c r="BP60" i="3"/>
  <c r="BO60" i="3"/>
  <c r="BN60" i="3"/>
  <c r="BM60" i="3"/>
  <c r="BL60" i="3" s="1"/>
  <c r="BK60" i="3"/>
  <c r="BJ60" i="3"/>
  <c r="BI60" i="3"/>
  <c r="BH60" i="3"/>
  <c r="BG60" i="3"/>
  <c r="BF60" i="3"/>
  <c r="BE60" i="3"/>
  <c r="BD60" i="3"/>
  <c r="BC60" i="3"/>
  <c r="BA60" i="3" s="1"/>
  <c r="AZ60" i="3" s="1"/>
  <c r="BB60" i="3"/>
  <c r="AX60" i="3"/>
  <c r="AW60" i="3"/>
  <c r="AV60" i="3"/>
  <c r="AC60" i="3"/>
  <c r="H60" i="3"/>
  <c r="G60" i="3" s="1"/>
  <c r="BT59" i="3"/>
  <c r="BS59" i="3"/>
  <c r="BR59" i="3"/>
  <c r="BQ59" i="3"/>
  <c r="BP59" i="3"/>
  <c r="BO59" i="3"/>
  <c r="BN59" i="3"/>
  <c r="BM59" i="3"/>
  <c r="BL59" i="3"/>
  <c r="BK59" i="3"/>
  <c r="BJ59" i="3"/>
  <c r="BI59" i="3"/>
  <c r="BH59" i="3"/>
  <c r="BG59" i="3"/>
  <c r="BF59" i="3"/>
  <c r="BE59" i="3"/>
  <c r="BD59" i="3"/>
  <c r="BC59" i="3"/>
  <c r="BB59" i="3"/>
  <c r="AX59" i="3"/>
  <c r="AW59" i="3"/>
  <c r="AV59" i="3"/>
  <c r="AC59" i="3"/>
  <c r="H59" i="3"/>
  <c r="G59" i="3" s="1"/>
  <c r="BT58" i="3"/>
  <c r="BS58" i="3"/>
  <c r="BR58" i="3"/>
  <c r="BQ58" i="3"/>
  <c r="BP58" i="3"/>
  <c r="BO58" i="3"/>
  <c r="BN58" i="3"/>
  <c r="BM58" i="3"/>
  <c r="BL58" i="3"/>
  <c r="BK58" i="3"/>
  <c r="BJ58" i="3"/>
  <c r="BI58" i="3"/>
  <c r="BH58" i="3"/>
  <c r="BG58" i="3"/>
  <c r="BF58" i="3"/>
  <c r="BE58" i="3"/>
  <c r="BD58" i="3"/>
  <c r="BC58" i="3"/>
  <c r="BB58" i="3"/>
  <c r="AX58" i="3"/>
  <c r="AW58" i="3"/>
  <c r="AV58" i="3"/>
  <c r="AC58" i="3"/>
  <c r="H58" i="3"/>
  <c r="G58" i="3" s="1"/>
  <c r="BT57" i="3"/>
  <c r="BS57" i="3"/>
  <c r="BR57" i="3"/>
  <c r="BQ57" i="3"/>
  <c r="BP57" i="3"/>
  <c r="BO57" i="3"/>
  <c r="BN57" i="3"/>
  <c r="BM57" i="3"/>
  <c r="BL57" i="3"/>
  <c r="BK57" i="3"/>
  <c r="BJ57" i="3"/>
  <c r="BI57" i="3"/>
  <c r="BH57" i="3"/>
  <c r="BG57" i="3"/>
  <c r="BF57" i="3"/>
  <c r="BE57" i="3"/>
  <c r="BD57" i="3"/>
  <c r="BC57" i="3"/>
  <c r="BB57" i="3"/>
  <c r="AX57" i="3"/>
  <c r="AW57" i="3"/>
  <c r="AV57" i="3"/>
  <c r="AC57" i="3"/>
  <c r="G57" i="3" s="1"/>
  <c r="H57" i="3"/>
  <c r="BT56" i="3"/>
  <c r="BS56" i="3"/>
  <c r="BR56" i="3"/>
  <c r="BQ56" i="3"/>
  <c r="BP56" i="3"/>
  <c r="BO56" i="3"/>
  <c r="BN56" i="3"/>
  <c r="BM56" i="3"/>
  <c r="BK56" i="3"/>
  <c r="BJ56" i="3"/>
  <c r="BI56" i="3"/>
  <c r="BH56" i="3"/>
  <c r="BG56" i="3"/>
  <c r="BF56" i="3"/>
  <c r="BE56" i="3"/>
  <c r="BD56" i="3"/>
  <c r="BC56" i="3"/>
  <c r="BB56" i="3"/>
  <c r="BA56" i="3"/>
  <c r="AX56" i="3"/>
  <c r="AW56" i="3"/>
  <c r="AV56" i="3"/>
  <c r="AC56" i="3"/>
  <c r="H56" i="3"/>
  <c r="G56" i="3" s="1"/>
  <c r="BT55" i="3"/>
  <c r="BS55" i="3"/>
  <c r="BR55" i="3"/>
  <c r="BQ55" i="3"/>
  <c r="BP55" i="3"/>
  <c r="BO55" i="3"/>
  <c r="BN55" i="3"/>
  <c r="BL55" i="3" s="1"/>
  <c r="BM55" i="3"/>
  <c r="BK55" i="3"/>
  <c r="BJ55" i="3"/>
  <c r="BI55" i="3"/>
  <c r="BH55" i="3"/>
  <c r="BG55" i="3"/>
  <c r="BF55" i="3"/>
  <c r="BE55" i="3"/>
  <c r="BD55" i="3"/>
  <c r="BC55" i="3"/>
  <c r="BB55" i="3"/>
  <c r="BA55" i="3" s="1"/>
  <c r="AX55" i="3"/>
  <c r="AW55" i="3"/>
  <c r="AV55" i="3"/>
  <c r="AC55" i="3"/>
  <c r="H55" i="3"/>
  <c r="G55" i="3" s="1"/>
  <c r="BT54" i="3"/>
  <c r="BS54" i="3"/>
  <c r="BR54" i="3"/>
  <c r="BQ54" i="3"/>
  <c r="BP54" i="3"/>
  <c r="BO54" i="3"/>
  <c r="BN54" i="3"/>
  <c r="BL54" i="3" s="1"/>
  <c r="BM54" i="3"/>
  <c r="BK54" i="3"/>
  <c r="BJ54" i="3"/>
  <c r="BI54" i="3"/>
  <c r="BH54" i="3"/>
  <c r="BG54" i="3"/>
  <c r="BF54" i="3"/>
  <c r="BE54" i="3"/>
  <c r="BD54" i="3"/>
  <c r="BC54" i="3"/>
  <c r="BB54" i="3"/>
  <c r="BA54" i="3" s="1"/>
  <c r="AX54" i="3"/>
  <c r="AW54" i="3"/>
  <c r="AV54" i="3"/>
  <c r="AC54" i="3"/>
  <c r="H54" i="3"/>
  <c r="G54" i="3"/>
  <c r="BT53" i="3"/>
  <c r="BS53" i="3"/>
  <c r="BR53" i="3"/>
  <c r="BQ53" i="3"/>
  <c r="BP53" i="3"/>
  <c r="BO53" i="3"/>
  <c r="BN53" i="3"/>
  <c r="BM53" i="3"/>
  <c r="BL53" i="3" s="1"/>
  <c r="BK53" i="3"/>
  <c r="BJ53" i="3"/>
  <c r="BI53" i="3"/>
  <c r="BH53" i="3"/>
  <c r="BG53" i="3"/>
  <c r="BF53" i="3"/>
  <c r="BE53" i="3"/>
  <c r="BD53" i="3"/>
  <c r="BC53" i="3"/>
  <c r="BA53" i="3" s="1"/>
  <c r="BB53" i="3"/>
  <c r="AX53" i="3"/>
  <c r="AW53" i="3"/>
  <c r="AV53" i="3"/>
  <c r="AC53" i="3"/>
  <c r="H53" i="3"/>
  <c r="G53" i="3"/>
  <c r="BT52" i="3"/>
  <c r="BS52" i="3"/>
  <c r="BR52" i="3"/>
  <c r="BQ52" i="3"/>
  <c r="BP52" i="3"/>
  <c r="BO52" i="3"/>
  <c r="BN52" i="3"/>
  <c r="BM52" i="3"/>
  <c r="BL52" i="3" s="1"/>
  <c r="BK52" i="3"/>
  <c r="BJ52" i="3"/>
  <c r="BI52" i="3"/>
  <c r="BH52" i="3"/>
  <c r="BG52" i="3"/>
  <c r="BF52" i="3"/>
  <c r="BE52" i="3"/>
  <c r="BD52" i="3"/>
  <c r="BC52" i="3"/>
  <c r="BB52" i="3"/>
  <c r="BA52" i="3"/>
  <c r="AX52" i="3"/>
  <c r="AW52" i="3"/>
  <c r="AV52" i="3"/>
  <c r="AC52" i="3"/>
  <c r="H52" i="3"/>
  <c r="G52" i="3" s="1"/>
  <c r="BT51" i="3"/>
  <c r="BS51" i="3"/>
  <c r="BR51" i="3"/>
  <c r="BQ51" i="3"/>
  <c r="BP51" i="3"/>
  <c r="BO51" i="3"/>
  <c r="BN51" i="3"/>
  <c r="BL51" i="3" s="1"/>
  <c r="BM51" i="3"/>
  <c r="BK51" i="3"/>
  <c r="BJ51" i="3"/>
  <c r="BI51" i="3"/>
  <c r="BH51" i="3"/>
  <c r="BG51" i="3"/>
  <c r="BF51" i="3"/>
  <c r="BE51" i="3"/>
  <c r="BD51" i="3"/>
  <c r="BC51" i="3"/>
  <c r="BB51" i="3"/>
  <c r="BA51" i="3" s="1"/>
  <c r="AX51" i="3"/>
  <c r="AW51" i="3"/>
  <c r="AV51" i="3"/>
  <c r="AC51" i="3"/>
  <c r="H51" i="3"/>
  <c r="G51" i="3" s="1"/>
  <c r="BT50" i="3"/>
  <c r="BS50" i="3"/>
  <c r="BR50" i="3"/>
  <c r="BQ50" i="3"/>
  <c r="BP50" i="3"/>
  <c r="BO50" i="3"/>
  <c r="BN50" i="3"/>
  <c r="BL50" i="3" s="1"/>
  <c r="BM50" i="3"/>
  <c r="BK50" i="3"/>
  <c r="BJ50" i="3"/>
  <c r="BI50" i="3"/>
  <c r="BH50" i="3"/>
  <c r="BG50" i="3"/>
  <c r="BF50" i="3"/>
  <c r="BE50" i="3"/>
  <c r="BD50" i="3"/>
  <c r="BC50" i="3"/>
  <c r="BB50" i="3"/>
  <c r="BA50" i="3" s="1"/>
  <c r="AX50" i="3"/>
  <c r="AW50" i="3"/>
  <c r="AV50" i="3"/>
  <c r="AC50" i="3"/>
  <c r="H50" i="3"/>
  <c r="G50" i="3" s="1"/>
  <c r="BT49" i="3"/>
  <c r="BS49" i="3"/>
  <c r="BR49" i="3"/>
  <c r="BQ49" i="3"/>
  <c r="BP49" i="3"/>
  <c r="BO49" i="3"/>
  <c r="BN49" i="3"/>
  <c r="BL49" i="3" s="1"/>
  <c r="AZ49" i="3" s="1"/>
  <c r="BM49" i="3"/>
  <c r="BK49" i="3"/>
  <c r="BJ49" i="3"/>
  <c r="BI49" i="3"/>
  <c r="BH49" i="3"/>
  <c r="BG49" i="3"/>
  <c r="BF49" i="3"/>
  <c r="BE49" i="3"/>
  <c r="BD49" i="3"/>
  <c r="BC49" i="3"/>
  <c r="BB49" i="3"/>
  <c r="BA49" i="3" s="1"/>
  <c r="AX49" i="3"/>
  <c r="AW49" i="3"/>
  <c r="AV49" i="3"/>
  <c r="AC49" i="3"/>
  <c r="G49" i="3" s="1"/>
  <c r="H49" i="3"/>
  <c r="BT48" i="3"/>
  <c r="BS48" i="3"/>
  <c r="BR48" i="3"/>
  <c r="BQ48" i="3"/>
  <c r="BP48" i="3"/>
  <c r="BO48" i="3"/>
  <c r="BN48" i="3"/>
  <c r="BM48" i="3"/>
  <c r="BK48" i="3"/>
  <c r="BJ48" i="3"/>
  <c r="BI48" i="3"/>
  <c r="BH48" i="3"/>
  <c r="BG48" i="3"/>
  <c r="BF48" i="3"/>
  <c r="BE48" i="3"/>
  <c r="BD48" i="3"/>
  <c r="BC48" i="3"/>
  <c r="BA48" i="3" s="1"/>
  <c r="BB48" i="3"/>
  <c r="AX48" i="3"/>
  <c r="AW48" i="3"/>
  <c r="AV48" i="3"/>
  <c r="AC48" i="3"/>
  <c r="H48" i="3"/>
  <c r="G48" i="3" s="1"/>
  <c r="BT47" i="3"/>
  <c r="BS47" i="3"/>
  <c r="BR47" i="3"/>
  <c r="BQ47" i="3"/>
  <c r="BP47" i="3"/>
  <c r="BO47" i="3"/>
  <c r="BN47" i="3"/>
  <c r="BM47" i="3"/>
  <c r="BL47" i="3"/>
  <c r="BK47" i="3"/>
  <c r="BJ47" i="3"/>
  <c r="BI47" i="3"/>
  <c r="BH47" i="3"/>
  <c r="BG47" i="3"/>
  <c r="BF47" i="3"/>
  <c r="BE47" i="3"/>
  <c r="BD47" i="3"/>
  <c r="BC47" i="3"/>
  <c r="BB47" i="3"/>
  <c r="AX47" i="3"/>
  <c r="AW47" i="3"/>
  <c r="AV47" i="3"/>
  <c r="AC47" i="3"/>
  <c r="H47" i="3"/>
  <c r="G47" i="3" s="1"/>
  <c r="BT46" i="3"/>
  <c r="BS46" i="3"/>
  <c r="BR46" i="3"/>
  <c r="BQ46" i="3"/>
  <c r="BP46" i="3"/>
  <c r="BO46" i="3"/>
  <c r="BN46" i="3"/>
  <c r="BM46" i="3"/>
  <c r="BL46" i="3"/>
  <c r="BK46" i="3"/>
  <c r="BJ46" i="3"/>
  <c r="BI46" i="3"/>
  <c r="BH46" i="3"/>
  <c r="BG46" i="3"/>
  <c r="BF46" i="3"/>
  <c r="BE46" i="3"/>
  <c r="BD46" i="3"/>
  <c r="BC46" i="3"/>
  <c r="BB46" i="3"/>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BA45" i="3"/>
  <c r="AX45" i="3"/>
  <c r="AW45" i="3"/>
  <c r="AV45" i="3"/>
  <c r="AC45" i="3"/>
  <c r="G45" i="3" s="1"/>
  <c r="H45" i="3"/>
  <c r="BT44" i="3"/>
  <c r="BS44" i="3"/>
  <c r="BR44" i="3"/>
  <c r="BQ44" i="3"/>
  <c r="BP44" i="3"/>
  <c r="BO44" i="3"/>
  <c r="BN44" i="3"/>
  <c r="BM44" i="3"/>
  <c r="BK44" i="3"/>
  <c r="BJ44" i="3"/>
  <c r="BI44" i="3"/>
  <c r="BH44" i="3"/>
  <c r="BG44" i="3"/>
  <c r="BF44" i="3"/>
  <c r="BE44" i="3"/>
  <c r="BD44" i="3"/>
  <c r="BC44" i="3"/>
  <c r="BB44" i="3"/>
  <c r="BA44" i="3" s="1"/>
  <c r="AX44" i="3"/>
  <c r="AW44" i="3"/>
  <c r="AV44" i="3"/>
  <c r="AC44" i="3"/>
  <c r="H44" i="3"/>
  <c r="G44" i="3"/>
  <c r="BT43" i="3"/>
  <c r="BS43" i="3"/>
  <c r="BR43" i="3"/>
  <c r="BQ43" i="3"/>
  <c r="BP43" i="3"/>
  <c r="BO43" i="3"/>
  <c r="BN43" i="3"/>
  <c r="BM43" i="3"/>
  <c r="BL43" i="3"/>
  <c r="BK43" i="3"/>
  <c r="BJ43" i="3"/>
  <c r="BI43" i="3"/>
  <c r="BH43" i="3"/>
  <c r="BG43" i="3"/>
  <c r="BF43" i="3"/>
  <c r="BE43" i="3"/>
  <c r="BD43" i="3"/>
  <c r="BA43" i="3" s="1"/>
  <c r="BC43" i="3"/>
  <c r="BB43" i="3"/>
  <c r="AX43" i="3"/>
  <c r="AW43" i="3"/>
  <c r="AV43" i="3"/>
  <c r="AC43" i="3"/>
  <c r="H43" i="3"/>
  <c r="G43" i="3" s="1"/>
  <c r="BT42" i="3"/>
  <c r="BS42" i="3"/>
  <c r="BR42" i="3"/>
  <c r="BQ42" i="3"/>
  <c r="BP42" i="3"/>
  <c r="BO42" i="3"/>
  <c r="BN42" i="3"/>
  <c r="BL42" i="3" s="1"/>
  <c r="BM42" i="3"/>
  <c r="BK42" i="3"/>
  <c r="BJ42" i="3"/>
  <c r="BI42" i="3"/>
  <c r="BH42" i="3"/>
  <c r="BG42" i="3"/>
  <c r="BF42" i="3"/>
  <c r="BE42" i="3"/>
  <c r="BD42" i="3"/>
  <c r="BC42" i="3"/>
  <c r="BB42" i="3"/>
  <c r="BA42" i="3" s="1"/>
  <c r="AX42" i="3"/>
  <c r="AW42" i="3"/>
  <c r="AV42" i="3"/>
  <c r="AC42" i="3"/>
  <c r="H42" i="3"/>
  <c r="G42" i="3" s="1"/>
  <c r="BT41" i="3"/>
  <c r="BS41" i="3"/>
  <c r="BR41" i="3"/>
  <c r="BQ41" i="3"/>
  <c r="BP41" i="3"/>
  <c r="BO41" i="3"/>
  <c r="BN41" i="3"/>
  <c r="BL41" i="3" s="1"/>
  <c r="BM41" i="3"/>
  <c r="BK41" i="3"/>
  <c r="BJ41" i="3"/>
  <c r="BI41" i="3"/>
  <c r="BH41" i="3"/>
  <c r="BG41" i="3"/>
  <c r="BF41" i="3"/>
  <c r="BE41" i="3"/>
  <c r="BD41" i="3"/>
  <c r="BC41" i="3"/>
  <c r="BB41" i="3"/>
  <c r="BA41" i="3" s="1"/>
  <c r="AX41" i="3"/>
  <c r="AW41" i="3"/>
  <c r="AV41" i="3"/>
  <c r="AC41" i="3"/>
  <c r="H41" i="3"/>
  <c r="G41" i="3" s="1"/>
  <c r="BT40" i="3"/>
  <c r="BS40" i="3"/>
  <c r="BR40" i="3"/>
  <c r="BQ40" i="3"/>
  <c r="BP40" i="3"/>
  <c r="BO40" i="3"/>
  <c r="BL40" i="3" s="1"/>
  <c r="BN40" i="3"/>
  <c r="BM40" i="3"/>
  <c r="BK40" i="3"/>
  <c r="BJ40" i="3"/>
  <c r="BI40" i="3"/>
  <c r="BH40" i="3"/>
  <c r="BG40" i="3"/>
  <c r="BF40" i="3"/>
  <c r="BE40" i="3"/>
  <c r="BD40" i="3"/>
  <c r="BC40" i="3"/>
  <c r="BB40" i="3"/>
  <c r="AX40" i="3"/>
  <c r="AW40" i="3"/>
  <c r="AV40" i="3"/>
  <c r="AC40" i="3"/>
  <c r="H40" i="3"/>
  <c r="G40" i="3"/>
  <c r="BT39" i="3"/>
  <c r="BS39" i="3"/>
  <c r="BR39" i="3"/>
  <c r="BQ39" i="3"/>
  <c r="BP39" i="3"/>
  <c r="BO39" i="3"/>
  <c r="BN39" i="3"/>
  <c r="BM39" i="3"/>
  <c r="BL39" i="3" s="1"/>
  <c r="BK39" i="3"/>
  <c r="BJ39" i="3"/>
  <c r="BI39" i="3"/>
  <c r="BH39" i="3"/>
  <c r="BG39" i="3"/>
  <c r="BF39" i="3"/>
  <c r="BE39" i="3"/>
  <c r="BD39" i="3"/>
  <c r="BC39" i="3"/>
  <c r="BB39" i="3"/>
  <c r="BA39" i="3"/>
  <c r="AX39" i="3"/>
  <c r="AW39" i="3"/>
  <c r="AV39" i="3"/>
  <c r="AC39" i="3"/>
  <c r="G39" i="3" s="1"/>
  <c r="H39" i="3"/>
  <c r="BT38" i="3"/>
  <c r="BS38" i="3"/>
  <c r="BR38" i="3"/>
  <c r="BQ38" i="3"/>
  <c r="BP38" i="3"/>
  <c r="BO38" i="3"/>
  <c r="BL38" i="3" s="1"/>
  <c r="BN38" i="3"/>
  <c r="BM38" i="3"/>
  <c r="BK38" i="3"/>
  <c r="BJ38" i="3"/>
  <c r="BI38" i="3"/>
  <c r="BH38" i="3"/>
  <c r="BG38" i="3"/>
  <c r="BF38" i="3"/>
  <c r="BE38" i="3"/>
  <c r="BD38" i="3"/>
  <c r="BC38" i="3"/>
  <c r="BA38" i="3" s="1"/>
  <c r="BB38" i="3"/>
  <c r="AX38" i="3"/>
  <c r="AW38" i="3"/>
  <c r="AV38" i="3"/>
  <c r="AC38" i="3"/>
  <c r="H38" i="3"/>
  <c r="G38" i="3" s="1"/>
  <c r="BT37" i="3"/>
  <c r="BS37" i="3"/>
  <c r="BR37" i="3"/>
  <c r="BQ37" i="3"/>
  <c r="BP37" i="3"/>
  <c r="BO37" i="3"/>
  <c r="BN37" i="3"/>
  <c r="BM37" i="3"/>
  <c r="BL37" i="3"/>
  <c r="BK37" i="3"/>
  <c r="BJ37" i="3"/>
  <c r="BI37" i="3"/>
  <c r="BH37" i="3"/>
  <c r="BG37" i="3"/>
  <c r="BF37" i="3"/>
  <c r="BE37" i="3"/>
  <c r="BD37" i="3"/>
  <c r="BC37" i="3"/>
  <c r="BB37" i="3"/>
  <c r="AX37" i="3"/>
  <c r="AW37" i="3"/>
  <c r="AV37" i="3"/>
  <c r="AC37" i="3"/>
  <c r="H37" i="3"/>
  <c r="G37" i="3"/>
  <c r="BT36" i="3"/>
  <c r="BS36" i="3"/>
  <c r="BR36" i="3"/>
  <c r="BQ36" i="3"/>
  <c r="BP36" i="3"/>
  <c r="BO36" i="3"/>
  <c r="BN36" i="3"/>
  <c r="BM36" i="3"/>
  <c r="BL36" i="3" s="1"/>
  <c r="BK36" i="3"/>
  <c r="BJ36" i="3"/>
  <c r="BI36" i="3"/>
  <c r="BH36" i="3"/>
  <c r="BG36" i="3"/>
  <c r="BF36" i="3"/>
  <c r="BE36" i="3"/>
  <c r="BD36" i="3"/>
  <c r="BC36" i="3"/>
  <c r="BB36" i="3"/>
  <c r="BA36" i="3"/>
  <c r="AX36" i="3"/>
  <c r="AW36" i="3"/>
  <c r="AV36" i="3"/>
  <c r="AC36" i="3"/>
  <c r="H36" i="3"/>
  <c r="G36" i="3"/>
  <c r="BT35" i="3"/>
  <c r="BS35" i="3"/>
  <c r="BR35" i="3"/>
  <c r="BQ35" i="3"/>
  <c r="BP35" i="3"/>
  <c r="BO35" i="3"/>
  <c r="BN35" i="3"/>
  <c r="BM35" i="3"/>
  <c r="BL35" i="3"/>
  <c r="BK35" i="3"/>
  <c r="BJ35" i="3"/>
  <c r="BI35" i="3"/>
  <c r="BH35" i="3"/>
  <c r="BG35" i="3"/>
  <c r="BF35" i="3"/>
  <c r="BE35" i="3"/>
  <c r="BD35" i="3"/>
  <c r="BA35" i="3" s="1"/>
  <c r="BC35" i="3"/>
  <c r="BB35" i="3"/>
  <c r="AX35" i="3"/>
  <c r="AW35" i="3"/>
  <c r="AV35" i="3"/>
  <c r="AC35" i="3"/>
  <c r="H35" i="3"/>
  <c r="G35" i="3" s="1"/>
  <c r="BT34" i="3"/>
  <c r="BS34" i="3"/>
  <c r="BR34" i="3"/>
  <c r="BQ34" i="3"/>
  <c r="BP34" i="3"/>
  <c r="BO34" i="3"/>
  <c r="BN34" i="3"/>
  <c r="BM34" i="3"/>
  <c r="BK34" i="3"/>
  <c r="BJ34" i="3"/>
  <c r="BI34" i="3"/>
  <c r="BH34" i="3"/>
  <c r="BG34" i="3"/>
  <c r="BF34" i="3"/>
  <c r="BE34" i="3"/>
  <c r="BD34" i="3"/>
  <c r="BC34" i="3"/>
  <c r="BB34" i="3"/>
  <c r="BA34" i="3"/>
  <c r="AX34" i="3"/>
  <c r="AW34" i="3"/>
  <c r="AV34" i="3"/>
  <c r="AC34" i="3"/>
  <c r="H34" i="3"/>
  <c r="G34" i="3"/>
  <c r="BT33" i="3"/>
  <c r="BS33" i="3"/>
  <c r="BR33" i="3"/>
  <c r="BQ33" i="3"/>
  <c r="BP33" i="3"/>
  <c r="BO33" i="3"/>
  <c r="BN33" i="3"/>
  <c r="BM33" i="3"/>
  <c r="BL33" i="3"/>
  <c r="BK33" i="3"/>
  <c r="BJ33" i="3"/>
  <c r="BI33" i="3"/>
  <c r="BH33" i="3"/>
  <c r="BG33" i="3"/>
  <c r="BF33" i="3"/>
  <c r="BE33" i="3"/>
  <c r="BD33" i="3"/>
  <c r="BA33" i="3" s="1"/>
  <c r="BC33" i="3"/>
  <c r="BB33" i="3"/>
  <c r="AX33" i="3"/>
  <c r="AW33" i="3"/>
  <c r="AV33" i="3"/>
  <c r="AC33" i="3"/>
  <c r="H33" i="3"/>
  <c r="G33" i="3" s="1"/>
  <c r="BT32" i="3"/>
  <c r="BS32" i="3"/>
  <c r="BR32" i="3"/>
  <c r="BQ32" i="3"/>
  <c r="BP32" i="3"/>
  <c r="BO32" i="3"/>
  <c r="BN32" i="3"/>
  <c r="BM32" i="3"/>
  <c r="BL32" i="3"/>
  <c r="BK32" i="3"/>
  <c r="BJ32" i="3"/>
  <c r="BI32" i="3"/>
  <c r="BH32" i="3"/>
  <c r="BG32" i="3"/>
  <c r="BF32" i="3"/>
  <c r="BE32" i="3"/>
  <c r="BD32" i="3"/>
  <c r="BC32" i="3"/>
  <c r="BB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BA31" i="3"/>
  <c r="AX31" i="3"/>
  <c r="AW31" i="3"/>
  <c r="AV31" i="3"/>
  <c r="AC31" i="3"/>
  <c r="H31" i="3"/>
  <c r="BT30" i="3"/>
  <c r="BS30" i="3"/>
  <c r="BR30" i="3"/>
  <c r="BQ30" i="3"/>
  <c r="BP30" i="3"/>
  <c r="BO30" i="3"/>
  <c r="BN30" i="3"/>
  <c r="BL30" i="3" s="1"/>
  <c r="BM30" i="3"/>
  <c r="BK30" i="3"/>
  <c r="BJ30" i="3"/>
  <c r="BI30" i="3"/>
  <c r="BH30" i="3"/>
  <c r="BG30" i="3"/>
  <c r="BF30" i="3"/>
  <c r="BE30" i="3"/>
  <c r="BD30" i="3"/>
  <c r="BC30" i="3"/>
  <c r="BB30" i="3"/>
  <c r="BA30" i="3" s="1"/>
  <c r="AX30" i="3"/>
  <c r="AW30" i="3"/>
  <c r="AV30" i="3"/>
  <c r="AC30" i="3"/>
  <c r="H30" i="3"/>
  <c r="G30" i="3"/>
  <c r="BT29" i="3"/>
  <c r="BS29" i="3"/>
  <c r="BR29" i="3"/>
  <c r="BQ29" i="3"/>
  <c r="BP29" i="3"/>
  <c r="BO29" i="3"/>
  <c r="BN29" i="3"/>
  <c r="BM29" i="3"/>
  <c r="BL29" i="3" s="1"/>
  <c r="BK29" i="3"/>
  <c r="BJ29" i="3"/>
  <c r="BI29" i="3"/>
  <c r="BH29" i="3"/>
  <c r="BG29" i="3"/>
  <c r="BF29" i="3"/>
  <c r="BE29" i="3"/>
  <c r="BD29" i="3"/>
  <c r="BC29" i="3"/>
  <c r="BA29" i="3" s="1"/>
  <c r="BB29" i="3"/>
  <c r="AX29" i="3"/>
  <c r="AW29" i="3"/>
  <c r="AV29" i="3"/>
  <c r="AC29" i="3"/>
  <c r="H29" i="3"/>
  <c r="G29" i="3"/>
  <c r="BT28" i="3"/>
  <c r="BS28" i="3"/>
  <c r="BR28" i="3"/>
  <c r="BQ28" i="3"/>
  <c r="BP28" i="3"/>
  <c r="BO28" i="3"/>
  <c r="BN28" i="3"/>
  <c r="BM28" i="3"/>
  <c r="BL28" i="3" s="1"/>
  <c r="BK28" i="3"/>
  <c r="BJ28" i="3"/>
  <c r="BI28" i="3"/>
  <c r="BH28" i="3"/>
  <c r="BG28" i="3"/>
  <c r="BF28" i="3"/>
  <c r="BE28" i="3"/>
  <c r="BD28" i="3"/>
  <c r="BC28" i="3"/>
  <c r="BB28" i="3"/>
  <c r="BA28" i="3"/>
  <c r="AX28" i="3"/>
  <c r="AW28" i="3"/>
  <c r="AV28" i="3"/>
  <c r="AC28" i="3"/>
  <c r="G28" i="3" s="1"/>
  <c r="H28" i="3"/>
  <c r="BT27" i="3"/>
  <c r="BS27" i="3"/>
  <c r="BR27" i="3"/>
  <c r="BQ27" i="3"/>
  <c r="BP27" i="3"/>
  <c r="BO27" i="3"/>
  <c r="BL27" i="3" s="1"/>
  <c r="BN27" i="3"/>
  <c r="BM27" i="3"/>
  <c r="BK27" i="3"/>
  <c r="BJ27" i="3"/>
  <c r="BI27" i="3"/>
  <c r="BH27" i="3"/>
  <c r="BG27" i="3"/>
  <c r="BF27" i="3"/>
  <c r="BE27" i="3"/>
  <c r="BD27" i="3"/>
  <c r="BC27" i="3"/>
  <c r="BA27" i="3" s="1"/>
  <c r="AZ27" i="3" s="1"/>
  <c r="BB27" i="3"/>
  <c r="AX27" i="3"/>
  <c r="AW27" i="3"/>
  <c r="AV27" i="3"/>
  <c r="AC27" i="3"/>
  <c r="H27" i="3"/>
  <c r="G27" i="3" s="1"/>
  <c r="BT26" i="3"/>
  <c r="BS26" i="3"/>
  <c r="BR26" i="3"/>
  <c r="BQ26" i="3"/>
  <c r="BP26" i="3"/>
  <c r="BO26" i="3"/>
  <c r="BN26" i="3"/>
  <c r="BL26" i="3" s="1"/>
  <c r="BM26" i="3"/>
  <c r="BK26" i="3"/>
  <c r="BJ26" i="3"/>
  <c r="BI26" i="3"/>
  <c r="BH26" i="3"/>
  <c r="BG26" i="3"/>
  <c r="BF26" i="3"/>
  <c r="BE26" i="3"/>
  <c r="BD26" i="3"/>
  <c r="BC26" i="3"/>
  <c r="BB26" i="3"/>
  <c r="BA26" i="3" s="1"/>
  <c r="AX26" i="3"/>
  <c r="AW26" i="3"/>
  <c r="AV26" i="3"/>
  <c r="AC26" i="3"/>
  <c r="H26" i="3"/>
  <c r="G26" i="3"/>
  <c r="BT25" i="3"/>
  <c r="BS25" i="3"/>
  <c r="BR25" i="3"/>
  <c r="BQ25" i="3"/>
  <c r="BP25" i="3"/>
  <c r="BO25" i="3"/>
  <c r="BN25" i="3"/>
  <c r="BM25" i="3"/>
  <c r="BL25" i="3"/>
  <c r="BK25" i="3"/>
  <c r="BJ25" i="3"/>
  <c r="BI25" i="3"/>
  <c r="BH25" i="3"/>
  <c r="BG25" i="3"/>
  <c r="BF25" i="3"/>
  <c r="BE25" i="3"/>
  <c r="BD25" i="3"/>
  <c r="BA25" i="3" s="1"/>
  <c r="AZ25" i="3" s="1"/>
  <c r="BC25" i="3"/>
  <c r="BB25" i="3"/>
  <c r="AX25" i="3"/>
  <c r="AW25" i="3"/>
  <c r="AV25" i="3"/>
  <c r="AC25" i="3"/>
  <c r="G25" i="3" s="1"/>
  <c r="H25" i="3"/>
  <c r="BT24" i="3"/>
  <c r="BS24" i="3"/>
  <c r="BR24" i="3"/>
  <c r="BQ24" i="3"/>
  <c r="BP24" i="3"/>
  <c r="BO24" i="3"/>
  <c r="BL24" i="3" s="1"/>
  <c r="BN24" i="3"/>
  <c r="BM24" i="3"/>
  <c r="BK24" i="3"/>
  <c r="BJ24" i="3"/>
  <c r="BI24" i="3"/>
  <c r="BH24" i="3"/>
  <c r="BG24" i="3"/>
  <c r="BF24" i="3"/>
  <c r="BE24" i="3"/>
  <c r="BD24" i="3"/>
  <c r="BC24" i="3"/>
  <c r="BA24" i="3" s="1"/>
  <c r="BB24" i="3"/>
  <c r="AX24" i="3"/>
  <c r="AW24" i="3"/>
  <c r="AV24" i="3"/>
  <c r="AC24" i="3"/>
  <c r="H24" i="3"/>
  <c r="G24" i="3"/>
  <c r="BT23" i="3"/>
  <c r="BS23" i="3"/>
  <c r="BR23" i="3"/>
  <c r="BQ23" i="3"/>
  <c r="BP23" i="3"/>
  <c r="BO23" i="3"/>
  <c r="BN23" i="3"/>
  <c r="BM23" i="3"/>
  <c r="BL23" i="3" s="1"/>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A22" i="3" s="1"/>
  <c r="BC22" i="3"/>
  <c r="BB22" i="3"/>
  <c r="AZ22" i="3"/>
  <c r="AX22" i="3"/>
  <c r="AW22" i="3"/>
  <c r="AV22" i="3"/>
  <c r="AC22" i="3"/>
  <c r="G22" i="3" s="1"/>
  <c r="H22" i="3"/>
  <c r="BT21" i="3"/>
  <c r="BS21" i="3"/>
  <c r="BR21" i="3"/>
  <c r="BQ21" i="3"/>
  <c r="BP21" i="3"/>
  <c r="BO21" i="3"/>
  <c r="BL21" i="3" s="1"/>
  <c r="BN21" i="3"/>
  <c r="BM21" i="3"/>
  <c r="BK21" i="3"/>
  <c r="BJ21" i="3"/>
  <c r="BI21" i="3"/>
  <c r="BH21" i="3"/>
  <c r="BG21" i="3"/>
  <c r="BF21" i="3"/>
  <c r="BE21" i="3"/>
  <c r="BD21" i="3"/>
  <c r="BC21" i="3"/>
  <c r="BA21" i="3" s="1"/>
  <c r="BB21" i="3"/>
  <c r="AX21" i="3"/>
  <c r="AW21" i="3"/>
  <c r="AV21" i="3"/>
  <c r="AC21" i="3"/>
  <c r="H21" i="3"/>
  <c r="G21" i="3"/>
  <c r="BT20" i="3"/>
  <c r="BS20" i="3"/>
  <c r="BR20" i="3"/>
  <c r="BQ20" i="3"/>
  <c r="BP20" i="3"/>
  <c r="BO20" i="3"/>
  <c r="BN20" i="3"/>
  <c r="BM20" i="3"/>
  <c r="BL20" i="3" s="1"/>
  <c r="BK20" i="3"/>
  <c r="BJ20" i="3"/>
  <c r="BI20" i="3"/>
  <c r="BH20" i="3"/>
  <c r="BG20" i="3"/>
  <c r="BF20" i="3"/>
  <c r="BE20" i="3"/>
  <c r="BD20" i="3"/>
  <c r="BC20" i="3"/>
  <c r="BB20" i="3"/>
  <c r="BA20" i="3"/>
  <c r="AX20" i="3"/>
  <c r="AW20" i="3"/>
  <c r="AV20" i="3"/>
  <c r="AC20" i="3"/>
  <c r="G20" i="3" s="1"/>
  <c r="H20" i="3"/>
  <c r="BT19" i="3"/>
  <c r="BS19" i="3"/>
  <c r="BR19" i="3"/>
  <c r="BQ19" i="3"/>
  <c r="BP19" i="3"/>
  <c r="BO19" i="3"/>
  <c r="BL19" i="3" s="1"/>
  <c r="BN19" i="3"/>
  <c r="BM19" i="3"/>
  <c r="BK19" i="3"/>
  <c r="BJ19" i="3"/>
  <c r="BI19" i="3"/>
  <c r="BH19" i="3"/>
  <c r="BG19" i="3"/>
  <c r="BF19" i="3"/>
  <c r="BE19" i="3"/>
  <c r="BD19" i="3"/>
  <c r="BC19" i="3"/>
  <c r="BA19" i="3" s="1"/>
  <c r="BB19" i="3"/>
  <c r="AX19" i="3"/>
  <c r="AW19" i="3"/>
  <c r="AV19" i="3"/>
  <c r="AC19" i="3"/>
  <c r="H19" i="3"/>
  <c r="G19" i="3"/>
  <c r="BT18" i="3"/>
  <c r="BS18" i="3"/>
  <c r="BR18" i="3"/>
  <c r="BQ18" i="3"/>
  <c r="BP18" i="3"/>
  <c r="BO18" i="3"/>
  <c r="BN18" i="3"/>
  <c r="BM18" i="3"/>
  <c r="BL18" i="3" s="1"/>
  <c r="BK18" i="3"/>
  <c r="BJ18" i="3"/>
  <c r="BI18" i="3"/>
  <c r="BH18" i="3"/>
  <c r="BG18" i="3"/>
  <c r="BF18" i="3"/>
  <c r="BE18" i="3"/>
  <c r="BD18" i="3"/>
  <c r="BC18" i="3"/>
  <c r="BB18" i="3"/>
  <c r="BA18" i="3"/>
  <c r="AZ18" i="3" s="1"/>
  <c r="AX18" i="3"/>
  <c r="AW18" i="3"/>
  <c r="AV18" i="3"/>
  <c r="AC18" i="3"/>
  <c r="H18" i="3"/>
  <c r="G18" i="3"/>
  <c r="BT207" i="3"/>
  <c r="BS207" i="3"/>
  <c r="BR207" i="3"/>
  <c r="BQ207" i="3"/>
  <c r="BP207" i="3"/>
  <c r="BO207" i="3"/>
  <c r="BN207" i="3"/>
  <c r="BM207" i="3"/>
  <c r="BL207" i="3"/>
  <c r="BK207" i="3"/>
  <c r="BJ207" i="3"/>
  <c r="BI207" i="3"/>
  <c r="BH207" i="3"/>
  <c r="BG207" i="3"/>
  <c r="BF207" i="3"/>
  <c r="BE207" i="3"/>
  <c r="BD207" i="3"/>
  <c r="BA207" i="3" s="1"/>
  <c r="AZ207" i="3" s="1"/>
  <c r="BC207" i="3"/>
  <c r="BB207" i="3"/>
  <c r="AX207" i="3"/>
  <c r="AW207" i="3"/>
  <c r="AV207" i="3"/>
  <c r="AC207" i="3"/>
  <c r="G207" i="3" s="1"/>
  <c r="H207" i="3"/>
  <c r="BT206" i="3"/>
  <c r="BS206" i="3"/>
  <c r="BR206" i="3"/>
  <c r="BQ206" i="3"/>
  <c r="BP206" i="3"/>
  <c r="BO206" i="3"/>
  <c r="BL206" i="3" s="1"/>
  <c r="BN206" i="3"/>
  <c r="BM206" i="3"/>
  <c r="BK206" i="3"/>
  <c r="BJ206" i="3"/>
  <c r="BI206" i="3"/>
  <c r="BH206" i="3"/>
  <c r="BG206" i="3"/>
  <c r="BF206" i="3"/>
  <c r="BE206" i="3"/>
  <c r="BD206" i="3"/>
  <c r="BC206" i="3"/>
  <c r="BA206" i="3" s="1"/>
  <c r="BB206" i="3"/>
  <c r="AX206" i="3"/>
  <c r="AW206" i="3"/>
  <c r="AV206" i="3"/>
  <c r="AC206" i="3"/>
  <c r="H206" i="3"/>
  <c r="G206" i="3"/>
  <c r="BT205" i="3"/>
  <c r="BS205" i="3"/>
  <c r="BR205" i="3"/>
  <c r="BQ205" i="3"/>
  <c r="BP205" i="3"/>
  <c r="BO205" i="3"/>
  <c r="BN205" i="3"/>
  <c r="BM205" i="3"/>
  <c r="BL205" i="3" s="1"/>
  <c r="BK205" i="3"/>
  <c r="BJ205" i="3"/>
  <c r="BI205" i="3"/>
  <c r="BH205" i="3"/>
  <c r="BG205" i="3"/>
  <c r="BF205" i="3"/>
  <c r="BE205" i="3"/>
  <c r="BD205" i="3"/>
  <c r="BC205" i="3"/>
  <c r="BB205" i="3"/>
  <c r="BA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A204" i="3" s="1"/>
  <c r="BB204" i="3"/>
  <c r="AX204" i="3"/>
  <c r="AW204" i="3"/>
  <c r="AV204" i="3"/>
  <c r="AC204" i="3"/>
  <c r="H204" i="3"/>
  <c r="G204" i="3"/>
  <c r="BT203" i="3"/>
  <c r="BS203" i="3"/>
  <c r="BR203" i="3"/>
  <c r="BQ203" i="3"/>
  <c r="BP203" i="3"/>
  <c r="BO203" i="3"/>
  <c r="BN203" i="3"/>
  <c r="BM203" i="3"/>
  <c r="BL203" i="3" s="1"/>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L202" i="3" s="1"/>
  <c r="BM202" i="3"/>
  <c r="BK202" i="3"/>
  <c r="BJ202" i="3"/>
  <c r="BI202" i="3"/>
  <c r="BH202" i="3"/>
  <c r="BG202" i="3"/>
  <c r="BF202" i="3"/>
  <c r="BE202" i="3"/>
  <c r="BD202" i="3"/>
  <c r="BC202" i="3"/>
  <c r="BB202" i="3"/>
  <c r="BA202" i="3" s="1"/>
  <c r="AX202" i="3"/>
  <c r="AW202" i="3"/>
  <c r="AV202" i="3"/>
  <c r="AC202" i="3"/>
  <c r="H202" i="3"/>
  <c r="G202" i="3"/>
  <c r="BT201" i="3"/>
  <c r="BS201" i="3"/>
  <c r="BR201" i="3"/>
  <c r="BQ201" i="3"/>
  <c r="BP201" i="3"/>
  <c r="BO201" i="3"/>
  <c r="BN201" i="3"/>
  <c r="BM201" i="3"/>
  <c r="BL201" i="3"/>
  <c r="BK201" i="3"/>
  <c r="BJ201" i="3"/>
  <c r="BI201" i="3"/>
  <c r="BH201" i="3"/>
  <c r="BG201" i="3"/>
  <c r="BF201" i="3"/>
  <c r="BE201" i="3"/>
  <c r="BD201" i="3"/>
  <c r="BA201" i="3" s="1"/>
  <c r="AZ201" i="3" s="1"/>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G200" i="3" s="1"/>
  <c r="H200" i="3"/>
  <c r="BT199" i="3"/>
  <c r="BS199" i="3"/>
  <c r="BR199" i="3"/>
  <c r="BQ199" i="3"/>
  <c r="BP199" i="3"/>
  <c r="BO199" i="3"/>
  <c r="BL199" i="3" s="1"/>
  <c r="BN199" i="3"/>
  <c r="BM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A198" i="3" s="1"/>
  <c r="BC198" i="3"/>
  <c r="BB198" i="3"/>
  <c r="AX198" i="3"/>
  <c r="AW198" i="3"/>
  <c r="AV198" i="3"/>
  <c r="AC198" i="3"/>
  <c r="H198" i="3"/>
  <c r="G198" i="3" s="1"/>
  <c r="BT197" i="3"/>
  <c r="BS197" i="3"/>
  <c r="BR197" i="3"/>
  <c r="BQ197" i="3"/>
  <c r="BP197" i="3"/>
  <c r="BO197" i="3"/>
  <c r="BN197" i="3"/>
  <c r="BL197" i="3" s="1"/>
  <c r="BM197" i="3"/>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G194" i="3" s="1"/>
  <c r="H194" i="3"/>
  <c r="BT193" i="3"/>
  <c r="BS193" i="3"/>
  <c r="BR193" i="3"/>
  <c r="BQ193" i="3"/>
  <c r="BP193" i="3"/>
  <c r="BO193" i="3"/>
  <c r="BL193" i="3" s="1"/>
  <c r="BN193" i="3"/>
  <c r="BM193" i="3"/>
  <c r="BK193" i="3"/>
  <c r="BJ193" i="3"/>
  <c r="BI193" i="3"/>
  <c r="BH193" i="3"/>
  <c r="BG193" i="3"/>
  <c r="BF193" i="3"/>
  <c r="BE193" i="3"/>
  <c r="BD193" i="3"/>
  <c r="BC193" i="3"/>
  <c r="BA193" i="3" s="1"/>
  <c r="BB193" i="3"/>
  <c r="AX193" i="3"/>
  <c r="AW193" i="3"/>
  <c r="AV193" i="3"/>
  <c r="AC193" i="3"/>
  <c r="H193" i="3"/>
  <c r="BT192" i="3"/>
  <c r="BS192" i="3"/>
  <c r="BR192" i="3"/>
  <c r="BQ192" i="3"/>
  <c r="BP192" i="3"/>
  <c r="BO192" i="3"/>
  <c r="BN192" i="3"/>
  <c r="BM192" i="3"/>
  <c r="BK192" i="3"/>
  <c r="BJ192" i="3"/>
  <c r="BI192" i="3"/>
  <c r="BH192" i="3"/>
  <c r="BG192" i="3"/>
  <c r="BF192" i="3"/>
  <c r="BE192" i="3"/>
  <c r="BD192" i="3"/>
  <c r="BA192" i="3" s="1"/>
  <c r="BC192" i="3"/>
  <c r="BB192" i="3"/>
  <c r="AX192" i="3"/>
  <c r="AW192" i="3"/>
  <c r="AV192" i="3"/>
  <c r="AC192" i="3"/>
  <c r="H192" i="3"/>
  <c r="G192" i="3" s="1"/>
  <c r="BT191" i="3"/>
  <c r="BS191" i="3"/>
  <c r="BR191" i="3"/>
  <c r="BQ191" i="3"/>
  <c r="BP191" i="3"/>
  <c r="BO191" i="3"/>
  <c r="BN191" i="3"/>
  <c r="BL191" i="3" s="1"/>
  <c r="BM191" i="3"/>
  <c r="BK191" i="3"/>
  <c r="BJ191" i="3"/>
  <c r="BI191" i="3"/>
  <c r="BH191" i="3"/>
  <c r="BG191" i="3"/>
  <c r="BF191" i="3"/>
  <c r="BE191" i="3"/>
  <c r="BD191" i="3"/>
  <c r="BC191" i="3"/>
  <c r="BB191" i="3"/>
  <c r="AX191" i="3"/>
  <c r="AW191" i="3"/>
  <c r="AV191" i="3"/>
  <c r="AC191" i="3"/>
  <c r="G191" i="3" s="1"/>
  <c r="H191" i="3"/>
  <c r="BT190" i="3"/>
  <c r="BS190" i="3"/>
  <c r="BR190" i="3"/>
  <c r="BQ190" i="3"/>
  <c r="BP190" i="3"/>
  <c r="BO190" i="3"/>
  <c r="BL190" i="3" s="1"/>
  <c r="BN190" i="3"/>
  <c r="BM190" i="3"/>
  <c r="BK190" i="3"/>
  <c r="BJ190" i="3"/>
  <c r="BI190" i="3"/>
  <c r="BH190" i="3"/>
  <c r="BG190" i="3"/>
  <c r="BF190" i="3"/>
  <c r="BE190" i="3"/>
  <c r="BD190" i="3"/>
  <c r="BC190" i="3"/>
  <c r="BA190" i="3" s="1"/>
  <c r="BB190" i="3"/>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G188" i="3" s="1"/>
  <c r="H188" i="3"/>
  <c r="BT187" i="3"/>
  <c r="BS187" i="3"/>
  <c r="BR187" i="3"/>
  <c r="BQ187" i="3"/>
  <c r="BP187" i="3"/>
  <c r="BO187" i="3"/>
  <c r="BL187" i="3" s="1"/>
  <c r="BN187" i="3"/>
  <c r="BM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A186" i="3" s="1"/>
  <c r="BC186" i="3"/>
  <c r="BB186" i="3"/>
  <c r="AX186" i="3"/>
  <c r="AW186" i="3"/>
  <c r="AV186" i="3"/>
  <c r="AC186" i="3"/>
  <c r="H186" i="3"/>
  <c r="G186" i="3" s="1"/>
  <c r="BT185" i="3"/>
  <c r="BS185" i="3"/>
  <c r="BR185" i="3"/>
  <c r="BQ185" i="3"/>
  <c r="BP185" i="3"/>
  <c r="BO185" i="3"/>
  <c r="BN185" i="3"/>
  <c r="BL185" i="3" s="1"/>
  <c r="BM185" i="3"/>
  <c r="BK185" i="3"/>
  <c r="BJ185" i="3"/>
  <c r="BI185" i="3"/>
  <c r="BH185" i="3"/>
  <c r="BG185" i="3"/>
  <c r="BF185" i="3"/>
  <c r="BE185" i="3"/>
  <c r="BD185" i="3"/>
  <c r="BC185" i="3"/>
  <c r="BB185" i="3"/>
  <c r="BA185" i="3" s="1"/>
  <c r="AX185" i="3"/>
  <c r="AW185" i="3"/>
  <c r="AV185" i="3"/>
  <c r="AC185" i="3"/>
  <c r="H185" i="3"/>
  <c r="BT184" i="3"/>
  <c r="BS184" i="3"/>
  <c r="BR184" i="3"/>
  <c r="BQ184" i="3"/>
  <c r="BP184" i="3"/>
  <c r="BO184" i="3"/>
  <c r="BN184" i="3"/>
  <c r="BM184" i="3"/>
  <c r="BK184" i="3"/>
  <c r="BJ184" i="3"/>
  <c r="BI184" i="3"/>
  <c r="BH184" i="3"/>
  <c r="BG184" i="3"/>
  <c r="BF184" i="3"/>
  <c r="BE184" i="3"/>
  <c r="BD184" i="3"/>
  <c r="BC184" i="3"/>
  <c r="BA184" i="3" s="1"/>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L182" i="3" s="1"/>
  <c r="BM182" i="3"/>
  <c r="BK182" i="3"/>
  <c r="BJ182" i="3"/>
  <c r="BI182" i="3"/>
  <c r="BH182" i="3"/>
  <c r="BG182" i="3"/>
  <c r="BF182" i="3"/>
  <c r="BE182" i="3"/>
  <c r="BD182" i="3"/>
  <c r="BC182" i="3"/>
  <c r="BB182" i="3"/>
  <c r="BA182" i="3" s="1"/>
  <c r="AX182" i="3"/>
  <c r="AW182" i="3"/>
  <c r="AV182" i="3"/>
  <c r="AC182" i="3"/>
  <c r="H182" i="3"/>
  <c r="G182" i="3"/>
  <c r="BT181" i="3"/>
  <c r="BS181" i="3"/>
  <c r="BR181" i="3"/>
  <c r="BQ181" i="3"/>
  <c r="BP181" i="3"/>
  <c r="BO181" i="3"/>
  <c r="BN181" i="3"/>
  <c r="BM181" i="3"/>
  <c r="BL181" i="3"/>
  <c r="BK181" i="3"/>
  <c r="BJ181" i="3"/>
  <c r="BI181" i="3"/>
  <c r="BH181" i="3"/>
  <c r="BG181" i="3"/>
  <c r="BF181" i="3"/>
  <c r="BE181" i="3"/>
  <c r="BD181" i="3"/>
  <c r="BA181" i="3" s="1"/>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A180" i="3" s="1"/>
  <c r="BC180" i="3"/>
  <c r="BB180" i="3"/>
  <c r="AX180" i="3"/>
  <c r="AW180" i="3"/>
  <c r="AV180" i="3"/>
  <c r="AC180" i="3"/>
  <c r="H180" i="3"/>
  <c r="G180" i="3" s="1"/>
  <c r="BT179" i="3"/>
  <c r="BS179" i="3"/>
  <c r="BR179" i="3"/>
  <c r="BQ179" i="3"/>
  <c r="BP179" i="3"/>
  <c r="BO179" i="3"/>
  <c r="BN179" i="3"/>
  <c r="BL179" i="3" s="1"/>
  <c r="BM179" i="3"/>
  <c r="BK179" i="3"/>
  <c r="BJ179" i="3"/>
  <c r="BI179" i="3"/>
  <c r="BH179" i="3"/>
  <c r="BG179" i="3"/>
  <c r="BF179" i="3"/>
  <c r="BE179" i="3"/>
  <c r="BD179" i="3"/>
  <c r="BC179" i="3"/>
  <c r="BB179" i="3"/>
  <c r="AX179" i="3"/>
  <c r="AW179" i="3"/>
  <c r="AV179" i="3"/>
  <c r="AC179" i="3"/>
  <c r="G179" i="3" s="1"/>
  <c r="H179" i="3"/>
  <c r="BT178" i="3"/>
  <c r="BS178" i="3"/>
  <c r="BR178" i="3"/>
  <c r="BQ178" i="3"/>
  <c r="BP178" i="3"/>
  <c r="BO178" i="3"/>
  <c r="BL178" i="3" s="1"/>
  <c r="BN178" i="3"/>
  <c r="BM178" i="3"/>
  <c r="BK178" i="3"/>
  <c r="BJ178" i="3"/>
  <c r="BI178" i="3"/>
  <c r="BH178" i="3"/>
  <c r="BG178" i="3"/>
  <c r="BF178" i="3"/>
  <c r="BE178" i="3"/>
  <c r="BD178" i="3"/>
  <c r="BC178" i="3"/>
  <c r="BA178" i="3" s="1"/>
  <c r="BB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s="1"/>
  <c r="BK174" i="3"/>
  <c r="BJ174" i="3"/>
  <c r="BI174" i="3"/>
  <c r="BH174" i="3"/>
  <c r="BG174" i="3"/>
  <c r="BF174" i="3"/>
  <c r="BE174" i="3"/>
  <c r="BD174" i="3"/>
  <c r="BC174" i="3"/>
  <c r="BB174" i="3"/>
  <c r="BA174" i="3"/>
  <c r="AX174" i="3"/>
  <c r="AW174" i="3"/>
  <c r="AV174" i="3"/>
  <c r="AC174" i="3"/>
  <c r="G174" i="3" s="1"/>
  <c r="H174" i="3"/>
  <c r="BT173" i="3"/>
  <c r="BS173" i="3"/>
  <c r="BR173" i="3"/>
  <c r="BQ173" i="3"/>
  <c r="BP173" i="3"/>
  <c r="BO173" i="3"/>
  <c r="BL173" i="3" s="1"/>
  <c r="BN173" i="3"/>
  <c r="BM173" i="3"/>
  <c r="BK173" i="3"/>
  <c r="BJ173" i="3"/>
  <c r="BI173" i="3"/>
  <c r="BH173" i="3"/>
  <c r="BG173" i="3"/>
  <c r="BF173" i="3"/>
  <c r="BE173" i="3"/>
  <c r="BD173" i="3"/>
  <c r="BC173" i="3"/>
  <c r="BA173" i="3" s="1"/>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A172" i="3" s="1"/>
  <c r="BB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L170" i="3" s="1"/>
  <c r="BM170" i="3"/>
  <c r="BK170" i="3"/>
  <c r="BJ170" i="3"/>
  <c r="BI170" i="3"/>
  <c r="BH170" i="3"/>
  <c r="BG170" i="3"/>
  <c r="BF170" i="3"/>
  <c r="BE170" i="3"/>
  <c r="BD170" i="3"/>
  <c r="BC170" i="3"/>
  <c r="BB170" i="3"/>
  <c r="BA170" i="3" s="1"/>
  <c r="AX170" i="3"/>
  <c r="AW170" i="3"/>
  <c r="AV170" i="3"/>
  <c r="AC170" i="3"/>
  <c r="H170" i="3"/>
  <c r="G170" i="3"/>
  <c r="BT169" i="3"/>
  <c r="BS169" i="3"/>
  <c r="BR169" i="3"/>
  <c r="BQ169" i="3"/>
  <c r="BP169" i="3"/>
  <c r="BO169" i="3"/>
  <c r="BN169" i="3"/>
  <c r="BM169" i="3"/>
  <c r="BL169" i="3"/>
  <c r="BK169" i="3"/>
  <c r="BJ169" i="3"/>
  <c r="BI169" i="3"/>
  <c r="BH169" i="3"/>
  <c r="BG169" i="3"/>
  <c r="BF169" i="3"/>
  <c r="BE169" i="3"/>
  <c r="BD169" i="3"/>
  <c r="BA169" i="3" s="1"/>
  <c r="BC169" i="3"/>
  <c r="BB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G168" i="3" s="1"/>
  <c r="H168" i="3"/>
  <c r="BT167" i="3"/>
  <c r="BS167" i="3"/>
  <c r="BR167" i="3"/>
  <c r="BQ167" i="3"/>
  <c r="BP167" i="3"/>
  <c r="BO167" i="3"/>
  <c r="BL167" i="3" s="1"/>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A166" i="3" s="1"/>
  <c r="BC166" i="3"/>
  <c r="BB166" i="3"/>
  <c r="AX166" i="3"/>
  <c r="AW166" i="3"/>
  <c r="AV166" i="3"/>
  <c r="AC166" i="3"/>
  <c r="H166" i="3"/>
  <c r="G166" i="3" s="1"/>
  <c r="BT165" i="3"/>
  <c r="BS165" i="3"/>
  <c r="BR165" i="3"/>
  <c r="BQ165" i="3"/>
  <c r="BP165" i="3"/>
  <c r="BO165" i="3"/>
  <c r="BN165" i="3"/>
  <c r="BL165" i="3" s="1"/>
  <c r="BM165" i="3"/>
  <c r="BK165" i="3"/>
  <c r="BJ165" i="3"/>
  <c r="BI165" i="3"/>
  <c r="BH165" i="3"/>
  <c r="BG165" i="3"/>
  <c r="BF165" i="3"/>
  <c r="BE165" i="3"/>
  <c r="BD165" i="3"/>
  <c r="BC165" i="3"/>
  <c r="BB165" i="3"/>
  <c r="BA165" i="3" s="1"/>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c r="AX162" i="3"/>
  <c r="AW162" i="3"/>
  <c r="AV162" i="3"/>
  <c r="AC162" i="3"/>
  <c r="G162" i="3" s="1"/>
  <c r="H162" i="3"/>
  <c r="BT161" i="3"/>
  <c r="BS161" i="3"/>
  <c r="BR161" i="3"/>
  <c r="BQ161" i="3"/>
  <c r="BP161" i="3"/>
  <c r="BO161" i="3"/>
  <c r="BL161" i="3" s="1"/>
  <c r="BN161" i="3"/>
  <c r="BM161" i="3"/>
  <c r="BK161" i="3"/>
  <c r="BJ161" i="3"/>
  <c r="BI161" i="3"/>
  <c r="BH161" i="3"/>
  <c r="BG161" i="3"/>
  <c r="BF161" i="3"/>
  <c r="BE161" i="3"/>
  <c r="BD161" i="3"/>
  <c r="BC161" i="3"/>
  <c r="BA161" i="3" s="1"/>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L159" i="3" s="1"/>
  <c r="BM159" i="3"/>
  <c r="BK159" i="3"/>
  <c r="BJ159" i="3"/>
  <c r="BI159" i="3"/>
  <c r="BH159" i="3"/>
  <c r="BG159" i="3"/>
  <c r="BF159" i="3"/>
  <c r="BE159" i="3"/>
  <c r="BD159" i="3"/>
  <c r="BC159" i="3"/>
  <c r="BB159" i="3"/>
  <c r="AX159" i="3"/>
  <c r="AW159" i="3"/>
  <c r="AV159" i="3"/>
  <c r="AC159" i="3"/>
  <c r="G159" i="3" s="1"/>
  <c r="H159" i="3"/>
  <c r="BT158" i="3"/>
  <c r="BS158" i="3"/>
  <c r="BR158" i="3"/>
  <c r="BQ158" i="3"/>
  <c r="BP158" i="3"/>
  <c r="BO158" i="3"/>
  <c r="BL158" i="3" s="1"/>
  <c r="BN158" i="3"/>
  <c r="BM158" i="3"/>
  <c r="BK158" i="3"/>
  <c r="BJ158" i="3"/>
  <c r="BI158" i="3"/>
  <c r="BH158" i="3"/>
  <c r="BG158" i="3"/>
  <c r="BF158" i="3"/>
  <c r="BE158" i="3"/>
  <c r="BD158" i="3"/>
  <c r="BC158" i="3"/>
  <c r="BA158" i="3" s="1"/>
  <c r="BB158" i="3"/>
  <c r="AX158" i="3"/>
  <c r="AW158" i="3"/>
  <c r="AV158" i="3"/>
  <c r="AC158" i="3"/>
  <c r="H158" i="3"/>
  <c r="G158" i="3"/>
  <c r="BT157" i="3"/>
  <c r="BS157" i="3"/>
  <c r="BR157" i="3"/>
  <c r="BQ157" i="3"/>
  <c r="BP157" i="3"/>
  <c r="BO157" i="3"/>
  <c r="BN157" i="3"/>
  <c r="BM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G156" i="3" s="1"/>
  <c r="H156" i="3"/>
  <c r="BT155" i="3"/>
  <c r="BS155" i="3"/>
  <c r="BR155" i="3"/>
  <c r="BQ155" i="3"/>
  <c r="BP155" i="3"/>
  <c r="BO155" i="3"/>
  <c r="BL155" i="3" s="1"/>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A154" i="3" s="1"/>
  <c r="BC154" i="3"/>
  <c r="BB154" i="3"/>
  <c r="AX154" i="3"/>
  <c r="AW154" i="3"/>
  <c r="AV154" i="3"/>
  <c r="AC154" i="3"/>
  <c r="H154" i="3"/>
  <c r="G154" i="3" s="1"/>
  <c r="BT153" i="3"/>
  <c r="BS153" i="3"/>
  <c r="BR153" i="3"/>
  <c r="BQ153" i="3"/>
  <c r="BP153" i="3"/>
  <c r="BO153" i="3"/>
  <c r="BN153" i="3"/>
  <c r="BL153" i="3" s="1"/>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A152" i="3" s="1"/>
  <c r="BB152" i="3"/>
  <c r="AX152" i="3"/>
  <c r="AW152" i="3"/>
  <c r="AV152" i="3"/>
  <c r="AC152" i="3"/>
  <c r="H152" i="3"/>
  <c r="G152" i="3"/>
  <c r="BT151" i="3"/>
  <c r="BS151" i="3"/>
  <c r="BR151" i="3"/>
  <c r="BQ151" i="3"/>
  <c r="BP151" i="3"/>
  <c r="BO151" i="3"/>
  <c r="BN151" i="3"/>
  <c r="BM151" i="3"/>
  <c r="BL151" i="3" s="1"/>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BA150" i="3" s="1"/>
  <c r="AX150" i="3"/>
  <c r="AW150" i="3"/>
  <c r="AV150" i="3"/>
  <c r="AC150" i="3"/>
  <c r="H150" i="3"/>
  <c r="G150" i="3"/>
  <c r="BT149" i="3"/>
  <c r="BS149" i="3"/>
  <c r="BR149" i="3"/>
  <c r="BQ149" i="3"/>
  <c r="BP149" i="3"/>
  <c r="BO149" i="3"/>
  <c r="BN149" i="3"/>
  <c r="BM149" i="3"/>
  <c r="BL149" i="3"/>
  <c r="BK149" i="3"/>
  <c r="BJ149" i="3"/>
  <c r="BI149" i="3"/>
  <c r="BH149" i="3"/>
  <c r="BG149" i="3"/>
  <c r="BF149" i="3"/>
  <c r="BE149" i="3"/>
  <c r="BD149" i="3"/>
  <c r="BA149" i="3" s="1"/>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A148" i="3" s="1"/>
  <c r="BC148" i="3"/>
  <c r="BB148" i="3"/>
  <c r="AX148" i="3"/>
  <c r="AW148" i="3"/>
  <c r="AV148" i="3"/>
  <c r="AC148" i="3"/>
  <c r="H148" i="3"/>
  <c r="G148" i="3" s="1"/>
  <c r="BT147" i="3"/>
  <c r="BS147" i="3"/>
  <c r="BR147" i="3"/>
  <c r="BQ147" i="3"/>
  <c r="BP147" i="3"/>
  <c r="BO147" i="3"/>
  <c r="BN147" i="3"/>
  <c r="BL147" i="3" s="1"/>
  <c r="BM147" i="3"/>
  <c r="BK147" i="3"/>
  <c r="BJ147" i="3"/>
  <c r="BI147" i="3"/>
  <c r="BH147" i="3"/>
  <c r="BG147" i="3"/>
  <c r="BF147" i="3"/>
  <c r="BE147" i="3"/>
  <c r="BD147" i="3"/>
  <c r="BC147" i="3"/>
  <c r="BB147" i="3"/>
  <c r="AX147" i="3"/>
  <c r="AW147" i="3"/>
  <c r="AV147" i="3"/>
  <c r="AC147" i="3"/>
  <c r="G147" i="3" s="1"/>
  <c r="H147" i="3"/>
  <c r="BT146" i="3"/>
  <c r="BS146" i="3"/>
  <c r="BR146" i="3"/>
  <c r="BQ146" i="3"/>
  <c r="BP146" i="3"/>
  <c r="BO146" i="3"/>
  <c r="BL146" i="3" s="1"/>
  <c r="BN146" i="3"/>
  <c r="BM146" i="3"/>
  <c r="BK146" i="3"/>
  <c r="BJ146" i="3"/>
  <c r="BI146" i="3"/>
  <c r="BH146" i="3"/>
  <c r="BG146" i="3"/>
  <c r="BF146" i="3"/>
  <c r="BE146" i="3"/>
  <c r="BD146" i="3"/>
  <c r="BC146" i="3"/>
  <c r="BA146" i="3" s="1"/>
  <c r="BB146" i="3"/>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BA142" i="3"/>
  <c r="AX142" i="3"/>
  <c r="AW142" i="3"/>
  <c r="AV142" i="3"/>
  <c r="AC142" i="3"/>
  <c r="G142" i="3" s="1"/>
  <c r="H142" i="3"/>
  <c r="BT141" i="3"/>
  <c r="BS141" i="3"/>
  <c r="BR141" i="3"/>
  <c r="BQ141" i="3"/>
  <c r="BP141" i="3"/>
  <c r="BO141" i="3"/>
  <c r="BL141" i="3" s="1"/>
  <c r="AZ141" i="3" s="1"/>
  <c r="BN141" i="3"/>
  <c r="BM141" i="3"/>
  <c r="BK141" i="3"/>
  <c r="BJ141" i="3"/>
  <c r="BI141" i="3"/>
  <c r="BH141" i="3"/>
  <c r="BG141" i="3"/>
  <c r="BF141" i="3"/>
  <c r="BE141" i="3"/>
  <c r="BD141" i="3"/>
  <c r="BC141" i="3"/>
  <c r="BA141" i="3" s="1"/>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L139" i="3" s="1"/>
  <c r="BM139" i="3"/>
  <c r="BK139" i="3"/>
  <c r="BJ139" i="3"/>
  <c r="BI139" i="3"/>
  <c r="BH139" i="3"/>
  <c r="BG139" i="3"/>
  <c r="BF139" i="3"/>
  <c r="BE139" i="3"/>
  <c r="BD139" i="3"/>
  <c r="BC139" i="3"/>
  <c r="BB139" i="3"/>
  <c r="AX139" i="3"/>
  <c r="AW139" i="3"/>
  <c r="AV139" i="3"/>
  <c r="AC139" i="3"/>
  <c r="G139" i="3" s="1"/>
  <c r="H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s="1"/>
  <c r="BT137" i="3"/>
  <c r="BS137" i="3"/>
  <c r="BR137" i="3"/>
  <c r="BQ137" i="3"/>
  <c r="BP137" i="3"/>
  <c r="BO137" i="3"/>
  <c r="BN137" i="3"/>
  <c r="BM137" i="3"/>
  <c r="BK137" i="3"/>
  <c r="BJ137" i="3"/>
  <c r="BI137" i="3"/>
  <c r="BH137" i="3"/>
  <c r="BG137" i="3"/>
  <c r="BF137" i="3"/>
  <c r="BE137" i="3"/>
  <c r="BD137" i="3"/>
  <c r="BC137" i="3"/>
  <c r="BB137" i="3"/>
  <c r="BA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s="1"/>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K134" i="3"/>
  <c r="BJ134" i="3"/>
  <c r="BI134" i="3"/>
  <c r="BH134" i="3"/>
  <c r="BG134" i="3"/>
  <c r="BF134" i="3"/>
  <c r="BE134" i="3"/>
  <c r="BD134" i="3"/>
  <c r="BC134" i="3"/>
  <c r="BB134" i="3"/>
  <c r="BA134" i="3" s="1"/>
  <c r="AX134" i="3"/>
  <c r="AW134" i="3"/>
  <c r="AV134" i="3"/>
  <c r="AC134" i="3"/>
  <c r="H134" i="3"/>
  <c r="G134" i="3"/>
  <c r="BT133" i="3"/>
  <c r="BS133" i="3"/>
  <c r="BR133" i="3"/>
  <c r="BQ133" i="3"/>
  <c r="BP133" i="3"/>
  <c r="BO133" i="3"/>
  <c r="BN133" i="3"/>
  <c r="BM133" i="3"/>
  <c r="BL133" i="3"/>
  <c r="BK133" i="3"/>
  <c r="BJ133" i="3"/>
  <c r="BI133" i="3"/>
  <c r="BH133" i="3"/>
  <c r="BG133" i="3"/>
  <c r="BF133" i="3"/>
  <c r="BE133" i="3"/>
  <c r="BD133" i="3"/>
  <c r="BA133" i="3" s="1"/>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A132" i="3" s="1"/>
  <c r="BC132" i="3"/>
  <c r="BB132" i="3"/>
  <c r="AX132" i="3"/>
  <c r="AW132" i="3"/>
  <c r="AV132" i="3"/>
  <c r="AC132" i="3"/>
  <c r="H132" i="3"/>
  <c r="G132" i="3" s="1"/>
  <c r="BT131" i="3"/>
  <c r="BS131" i="3"/>
  <c r="BR131" i="3"/>
  <c r="BQ131" i="3"/>
  <c r="BP131" i="3"/>
  <c r="BO131" i="3"/>
  <c r="BN131" i="3"/>
  <c r="BL131" i="3" s="1"/>
  <c r="BM131" i="3"/>
  <c r="BK131" i="3"/>
  <c r="BJ131" i="3"/>
  <c r="BI131" i="3"/>
  <c r="BH131" i="3"/>
  <c r="BG131" i="3"/>
  <c r="BF131" i="3"/>
  <c r="BE131" i="3"/>
  <c r="BD131" i="3"/>
  <c r="BC131" i="3"/>
  <c r="BB131" i="3"/>
  <c r="AX131" i="3"/>
  <c r="AW131" i="3"/>
  <c r="AV131" i="3"/>
  <c r="AC131" i="3"/>
  <c r="G131" i="3" s="1"/>
  <c r="H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BA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K126" i="3"/>
  <c r="BJ126" i="3"/>
  <c r="BI126" i="3"/>
  <c r="BH126" i="3"/>
  <c r="BG126" i="3"/>
  <c r="BF126" i="3"/>
  <c r="BE126" i="3"/>
  <c r="BD126" i="3"/>
  <c r="BC126" i="3"/>
  <c r="BB126" i="3"/>
  <c r="BA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A125" i="3" s="1"/>
  <c r="AZ125" i="3" s="1"/>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G124" i="3" s="1"/>
  <c r="H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BA122" i="3"/>
  <c r="AZ122" i="3" s="1"/>
  <c r="AX122" i="3"/>
  <c r="AW122" i="3"/>
  <c r="AV122" i="3"/>
  <c r="AC122" i="3"/>
  <c r="G122" i="3" s="1"/>
  <c r="H122" i="3"/>
  <c r="BT121" i="3"/>
  <c r="BS121" i="3"/>
  <c r="BR121" i="3"/>
  <c r="BQ121" i="3"/>
  <c r="BP121" i="3"/>
  <c r="BO121" i="3"/>
  <c r="BN121" i="3"/>
  <c r="BM121" i="3"/>
  <c r="BL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L119" i="3" s="1"/>
  <c r="BM119" i="3"/>
  <c r="BK119" i="3"/>
  <c r="BJ119" i="3"/>
  <c r="BI119" i="3"/>
  <c r="BH119" i="3"/>
  <c r="BG119" i="3"/>
  <c r="BF119" i="3"/>
  <c r="BE119" i="3"/>
  <c r="BD119" i="3"/>
  <c r="BC119" i="3"/>
  <c r="BB119" i="3"/>
  <c r="AX119" i="3"/>
  <c r="AW119" i="3"/>
  <c r="AV119" i="3"/>
  <c r="AC119" i="3"/>
  <c r="G119" i="3" s="1"/>
  <c r="H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BT117" i="3"/>
  <c r="BS117" i="3"/>
  <c r="BR117" i="3"/>
  <c r="BQ117" i="3"/>
  <c r="BP117" i="3"/>
  <c r="BO117" i="3"/>
  <c r="BN117" i="3"/>
  <c r="BL117" i="3" s="1"/>
  <c r="BM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BA114" i="3"/>
  <c r="AX114" i="3"/>
  <c r="AW114" i="3"/>
  <c r="AV114" i="3"/>
  <c r="AC114" i="3"/>
  <c r="G114" i="3" s="1"/>
  <c r="H114" i="3"/>
  <c r="BT113" i="3"/>
  <c r="BS113" i="3"/>
  <c r="BR113" i="3"/>
  <c r="BQ113" i="3"/>
  <c r="BP113" i="3"/>
  <c r="BO113" i="3"/>
  <c r="BL113" i="3" s="1"/>
  <c r="AZ113" i="3" s="1"/>
  <c r="BN113" i="3"/>
  <c r="BM113" i="3"/>
  <c r="BK113" i="3"/>
  <c r="BJ113" i="3"/>
  <c r="BI113" i="3"/>
  <c r="BH113" i="3"/>
  <c r="BG113" i="3"/>
  <c r="BF113" i="3"/>
  <c r="BE113" i="3"/>
  <c r="BD113" i="3"/>
  <c r="BC113" i="3"/>
  <c r="BA113" i="3" s="1"/>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BA302" i="3" s="1"/>
  <c r="AX302" i="3"/>
  <c r="AW302" i="3"/>
  <c r="AV302" i="3"/>
  <c r="AC302" i="3"/>
  <c r="H302" i="3"/>
  <c r="G302" i="3"/>
  <c r="BT301" i="3"/>
  <c r="BS301" i="3"/>
  <c r="BR301" i="3"/>
  <c r="BQ301" i="3"/>
  <c r="BP301" i="3"/>
  <c r="BO301" i="3"/>
  <c r="BN301" i="3"/>
  <c r="BM301" i="3"/>
  <c r="BL301" i="3"/>
  <c r="BK301" i="3"/>
  <c r="BJ301" i="3"/>
  <c r="BI301" i="3"/>
  <c r="BH301" i="3"/>
  <c r="BG301" i="3"/>
  <c r="BF301" i="3"/>
  <c r="BE301" i="3"/>
  <c r="BD301" i="3"/>
  <c r="BA301" i="3" s="1"/>
  <c r="AZ301" i="3" s="1"/>
  <c r="BC301" i="3"/>
  <c r="BB301" i="3"/>
  <c r="AX301" i="3"/>
  <c r="AW301" i="3"/>
  <c r="AV301" i="3"/>
  <c r="AC301" i="3"/>
  <c r="G301" i="3" s="1"/>
  <c r="H301" i="3"/>
  <c r="BT300" i="3"/>
  <c r="BS300" i="3"/>
  <c r="BR300" i="3"/>
  <c r="BQ300" i="3"/>
  <c r="BP300" i="3"/>
  <c r="BO300" i="3"/>
  <c r="BN300" i="3"/>
  <c r="BM300" i="3"/>
  <c r="BL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BA299" i="3" s="1"/>
  <c r="AX299" i="3"/>
  <c r="AW299" i="3"/>
  <c r="AV299" i="3"/>
  <c r="AC299" i="3"/>
  <c r="H299" i="3"/>
  <c r="G299" i="3"/>
  <c r="BT298" i="3"/>
  <c r="BS298" i="3"/>
  <c r="BR298" i="3"/>
  <c r="BQ298" i="3"/>
  <c r="BP298" i="3"/>
  <c r="BO298" i="3"/>
  <c r="BN298" i="3"/>
  <c r="BM298" i="3"/>
  <c r="BL298" i="3" s="1"/>
  <c r="BK298" i="3"/>
  <c r="BJ298" i="3"/>
  <c r="BI298" i="3"/>
  <c r="BH298" i="3"/>
  <c r="BG298" i="3"/>
  <c r="BF298" i="3"/>
  <c r="BE298" i="3"/>
  <c r="BD298" i="3"/>
  <c r="BC298" i="3"/>
  <c r="BB298" i="3"/>
  <c r="BA298" i="3"/>
  <c r="AZ298" i="3" s="1"/>
  <c r="AX298" i="3"/>
  <c r="AW298" i="3"/>
  <c r="AV298" i="3"/>
  <c r="AC298" i="3"/>
  <c r="G298" i="3" s="1"/>
  <c r="H298" i="3"/>
  <c r="BT297" i="3"/>
  <c r="BS297" i="3"/>
  <c r="BR297" i="3"/>
  <c r="BQ297" i="3"/>
  <c r="BP297" i="3"/>
  <c r="BO297" i="3"/>
  <c r="BN297" i="3"/>
  <c r="BM297" i="3"/>
  <c r="BL297" i="3"/>
  <c r="BK297" i="3"/>
  <c r="BJ297" i="3"/>
  <c r="BI297" i="3"/>
  <c r="BH297" i="3"/>
  <c r="BG297" i="3"/>
  <c r="BF297" i="3"/>
  <c r="BE297" i="3"/>
  <c r="BD297" i="3"/>
  <c r="BC297" i="3"/>
  <c r="BB297" i="3"/>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BA296" i="3" s="1"/>
  <c r="AX296" i="3"/>
  <c r="AW296" i="3"/>
  <c r="AV296" i="3"/>
  <c r="AC296" i="3"/>
  <c r="G296" i="3" s="1"/>
  <c r="H296" i="3"/>
  <c r="BT295" i="3"/>
  <c r="BS295" i="3"/>
  <c r="BR295" i="3"/>
  <c r="BQ295" i="3"/>
  <c r="BP295" i="3"/>
  <c r="BO295" i="3"/>
  <c r="BL295" i="3" s="1"/>
  <c r="BN295" i="3"/>
  <c r="BM295" i="3"/>
  <c r="BK295" i="3"/>
  <c r="BJ295" i="3"/>
  <c r="BI295" i="3"/>
  <c r="BH295" i="3"/>
  <c r="BG295" i="3"/>
  <c r="BF295" i="3"/>
  <c r="BE295" i="3"/>
  <c r="BD295" i="3"/>
  <c r="BC295" i="3"/>
  <c r="BA295" i="3" s="1"/>
  <c r="BB295" i="3"/>
  <c r="AX295" i="3"/>
  <c r="AW295" i="3"/>
  <c r="AV295" i="3"/>
  <c r="AC295" i="3"/>
  <c r="H295" i="3"/>
  <c r="G295" i="3" s="1"/>
  <c r="BT294" i="3"/>
  <c r="BS294" i="3"/>
  <c r="BR294" i="3"/>
  <c r="BQ294" i="3"/>
  <c r="BP294" i="3"/>
  <c r="BO294" i="3"/>
  <c r="BN294" i="3"/>
  <c r="BM294" i="3"/>
  <c r="BK294" i="3"/>
  <c r="BJ294" i="3"/>
  <c r="BI294" i="3"/>
  <c r="BH294" i="3"/>
  <c r="BG294" i="3"/>
  <c r="BF294" i="3"/>
  <c r="BE294" i="3"/>
  <c r="BD294" i="3"/>
  <c r="BC294" i="3"/>
  <c r="BB294" i="3"/>
  <c r="BA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G293" i="3" s="1"/>
  <c r="H293" i="3"/>
  <c r="BT292" i="3"/>
  <c r="BS292" i="3"/>
  <c r="BR292" i="3"/>
  <c r="BQ292" i="3"/>
  <c r="BP292" i="3"/>
  <c r="BO292" i="3"/>
  <c r="BN292" i="3"/>
  <c r="BM292" i="3"/>
  <c r="BL292" i="3"/>
  <c r="BK292" i="3"/>
  <c r="BJ292" i="3"/>
  <c r="BI292" i="3"/>
  <c r="BH292" i="3"/>
  <c r="BG292" i="3"/>
  <c r="BF292" i="3"/>
  <c r="BE292" i="3"/>
  <c r="BD292" i="3"/>
  <c r="BC292" i="3"/>
  <c r="BA292" i="3" s="1"/>
  <c r="AZ292" i="3" s="1"/>
  <c r="BB292" i="3"/>
  <c r="AX292" i="3"/>
  <c r="AW292" i="3"/>
  <c r="AV292" i="3"/>
  <c r="AC292" i="3"/>
  <c r="H292" i="3"/>
  <c r="BT291" i="3"/>
  <c r="BS291" i="3"/>
  <c r="BR291" i="3"/>
  <c r="BQ291" i="3"/>
  <c r="BP291" i="3"/>
  <c r="BO291" i="3"/>
  <c r="BN291" i="3"/>
  <c r="BL291" i="3" s="1"/>
  <c r="BM291" i="3"/>
  <c r="BK291" i="3"/>
  <c r="BJ291" i="3"/>
  <c r="BI291" i="3"/>
  <c r="BH291" i="3"/>
  <c r="BG291" i="3"/>
  <c r="BF291" i="3"/>
  <c r="BE291" i="3"/>
  <c r="BD291" i="3"/>
  <c r="BC291" i="3"/>
  <c r="BB291" i="3"/>
  <c r="BA291" i="3" s="1"/>
  <c r="AX291" i="3"/>
  <c r="AW291" i="3"/>
  <c r="AV291" i="3"/>
  <c r="AC291" i="3"/>
  <c r="H291" i="3"/>
  <c r="G291" i="3" s="1"/>
  <c r="BT290" i="3"/>
  <c r="BS290" i="3"/>
  <c r="BR290" i="3"/>
  <c r="BQ290" i="3"/>
  <c r="BP290" i="3"/>
  <c r="BO290" i="3"/>
  <c r="BN290" i="3"/>
  <c r="BM290" i="3"/>
  <c r="BL290" i="3" s="1"/>
  <c r="BK290" i="3"/>
  <c r="BJ290" i="3"/>
  <c r="BI290" i="3"/>
  <c r="BH290" i="3"/>
  <c r="BG290" i="3"/>
  <c r="BF290" i="3"/>
  <c r="BE290" i="3"/>
  <c r="BD290" i="3"/>
  <c r="BC290" i="3"/>
  <c r="BB290" i="3"/>
  <c r="BA290" i="3" s="1"/>
  <c r="AZ290" i="3" s="1"/>
  <c r="AX290" i="3"/>
  <c r="AW290" i="3"/>
  <c r="AV290" i="3"/>
  <c r="AC290" i="3"/>
  <c r="H290" i="3"/>
  <c r="G290" i="3"/>
  <c r="BT289" i="3"/>
  <c r="BS289" i="3"/>
  <c r="BR289" i="3"/>
  <c r="BQ289" i="3"/>
  <c r="BP289" i="3"/>
  <c r="BO289" i="3"/>
  <c r="BN289" i="3"/>
  <c r="BM289" i="3"/>
  <c r="BL289" i="3" s="1"/>
  <c r="BK289" i="3"/>
  <c r="BJ289" i="3"/>
  <c r="BI289" i="3"/>
  <c r="BH289" i="3"/>
  <c r="BG289" i="3"/>
  <c r="BF289" i="3"/>
  <c r="BE289" i="3"/>
  <c r="BD289" i="3"/>
  <c r="BC289" i="3"/>
  <c r="BB289" i="3"/>
  <c r="BA289" i="3"/>
  <c r="AZ289" i="3" s="1"/>
  <c r="AX289" i="3"/>
  <c r="AW289" i="3"/>
  <c r="AV289" i="3"/>
  <c r="AC289" i="3"/>
  <c r="H289" i="3"/>
  <c r="BT288" i="3"/>
  <c r="BS288" i="3"/>
  <c r="BR288" i="3"/>
  <c r="BQ288" i="3"/>
  <c r="BP288" i="3"/>
  <c r="BO288" i="3"/>
  <c r="BN288" i="3"/>
  <c r="BM288" i="3"/>
  <c r="BL288" i="3"/>
  <c r="BK288" i="3"/>
  <c r="BJ288" i="3"/>
  <c r="BI288" i="3"/>
  <c r="BH288" i="3"/>
  <c r="BG288" i="3"/>
  <c r="BF288" i="3"/>
  <c r="BE288" i="3"/>
  <c r="BD288" i="3"/>
  <c r="BC288" i="3"/>
  <c r="BB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BT286" i="3"/>
  <c r="BS286" i="3"/>
  <c r="BR286" i="3"/>
  <c r="BQ286" i="3"/>
  <c r="BP286" i="3"/>
  <c r="BO286" i="3"/>
  <c r="BN286" i="3"/>
  <c r="BL286" i="3" s="1"/>
  <c r="BM286" i="3"/>
  <c r="BK286" i="3"/>
  <c r="BJ286" i="3"/>
  <c r="BI286" i="3"/>
  <c r="BH286" i="3"/>
  <c r="BG286" i="3"/>
  <c r="BF286" i="3"/>
  <c r="BE286" i="3"/>
  <c r="BD286" i="3"/>
  <c r="BC286" i="3"/>
  <c r="BB286" i="3"/>
  <c r="BA286" i="3" s="1"/>
  <c r="AX286" i="3"/>
  <c r="AW286" i="3"/>
  <c r="AV286" i="3"/>
  <c r="AC286" i="3"/>
  <c r="H286" i="3"/>
  <c r="G286" i="3" s="1"/>
  <c r="BT285" i="3"/>
  <c r="BS285" i="3"/>
  <c r="BR285" i="3"/>
  <c r="BQ285" i="3"/>
  <c r="BP285" i="3"/>
  <c r="BO285" i="3"/>
  <c r="BN285" i="3"/>
  <c r="BM285" i="3"/>
  <c r="BL285" i="3" s="1"/>
  <c r="BK285" i="3"/>
  <c r="BJ285" i="3"/>
  <c r="BI285" i="3"/>
  <c r="BH285" i="3"/>
  <c r="BG285" i="3"/>
  <c r="BF285" i="3"/>
  <c r="BE285" i="3"/>
  <c r="BD285" i="3"/>
  <c r="BC285" i="3"/>
  <c r="BB285" i="3"/>
  <c r="BA285" i="3" s="1"/>
  <c r="AZ285" i="3" s="1"/>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c r="AZ284" i="3" s="1"/>
  <c r="AX284" i="3"/>
  <c r="AW284" i="3"/>
  <c r="AV284" i="3"/>
  <c r="AC284" i="3"/>
  <c r="H284" i="3"/>
  <c r="BT283" i="3"/>
  <c r="BS283" i="3"/>
  <c r="BR283" i="3"/>
  <c r="BQ283" i="3"/>
  <c r="BP283" i="3"/>
  <c r="BO283" i="3"/>
  <c r="BL283" i="3" s="1"/>
  <c r="BN283" i="3"/>
  <c r="BM283" i="3"/>
  <c r="BK283" i="3"/>
  <c r="BJ283" i="3"/>
  <c r="BI283" i="3"/>
  <c r="BH283" i="3"/>
  <c r="BG283" i="3"/>
  <c r="BF283" i="3"/>
  <c r="BE283" i="3"/>
  <c r="BD283" i="3"/>
  <c r="BC283" i="3"/>
  <c r="BB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A282" i="3" s="1"/>
  <c r="AZ282" i="3" s="1"/>
  <c r="BC282" i="3"/>
  <c r="BB282" i="3"/>
  <c r="AX282" i="3"/>
  <c r="AW282" i="3"/>
  <c r="AV282" i="3"/>
  <c r="AC282" i="3"/>
  <c r="G282" i="3" s="1"/>
  <c r="H282" i="3"/>
  <c r="BT281" i="3"/>
  <c r="BS281" i="3"/>
  <c r="BR281" i="3"/>
  <c r="BQ281" i="3"/>
  <c r="BP281" i="3"/>
  <c r="BO281" i="3"/>
  <c r="BL281" i="3" s="1"/>
  <c r="BN281" i="3"/>
  <c r="BM281" i="3"/>
  <c r="BK281" i="3"/>
  <c r="BJ281" i="3"/>
  <c r="BI281" i="3"/>
  <c r="BH281" i="3"/>
  <c r="BG281" i="3"/>
  <c r="BF281" i="3"/>
  <c r="BE281" i="3"/>
  <c r="BD281" i="3"/>
  <c r="BC281" i="3"/>
  <c r="BA281" i="3" s="1"/>
  <c r="BB281" i="3"/>
  <c r="AX281" i="3"/>
  <c r="AW281" i="3"/>
  <c r="AV281" i="3"/>
  <c r="AC281" i="3"/>
  <c r="H281" i="3"/>
  <c r="G281" i="3"/>
  <c r="BT280" i="3"/>
  <c r="BS280" i="3"/>
  <c r="BR280" i="3"/>
  <c r="BQ280" i="3"/>
  <c r="BP280" i="3"/>
  <c r="BO280" i="3"/>
  <c r="BN280" i="3"/>
  <c r="BM280" i="3"/>
  <c r="BL280" i="3" s="1"/>
  <c r="BK280" i="3"/>
  <c r="BJ280" i="3"/>
  <c r="BI280" i="3"/>
  <c r="BH280" i="3"/>
  <c r="BG280" i="3"/>
  <c r="BF280" i="3"/>
  <c r="BE280" i="3"/>
  <c r="BD280" i="3"/>
  <c r="BC280" i="3"/>
  <c r="BB280" i="3"/>
  <c r="BA280" i="3"/>
  <c r="AX280" i="3"/>
  <c r="AW280" i="3"/>
  <c r="AV280" i="3"/>
  <c r="AC280" i="3"/>
  <c r="G280" i="3" s="1"/>
  <c r="H280" i="3"/>
  <c r="BT279" i="3"/>
  <c r="BS279" i="3"/>
  <c r="BR279" i="3"/>
  <c r="BQ279" i="3"/>
  <c r="BP279" i="3"/>
  <c r="BO279" i="3"/>
  <c r="BN279" i="3"/>
  <c r="BM279" i="3"/>
  <c r="BL279" i="3" s="1"/>
  <c r="BK279" i="3"/>
  <c r="BJ279" i="3"/>
  <c r="BI279" i="3"/>
  <c r="BH279" i="3"/>
  <c r="BG279" i="3"/>
  <c r="BF279" i="3"/>
  <c r="BE279" i="3"/>
  <c r="BD279" i="3"/>
  <c r="BC279" i="3"/>
  <c r="BA279" i="3" s="1"/>
  <c r="BB279" i="3"/>
  <c r="AX279" i="3"/>
  <c r="AW279" i="3"/>
  <c r="AV279" i="3"/>
  <c r="AC279" i="3"/>
  <c r="H279" i="3"/>
  <c r="G279" i="3"/>
  <c r="BT278" i="3"/>
  <c r="BS278" i="3"/>
  <c r="BR278" i="3"/>
  <c r="BQ278" i="3"/>
  <c r="BP278" i="3"/>
  <c r="BO278" i="3"/>
  <c r="BN278" i="3"/>
  <c r="BM278" i="3"/>
  <c r="BL278" i="3" s="1"/>
  <c r="BK278" i="3"/>
  <c r="BJ278" i="3"/>
  <c r="BI278" i="3"/>
  <c r="BH278" i="3"/>
  <c r="BG278" i="3"/>
  <c r="BF278" i="3"/>
  <c r="BE278" i="3"/>
  <c r="BD278" i="3"/>
  <c r="BC278" i="3"/>
  <c r="BB278" i="3"/>
  <c r="BA278" i="3" s="1"/>
  <c r="AZ278" i="3" s="1"/>
  <c r="AX278" i="3"/>
  <c r="AW278" i="3"/>
  <c r="AV278" i="3"/>
  <c r="AC278" i="3"/>
  <c r="H278" i="3"/>
  <c r="G278" i="3" s="1"/>
  <c r="BT277" i="3"/>
  <c r="BS277" i="3"/>
  <c r="BR277" i="3"/>
  <c r="BQ277" i="3"/>
  <c r="BP277" i="3"/>
  <c r="BO277" i="3"/>
  <c r="BN277" i="3"/>
  <c r="BM277" i="3"/>
  <c r="BL277" i="3" s="1"/>
  <c r="BK277" i="3"/>
  <c r="BJ277" i="3"/>
  <c r="BI277" i="3"/>
  <c r="BH277" i="3"/>
  <c r="BG277" i="3"/>
  <c r="BF277" i="3"/>
  <c r="BE277" i="3"/>
  <c r="BD277" i="3"/>
  <c r="BC277" i="3"/>
  <c r="BB277" i="3"/>
  <c r="BA277" i="3" s="1"/>
  <c r="AZ277" i="3" s="1"/>
  <c r="AX277" i="3"/>
  <c r="AW277" i="3"/>
  <c r="AV277" i="3"/>
  <c r="AC277" i="3"/>
  <c r="H277" i="3"/>
  <c r="G277" i="3"/>
  <c r="BT276" i="3"/>
  <c r="BS276" i="3"/>
  <c r="BR276" i="3"/>
  <c r="BQ276" i="3"/>
  <c r="BP276" i="3"/>
  <c r="BO276" i="3"/>
  <c r="BN276" i="3"/>
  <c r="BM276" i="3"/>
  <c r="BL276" i="3" s="1"/>
  <c r="BK276" i="3"/>
  <c r="BJ276" i="3"/>
  <c r="BI276" i="3"/>
  <c r="BH276" i="3"/>
  <c r="BG276" i="3"/>
  <c r="BF276" i="3"/>
  <c r="BE276" i="3"/>
  <c r="BD276" i="3"/>
  <c r="BC276" i="3"/>
  <c r="BB276" i="3"/>
  <c r="BA276" i="3"/>
  <c r="AZ276" i="3" s="1"/>
  <c r="AX276" i="3"/>
  <c r="AW276" i="3"/>
  <c r="AV276" i="3"/>
  <c r="AC276" i="3"/>
  <c r="H276" i="3"/>
  <c r="BT275" i="3"/>
  <c r="BS275" i="3"/>
  <c r="BR275" i="3"/>
  <c r="BQ275" i="3"/>
  <c r="BP275" i="3"/>
  <c r="BO275" i="3"/>
  <c r="BN275" i="3"/>
  <c r="BL275" i="3" s="1"/>
  <c r="BM275" i="3"/>
  <c r="BK275" i="3"/>
  <c r="BJ275" i="3"/>
  <c r="BI275" i="3"/>
  <c r="BH275" i="3"/>
  <c r="BG275" i="3"/>
  <c r="BF275" i="3"/>
  <c r="BE275" i="3"/>
  <c r="BD275" i="3"/>
  <c r="BC275" i="3"/>
  <c r="BB275" i="3"/>
  <c r="AX275" i="3"/>
  <c r="AW275" i="3"/>
  <c r="AV275" i="3"/>
  <c r="AC275" i="3"/>
  <c r="H275" i="3"/>
  <c r="G275" i="3" s="1"/>
  <c r="BT274" i="3"/>
  <c r="BS274" i="3"/>
  <c r="BR274" i="3"/>
  <c r="BQ274" i="3"/>
  <c r="BP274" i="3"/>
  <c r="BO274" i="3"/>
  <c r="BN274" i="3"/>
  <c r="BM274" i="3"/>
  <c r="BL274" i="3"/>
  <c r="BK274" i="3"/>
  <c r="BJ274" i="3"/>
  <c r="BI274" i="3"/>
  <c r="BH274" i="3"/>
  <c r="BG274" i="3"/>
  <c r="BF274" i="3"/>
  <c r="BE274" i="3"/>
  <c r="BD274" i="3"/>
  <c r="BC274" i="3"/>
  <c r="BB274" i="3"/>
  <c r="BA274" i="3" s="1"/>
  <c r="AZ274" i="3" s="1"/>
  <c r="AX274" i="3"/>
  <c r="AW274" i="3"/>
  <c r="AV274" i="3"/>
  <c r="AC274" i="3"/>
  <c r="G274" i="3" s="1"/>
  <c r="H274" i="3"/>
  <c r="BT273" i="3"/>
  <c r="BS273" i="3"/>
  <c r="BR273" i="3"/>
  <c r="BQ273" i="3"/>
  <c r="BP273" i="3"/>
  <c r="BO273" i="3"/>
  <c r="BN273" i="3"/>
  <c r="BM273" i="3"/>
  <c r="BL273" i="3" s="1"/>
  <c r="BK273" i="3"/>
  <c r="BJ273" i="3"/>
  <c r="BI273" i="3"/>
  <c r="BH273" i="3"/>
  <c r="BG273" i="3"/>
  <c r="BF273" i="3"/>
  <c r="BE273" i="3"/>
  <c r="BD273" i="3"/>
  <c r="BC273" i="3"/>
  <c r="BA273" i="3" s="1"/>
  <c r="BB273" i="3"/>
  <c r="AX273" i="3"/>
  <c r="AW273" i="3"/>
  <c r="AV273" i="3"/>
  <c r="AC273" i="3"/>
  <c r="H273" i="3"/>
  <c r="G273" i="3"/>
  <c r="BT272" i="3"/>
  <c r="BS272" i="3"/>
  <c r="BR272" i="3"/>
  <c r="BQ272" i="3"/>
  <c r="BP272" i="3"/>
  <c r="BO272" i="3"/>
  <c r="BN272" i="3"/>
  <c r="BM272" i="3"/>
  <c r="BL272" i="3" s="1"/>
  <c r="BK272" i="3"/>
  <c r="BJ272" i="3"/>
  <c r="BI272" i="3"/>
  <c r="BH272" i="3"/>
  <c r="BG272" i="3"/>
  <c r="BF272" i="3"/>
  <c r="BE272" i="3"/>
  <c r="BD272" i="3"/>
  <c r="BC272" i="3"/>
  <c r="BB272" i="3"/>
  <c r="BA272" i="3" s="1"/>
  <c r="AZ272" i="3" s="1"/>
  <c r="AX272" i="3"/>
  <c r="AW272" i="3"/>
  <c r="AV272" i="3"/>
  <c r="AC272" i="3"/>
  <c r="H272" i="3"/>
  <c r="G272" i="3" s="1"/>
  <c r="BT271" i="3"/>
  <c r="BS271" i="3"/>
  <c r="BR271" i="3"/>
  <c r="BQ271" i="3"/>
  <c r="BP271" i="3"/>
  <c r="BO271" i="3"/>
  <c r="BN271" i="3"/>
  <c r="BL271" i="3" s="1"/>
  <c r="BM271" i="3"/>
  <c r="BK271" i="3"/>
  <c r="BJ271" i="3"/>
  <c r="BI271" i="3"/>
  <c r="BH271" i="3"/>
  <c r="BG271" i="3"/>
  <c r="BF271" i="3"/>
  <c r="BE271" i="3"/>
  <c r="BD271" i="3"/>
  <c r="BC271" i="3"/>
  <c r="BB271" i="3"/>
  <c r="BA271" i="3" s="1"/>
  <c r="AX271" i="3"/>
  <c r="AW271" i="3"/>
  <c r="AV271" i="3"/>
  <c r="AC271" i="3"/>
  <c r="H271" i="3"/>
  <c r="G271" i="3" s="1"/>
  <c r="BT270" i="3"/>
  <c r="BS270" i="3"/>
  <c r="BR270" i="3"/>
  <c r="BQ270" i="3"/>
  <c r="BP270" i="3"/>
  <c r="BO270" i="3"/>
  <c r="BN270" i="3"/>
  <c r="BL270" i="3" s="1"/>
  <c r="BM270" i="3"/>
  <c r="BK270" i="3"/>
  <c r="BJ270" i="3"/>
  <c r="BI270" i="3"/>
  <c r="BH270" i="3"/>
  <c r="BG270" i="3"/>
  <c r="BF270" i="3"/>
  <c r="BE270" i="3"/>
  <c r="BD270" i="3"/>
  <c r="BC270" i="3"/>
  <c r="BB270" i="3"/>
  <c r="AX270" i="3"/>
  <c r="AW270" i="3"/>
  <c r="AV270" i="3"/>
  <c r="AC270" i="3"/>
  <c r="G270" i="3" s="1"/>
  <c r="H270" i="3"/>
  <c r="BT269" i="3"/>
  <c r="BS269" i="3"/>
  <c r="BR269" i="3"/>
  <c r="BQ269" i="3"/>
  <c r="BP269" i="3"/>
  <c r="BO269" i="3"/>
  <c r="BN269" i="3"/>
  <c r="BM269" i="3"/>
  <c r="BK269" i="3"/>
  <c r="BJ269" i="3"/>
  <c r="BI269" i="3"/>
  <c r="BH269" i="3"/>
  <c r="BG269" i="3"/>
  <c r="BF269" i="3"/>
  <c r="BE269" i="3"/>
  <c r="BD269" i="3"/>
  <c r="BC269" i="3"/>
  <c r="BB269" i="3"/>
  <c r="BA269" i="3" s="1"/>
  <c r="AX269" i="3"/>
  <c r="AW269" i="3"/>
  <c r="AV269" i="3"/>
  <c r="AC269" i="3"/>
  <c r="H269" i="3"/>
  <c r="G269" i="3"/>
  <c r="BT268" i="3"/>
  <c r="BS268" i="3"/>
  <c r="BR268" i="3"/>
  <c r="BQ268" i="3"/>
  <c r="BP268" i="3"/>
  <c r="BO268" i="3"/>
  <c r="BN268" i="3"/>
  <c r="BM268" i="3"/>
  <c r="BL268" i="3"/>
  <c r="BK268" i="3"/>
  <c r="BJ268" i="3"/>
  <c r="BI268" i="3"/>
  <c r="BH268" i="3"/>
  <c r="BG268" i="3"/>
  <c r="BF268" i="3"/>
  <c r="BE268" i="3"/>
  <c r="BD268" i="3"/>
  <c r="BA268" i="3" s="1"/>
  <c r="BC268" i="3"/>
  <c r="BB268" i="3"/>
  <c r="AX268" i="3"/>
  <c r="AW268" i="3"/>
  <c r="AV268" i="3"/>
  <c r="AC268" i="3"/>
  <c r="H268" i="3"/>
  <c r="G268" i="3" s="1"/>
  <c r="BT267" i="3"/>
  <c r="BS267" i="3"/>
  <c r="BR267" i="3"/>
  <c r="BQ267" i="3"/>
  <c r="BP267" i="3"/>
  <c r="BO267" i="3"/>
  <c r="BN267" i="3"/>
  <c r="BM267" i="3"/>
  <c r="BK267" i="3"/>
  <c r="BJ267" i="3"/>
  <c r="BI267" i="3"/>
  <c r="BH267" i="3"/>
  <c r="BG267" i="3"/>
  <c r="BF267" i="3"/>
  <c r="BE267" i="3"/>
  <c r="BD267" i="3"/>
  <c r="BC267" i="3"/>
  <c r="BB267" i="3"/>
  <c r="BA267" i="3"/>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c r="AX266" i="3"/>
  <c r="AW266" i="3"/>
  <c r="AV266" i="3"/>
  <c r="AC266" i="3"/>
  <c r="H266" i="3"/>
  <c r="BT265" i="3"/>
  <c r="BS265" i="3"/>
  <c r="BR265" i="3"/>
  <c r="BQ265" i="3"/>
  <c r="BP265" i="3"/>
  <c r="BO265" i="3"/>
  <c r="BN265" i="3"/>
  <c r="BM265" i="3"/>
  <c r="BL265" i="3"/>
  <c r="BK265" i="3"/>
  <c r="BJ265" i="3"/>
  <c r="BI265" i="3"/>
  <c r="BH265" i="3"/>
  <c r="BG265" i="3"/>
  <c r="BF265" i="3"/>
  <c r="BE265" i="3"/>
  <c r="BD265" i="3"/>
  <c r="BC265" i="3"/>
  <c r="BB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A263" i="3" s="1"/>
  <c r="BC263" i="3"/>
  <c r="BB263" i="3"/>
  <c r="AX263" i="3"/>
  <c r="AW263" i="3"/>
  <c r="AV263" i="3"/>
  <c r="AC263" i="3"/>
  <c r="H263" i="3"/>
  <c r="G263" i="3" s="1"/>
  <c r="BT262" i="3"/>
  <c r="BS262" i="3"/>
  <c r="BR262" i="3"/>
  <c r="BQ262" i="3"/>
  <c r="BP262" i="3"/>
  <c r="BO262" i="3"/>
  <c r="BN262" i="3"/>
  <c r="BM262" i="3"/>
  <c r="BK262" i="3"/>
  <c r="BJ262" i="3"/>
  <c r="BI262" i="3"/>
  <c r="BH262" i="3"/>
  <c r="BG262" i="3"/>
  <c r="BF262" i="3"/>
  <c r="BE262" i="3"/>
  <c r="BD262" i="3"/>
  <c r="BC262" i="3"/>
  <c r="BB262" i="3"/>
  <c r="BA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A261" i="3" s="1"/>
  <c r="BC261" i="3"/>
  <c r="BB261" i="3"/>
  <c r="AX261" i="3"/>
  <c r="AW261" i="3"/>
  <c r="AV261" i="3"/>
  <c r="AC261" i="3"/>
  <c r="H261" i="3"/>
  <c r="G261" i="3" s="1"/>
  <c r="BT260" i="3"/>
  <c r="BS260" i="3"/>
  <c r="BR260" i="3"/>
  <c r="BQ260" i="3"/>
  <c r="BP260" i="3"/>
  <c r="BO260" i="3"/>
  <c r="BN260" i="3"/>
  <c r="BM260" i="3"/>
  <c r="BL260" i="3"/>
  <c r="BK260" i="3"/>
  <c r="BJ260" i="3"/>
  <c r="BI260" i="3"/>
  <c r="BH260" i="3"/>
  <c r="BG260" i="3"/>
  <c r="BF260" i="3"/>
  <c r="BE260" i="3"/>
  <c r="BD260" i="3"/>
  <c r="BC260" i="3"/>
  <c r="BB260" i="3"/>
  <c r="AX260" i="3"/>
  <c r="AW260" i="3"/>
  <c r="AV260" i="3"/>
  <c r="AC260" i="3"/>
  <c r="H260" i="3"/>
  <c r="G260" i="3" s="1"/>
  <c r="BT259" i="3"/>
  <c r="BS259" i="3"/>
  <c r="BR259" i="3"/>
  <c r="BQ259" i="3"/>
  <c r="BP259" i="3"/>
  <c r="BO259" i="3"/>
  <c r="BN259" i="3"/>
  <c r="BM259" i="3"/>
  <c r="BK259" i="3"/>
  <c r="BJ259" i="3"/>
  <c r="BI259" i="3"/>
  <c r="BH259" i="3"/>
  <c r="BG259" i="3"/>
  <c r="BF259" i="3"/>
  <c r="BE259" i="3"/>
  <c r="BD259" i="3"/>
  <c r="BC259" i="3"/>
  <c r="BB259" i="3"/>
  <c r="BA259" i="3" s="1"/>
  <c r="AX259" i="3"/>
  <c r="AW259" i="3"/>
  <c r="AV259" i="3"/>
  <c r="AC259" i="3"/>
  <c r="G259" i="3" s="1"/>
  <c r="H259" i="3"/>
  <c r="BT258" i="3"/>
  <c r="BS258" i="3"/>
  <c r="BR258" i="3"/>
  <c r="BQ258" i="3"/>
  <c r="BP258" i="3"/>
  <c r="BO258" i="3"/>
  <c r="BL258" i="3" s="1"/>
  <c r="BN258" i="3"/>
  <c r="BM258" i="3"/>
  <c r="BK258" i="3"/>
  <c r="BJ258" i="3"/>
  <c r="BI258" i="3"/>
  <c r="BH258" i="3"/>
  <c r="BG258" i="3"/>
  <c r="BF258" i="3"/>
  <c r="BE258" i="3"/>
  <c r="BD258" i="3"/>
  <c r="BC258" i="3"/>
  <c r="BA258" i="3" s="1"/>
  <c r="AZ258" i="3" s="1"/>
  <c r="BB258" i="3"/>
  <c r="AX258" i="3"/>
  <c r="AW258" i="3"/>
  <c r="AV258" i="3"/>
  <c r="AC258" i="3"/>
  <c r="H258" i="3"/>
  <c r="G258" i="3" s="1"/>
  <c r="BT257" i="3"/>
  <c r="BS257" i="3"/>
  <c r="BR257" i="3"/>
  <c r="BQ257" i="3"/>
  <c r="BP257" i="3"/>
  <c r="BO257" i="3"/>
  <c r="BN257" i="3"/>
  <c r="BL257" i="3" s="1"/>
  <c r="BM257" i="3"/>
  <c r="BK257" i="3"/>
  <c r="BJ257" i="3"/>
  <c r="BI257" i="3"/>
  <c r="BH257" i="3"/>
  <c r="BG257" i="3"/>
  <c r="BF257" i="3"/>
  <c r="BE257" i="3"/>
  <c r="BD257" i="3"/>
  <c r="BC257" i="3"/>
  <c r="BB257" i="3"/>
  <c r="BA257" i="3" s="1"/>
  <c r="AX257" i="3"/>
  <c r="AW257" i="3"/>
  <c r="AV257" i="3"/>
  <c r="AC257" i="3"/>
  <c r="H257" i="3"/>
  <c r="G257" i="3" s="1"/>
  <c r="BT256" i="3"/>
  <c r="BS256" i="3"/>
  <c r="BR256" i="3"/>
  <c r="BQ256" i="3"/>
  <c r="BP256" i="3"/>
  <c r="BO256" i="3"/>
  <c r="BN256" i="3"/>
  <c r="BL256" i="3" s="1"/>
  <c r="BM256" i="3"/>
  <c r="BK256" i="3"/>
  <c r="BJ256" i="3"/>
  <c r="BI256" i="3"/>
  <c r="BH256" i="3"/>
  <c r="BG256" i="3"/>
  <c r="BF256" i="3"/>
  <c r="BE256" i="3"/>
  <c r="BD256" i="3"/>
  <c r="BC256" i="3"/>
  <c r="BB256" i="3"/>
  <c r="BA256" i="3" s="1"/>
  <c r="AX256" i="3"/>
  <c r="AW256" i="3"/>
  <c r="AV256" i="3"/>
  <c r="AC256" i="3"/>
  <c r="H256" i="3"/>
  <c r="G256" i="3" s="1"/>
  <c r="BT255" i="3"/>
  <c r="BS255" i="3"/>
  <c r="BR255" i="3"/>
  <c r="BQ255" i="3"/>
  <c r="BP255" i="3"/>
  <c r="BO255" i="3"/>
  <c r="BL255" i="3" s="1"/>
  <c r="BN255" i="3"/>
  <c r="BM255" i="3"/>
  <c r="BK255" i="3"/>
  <c r="BJ255" i="3"/>
  <c r="BI255" i="3"/>
  <c r="BH255" i="3"/>
  <c r="BG255" i="3"/>
  <c r="BF255" i="3"/>
  <c r="BE255" i="3"/>
  <c r="BD255" i="3"/>
  <c r="BC255" i="3"/>
  <c r="BB255" i="3"/>
  <c r="AX255" i="3"/>
  <c r="AW255" i="3"/>
  <c r="AV255" i="3"/>
  <c r="AC255" i="3"/>
  <c r="H255" i="3"/>
  <c r="G255" i="3"/>
  <c r="BT254" i="3"/>
  <c r="BS254" i="3"/>
  <c r="BR254" i="3"/>
  <c r="BQ254" i="3"/>
  <c r="BP254" i="3"/>
  <c r="BO254" i="3"/>
  <c r="BN254" i="3"/>
  <c r="BM254" i="3"/>
  <c r="BL254" i="3" s="1"/>
  <c r="BK254" i="3"/>
  <c r="BJ254" i="3"/>
  <c r="BI254" i="3"/>
  <c r="BH254" i="3"/>
  <c r="BG254" i="3"/>
  <c r="BF254" i="3"/>
  <c r="BE254" i="3"/>
  <c r="BD254" i="3"/>
  <c r="BC254" i="3"/>
  <c r="BB254" i="3"/>
  <c r="BA254" i="3"/>
  <c r="AX254" i="3"/>
  <c r="AW254" i="3"/>
  <c r="AV254" i="3"/>
  <c r="AC254" i="3"/>
  <c r="G254" i="3" s="1"/>
  <c r="H254" i="3"/>
  <c r="BT253" i="3"/>
  <c r="BS253" i="3"/>
  <c r="BR253" i="3"/>
  <c r="BQ253" i="3"/>
  <c r="BP253" i="3"/>
  <c r="BO253" i="3"/>
  <c r="BL253" i="3" s="1"/>
  <c r="BN253" i="3"/>
  <c r="BM253" i="3"/>
  <c r="BK253" i="3"/>
  <c r="BJ253" i="3"/>
  <c r="BI253" i="3"/>
  <c r="BH253" i="3"/>
  <c r="BG253" i="3"/>
  <c r="BF253" i="3"/>
  <c r="BE253" i="3"/>
  <c r="BD253" i="3"/>
  <c r="BC253" i="3"/>
  <c r="BA253" i="3" s="1"/>
  <c r="BB253" i="3"/>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A252" i="3" s="1"/>
  <c r="AZ252" i="3" s="1"/>
  <c r="BB252" i="3"/>
  <c r="AX252" i="3"/>
  <c r="AW252" i="3"/>
  <c r="AV252" i="3"/>
  <c r="AC252" i="3"/>
  <c r="H252" i="3"/>
  <c r="G252" i="3" s="1"/>
  <c r="BT251" i="3"/>
  <c r="BS251" i="3"/>
  <c r="BR251" i="3"/>
  <c r="BQ251" i="3"/>
  <c r="BP251" i="3"/>
  <c r="BO251" i="3"/>
  <c r="BN251" i="3"/>
  <c r="BM251" i="3"/>
  <c r="BL251" i="3" s="1"/>
  <c r="BK251" i="3"/>
  <c r="BJ251" i="3"/>
  <c r="BI251" i="3"/>
  <c r="BH251" i="3"/>
  <c r="BG251" i="3"/>
  <c r="BF251" i="3"/>
  <c r="BE251" i="3"/>
  <c r="BD251" i="3"/>
  <c r="BC251" i="3"/>
  <c r="BB251" i="3"/>
  <c r="BA251" i="3" s="1"/>
  <c r="AX251" i="3"/>
  <c r="AW251" i="3"/>
  <c r="AV251" i="3"/>
  <c r="AC251" i="3"/>
  <c r="H251" i="3"/>
  <c r="BT250" i="3"/>
  <c r="BS250" i="3"/>
  <c r="BR250" i="3"/>
  <c r="BQ250" i="3"/>
  <c r="BP250" i="3"/>
  <c r="BO250" i="3"/>
  <c r="BN250" i="3"/>
  <c r="BL250" i="3" s="1"/>
  <c r="BM250" i="3"/>
  <c r="BK250" i="3"/>
  <c r="BJ250" i="3"/>
  <c r="BI250" i="3"/>
  <c r="BH250" i="3"/>
  <c r="BG250" i="3"/>
  <c r="BF250" i="3"/>
  <c r="BE250" i="3"/>
  <c r="BD250" i="3"/>
  <c r="BC250" i="3"/>
  <c r="BB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A249" i="3" s="1"/>
  <c r="BC249" i="3"/>
  <c r="BB249" i="3"/>
  <c r="AX249" i="3"/>
  <c r="AW249" i="3"/>
  <c r="AV249" i="3"/>
  <c r="AC249" i="3"/>
  <c r="H249" i="3"/>
  <c r="G249" i="3" s="1"/>
  <c r="BT248" i="3"/>
  <c r="BS248" i="3"/>
  <c r="BR248" i="3"/>
  <c r="BQ248" i="3"/>
  <c r="BP248" i="3"/>
  <c r="BO248" i="3"/>
  <c r="BN248" i="3"/>
  <c r="BM248" i="3"/>
  <c r="BL248" i="3"/>
  <c r="BK248" i="3"/>
  <c r="BJ248" i="3"/>
  <c r="BI248" i="3"/>
  <c r="BH248" i="3"/>
  <c r="BG248" i="3"/>
  <c r="BF248" i="3"/>
  <c r="BE248" i="3"/>
  <c r="BD248" i="3"/>
  <c r="BC248" i="3"/>
  <c r="BB248" i="3"/>
  <c r="AX248" i="3"/>
  <c r="AW248" i="3"/>
  <c r="AV248" i="3"/>
  <c r="AC248" i="3"/>
  <c r="H248" i="3"/>
  <c r="G248" i="3" s="1"/>
  <c r="BT247" i="3"/>
  <c r="BS247" i="3"/>
  <c r="BR247" i="3"/>
  <c r="BQ247" i="3"/>
  <c r="BP247" i="3"/>
  <c r="BO247" i="3"/>
  <c r="BN247" i="3"/>
  <c r="BM247" i="3"/>
  <c r="BL247" i="3" s="1"/>
  <c r="BK247" i="3"/>
  <c r="BJ247" i="3"/>
  <c r="BI247" i="3"/>
  <c r="BH247" i="3"/>
  <c r="BG247" i="3"/>
  <c r="BF247" i="3"/>
  <c r="BE247" i="3"/>
  <c r="BD247" i="3"/>
  <c r="BC247" i="3"/>
  <c r="BB247" i="3"/>
  <c r="BA247" i="3" s="1"/>
  <c r="AX247" i="3"/>
  <c r="AW247" i="3"/>
  <c r="AV247" i="3"/>
  <c r="AC247" i="3"/>
  <c r="H247" i="3"/>
  <c r="G247" i="3"/>
  <c r="BT246" i="3"/>
  <c r="BS246" i="3"/>
  <c r="BR246" i="3"/>
  <c r="BQ246" i="3"/>
  <c r="BP246" i="3"/>
  <c r="BO246" i="3"/>
  <c r="BN246" i="3"/>
  <c r="BM246" i="3"/>
  <c r="BL246" i="3" s="1"/>
  <c r="BK246" i="3"/>
  <c r="BJ246" i="3"/>
  <c r="BI246" i="3"/>
  <c r="BH246" i="3"/>
  <c r="BG246" i="3"/>
  <c r="BF246" i="3"/>
  <c r="BE246" i="3"/>
  <c r="BD246" i="3"/>
  <c r="BC246" i="3"/>
  <c r="BB246" i="3"/>
  <c r="BA246" i="3"/>
  <c r="AX246" i="3"/>
  <c r="AW246" i="3"/>
  <c r="AV246" i="3"/>
  <c r="AC246" i="3"/>
  <c r="H246" i="3"/>
  <c r="BT245" i="3"/>
  <c r="BS245" i="3"/>
  <c r="BR245" i="3"/>
  <c r="BQ245" i="3"/>
  <c r="BP245" i="3"/>
  <c r="BO245" i="3"/>
  <c r="BN245" i="3"/>
  <c r="BL245" i="3" s="1"/>
  <c r="BM245" i="3"/>
  <c r="BK245" i="3"/>
  <c r="BJ245" i="3"/>
  <c r="BI245" i="3"/>
  <c r="BH245" i="3"/>
  <c r="BG245" i="3"/>
  <c r="BF245" i="3"/>
  <c r="BE245" i="3"/>
  <c r="BD245" i="3"/>
  <c r="BC245" i="3"/>
  <c r="BB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A244" i="3" s="1"/>
  <c r="AZ244" i="3" s="1"/>
  <c r="BC244" i="3"/>
  <c r="BB244" i="3"/>
  <c r="AX244" i="3"/>
  <c r="AW244" i="3"/>
  <c r="AV244" i="3"/>
  <c r="AC244" i="3"/>
  <c r="G244" i="3" s="1"/>
  <c r="H244" i="3"/>
  <c r="BT243" i="3"/>
  <c r="BS243" i="3"/>
  <c r="BR243" i="3"/>
  <c r="BQ243" i="3"/>
  <c r="BP243" i="3"/>
  <c r="BO243" i="3"/>
  <c r="BL243" i="3" s="1"/>
  <c r="BN243" i="3"/>
  <c r="BM243" i="3"/>
  <c r="BK243" i="3"/>
  <c r="BJ243" i="3"/>
  <c r="BI243" i="3"/>
  <c r="BH243" i="3"/>
  <c r="BG243" i="3"/>
  <c r="BF243" i="3"/>
  <c r="BE243" i="3"/>
  <c r="BD243" i="3"/>
  <c r="BC243" i="3"/>
  <c r="BA243" i="3" s="1"/>
  <c r="BB243" i="3"/>
  <c r="AX243" i="3"/>
  <c r="AW243" i="3"/>
  <c r="AV243" i="3"/>
  <c r="AC243" i="3"/>
  <c r="H243" i="3"/>
  <c r="G243" i="3"/>
  <c r="BT242" i="3"/>
  <c r="BS242" i="3"/>
  <c r="BR242" i="3"/>
  <c r="BQ242" i="3"/>
  <c r="BP242" i="3"/>
  <c r="BO242" i="3"/>
  <c r="BN242" i="3"/>
  <c r="BM242" i="3"/>
  <c r="BL242" i="3" s="1"/>
  <c r="BK242" i="3"/>
  <c r="BJ242" i="3"/>
  <c r="BI242" i="3"/>
  <c r="BH242" i="3"/>
  <c r="BG242" i="3"/>
  <c r="BF242" i="3"/>
  <c r="BE242" i="3"/>
  <c r="BD242" i="3"/>
  <c r="BC242" i="3"/>
  <c r="BA242" i="3" s="1"/>
  <c r="AZ242" i="3" s="1"/>
  <c r="BB242" i="3"/>
  <c r="AX242" i="3"/>
  <c r="AW242" i="3"/>
  <c r="AV242" i="3"/>
  <c r="AC242" i="3"/>
  <c r="H242" i="3"/>
  <c r="G242" i="3" s="1"/>
  <c r="BT241" i="3"/>
  <c r="BS241" i="3"/>
  <c r="BR241" i="3"/>
  <c r="BQ241" i="3"/>
  <c r="BP241" i="3"/>
  <c r="BO241" i="3"/>
  <c r="BN241" i="3"/>
  <c r="BM241" i="3"/>
  <c r="BL241" i="3" s="1"/>
  <c r="BK241" i="3"/>
  <c r="BJ241" i="3"/>
  <c r="BI241" i="3"/>
  <c r="BH241" i="3"/>
  <c r="BG241" i="3"/>
  <c r="BF241" i="3"/>
  <c r="BE241" i="3"/>
  <c r="BD241" i="3"/>
  <c r="BC241" i="3"/>
  <c r="BB241" i="3"/>
  <c r="BA241" i="3" s="1"/>
  <c r="AX241" i="3"/>
  <c r="AW241" i="3"/>
  <c r="AV241" i="3"/>
  <c r="AC241" i="3"/>
  <c r="H241" i="3"/>
  <c r="BT240" i="3"/>
  <c r="BS240" i="3"/>
  <c r="BR240" i="3"/>
  <c r="BQ240" i="3"/>
  <c r="BP240" i="3"/>
  <c r="BO240" i="3"/>
  <c r="BN240" i="3"/>
  <c r="BL240" i="3" s="1"/>
  <c r="BM240" i="3"/>
  <c r="BK240" i="3"/>
  <c r="BJ240" i="3"/>
  <c r="BI240" i="3"/>
  <c r="BH240" i="3"/>
  <c r="BG240" i="3"/>
  <c r="BF240" i="3"/>
  <c r="BE240" i="3"/>
  <c r="BD240" i="3"/>
  <c r="BC240" i="3"/>
  <c r="BB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A239" i="3" s="1"/>
  <c r="AZ239" i="3" s="1"/>
  <c r="BC239" i="3"/>
  <c r="BB239" i="3"/>
  <c r="AX239" i="3"/>
  <c r="AW239" i="3"/>
  <c r="AV239" i="3"/>
  <c r="AC239" i="3"/>
  <c r="G239" i="3" s="1"/>
  <c r="H239" i="3"/>
  <c r="BT238" i="3"/>
  <c r="BS238" i="3"/>
  <c r="BR238" i="3"/>
  <c r="BQ238" i="3"/>
  <c r="BP238" i="3"/>
  <c r="BO238" i="3"/>
  <c r="BL238" i="3" s="1"/>
  <c r="BN238" i="3"/>
  <c r="BM238" i="3"/>
  <c r="BK238" i="3"/>
  <c r="BJ238" i="3"/>
  <c r="BI238" i="3"/>
  <c r="BH238" i="3"/>
  <c r="BG238" i="3"/>
  <c r="BF238" i="3"/>
  <c r="BE238" i="3"/>
  <c r="BD238" i="3"/>
  <c r="BC238" i="3"/>
  <c r="BA238" i="3" s="1"/>
  <c r="BB238" i="3"/>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A237" i="3" s="1"/>
  <c r="BB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Z236" i="3" s="1"/>
  <c r="AX236" i="3"/>
  <c r="AW236" i="3"/>
  <c r="AV236" i="3"/>
  <c r="AC236" i="3"/>
  <c r="H236" i="3"/>
  <c r="G236" i="3" s="1"/>
  <c r="BT235" i="3"/>
  <c r="BS235" i="3"/>
  <c r="BR235" i="3"/>
  <c r="BQ235" i="3"/>
  <c r="BP235" i="3"/>
  <c r="BO235" i="3"/>
  <c r="BN235" i="3"/>
  <c r="BM235" i="3"/>
  <c r="BL235" i="3"/>
  <c r="BK235" i="3"/>
  <c r="BJ235" i="3"/>
  <c r="BI235" i="3"/>
  <c r="BH235" i="3"/>
  <c r="BG235" i="3"/>
  <c r="BF235" i="3"/>
  <c r="BE235" i="3"/>
  <c r="BD235" i="3"/>
  <c r="BC235" i="3"/>
  <c r="BB235" i="3"/>
  <c r="AX235" i="3"/>
  <c r="AW235" i="3"/>
  <c r="AV235" i="3"/>
  <c r="AC235" i="3"/>
  <c r="H235" i="3"/>
  <c r="G235" i="3"/>
  <c r="BT234" i="3"/>
  <c r="BS234" i="3"/>
  <c r="BR234" i="3"/>
  <c r="BQ234" i="3"/>
  <c r="BP234" i="3"/>
  <c r="BO234" i="3"/>
  <c r="BN234" i="3"/>
  <c r="BM234" i="3"/>
  <c r="BL234" i="3" s="1"/>
  <c r="BK234" i="3"/>
  <c r="BJ234" i="3"/>
  <c r="BI234" i="3"/>
  <c r="BH234" i="3"/>
  <c r="BG234" i="3"/>
  <c r="BF234" i="3"/>
  <c r="BE234" i="3"/>
  <c r="BD234" i="3"/>
  <c r="BC234" i="3"/>
  <c r="BB234" i="3"/>
  <c r="BA234" i="3"/>
  <c r="AX234" i="3"/>
  <c r="AW234" i="3"/>
  <c r="AV234" i="3"/>
  <c r="AC234" i="3"/>
  <c r="H234" i="3"/>
  <c r="BT233" i="3"/>
  <c r="BS233" i="3"/>
  <c r="BR233" i="3"/>
  <c r="BQ233" i="3"/>
  <c r="BP233" i="3"/>
  <c r="BO233" i="3"/>
  <c r="BN233" i="3"/>
  <c r="BM233" i="3"/>
  <c r="BL233" i="3" s="1"/>
  <c r="BK233" i="3"/>
  <c r="BJ233" i="3"/>
  <c r="BI233" i="3"/>
  <c r="BH233" i="3"/>
  <c r="BG233" i="3"/>
  <c r="BF233" i="3"/>
  <c r="BE233" i="3"/>
  <c r="BD233" i="3"/>
  <c r="BC233" i="3"/>
  <c r="BB233" i="3"/>
  <c r="BA233" i="3" s="1"/>
  <c r="AX233" i="3"/>
  <c r="AW233" i="3"/>
  <c r="AV233" i="3"/>
  <c r="AC233" i="3"/>
  <c r="G233" i="3" s="1"/>
  <c r="H233" i="3"/>
  <c r="BT232" i="3"/>
  <c r="BS232" i="3"/>
  <c r="BR232" i="3"/>
  <c r="BQ232" i="3"/>
  <c r="BP232" i="3"/>
  <c r="BO232" i="3"/>
  <c r="BN232" i="3"/>
  <c r="BM232" i="3"/>
  <c r="BL232" i="3"/>
  <c r="BK232" i="3"/>
  <c r="BJ232" i="3"/>
  <c r="BI232" i="3"/>
  <c r="BH232" i="3"/>
  <c r="BG232" i="3"/>
  <c r="BF232" i="3"/>
  <c r="BE232" i="3"/>
  <c r="BD232" i="3"/>
  <c r="BC232" i="3"/>
  <c r="BA232" i="3" s="1"/>
  <c r="BB232" i="3"/>
  <c r="AX232" i="3"/>
  <c r="AW232" i="3"/>
  <c r="AV232" i="3"/>
  <c r="AC232" i="3"/>
  <c r="H232" i="3"/>
  <c r="G232" i="3" s="1"/>
  <c r="BT231" i="3"/>
  <c r="BS231" i="3"/>
  <c r="BR231" i="3"/>
  <c r="BQ231" i="3"/>
  <c r="BP231" i="3"/>
  <c r="BO231" i="3"/>
  <c r="BN231" i="3"/>
  <c r="BM231" i="3"/>
  <c r="BL231" i="3" s="1"/>
  <c r="BK231" i="3"/>
  <c r="BJ231" i="3"/>
  <c r="BI231" i="3"/>
  <c r="BH231" i="3"/>
  <c r="BG231" i="3"/>
  <c r="BF231" i="3"/>
  <c r="BE231" i="3"/>
  <c r="BD231" i="3"/>
  <c r="BC231" i="3"/>
  <c r="BB231" i="3"/>
  <c r="BA231" i="3" s="1"/>
  <c r="AZ231" i="3" s="1"/>
  <c r="AX231" i="3"/>
  <c r="AW231" i="3"/>
  <c r="AV231" i="3"/>
  <c r="AC231" i="3"/>
  <c r="H231" i="3"/>
  <c r="G231" i="3"/>
  <c r="BT230" i="3"/>
  <c r="BS230" i="3"/>
  <c r="BR230" i="3"/>
  <c r="BQ230" i="3"/>
  <c r="BP230" i="3"/>
  <c r="BO230" i="3"/>
  <c r="BN230" i="3"/>
  <c r="BM230" i="3"/>
  <c r="BL230" i="3" s="1"/>
  <c r="BK230" i="3"/>
  <c r="BJ230" i="3"/>
  <c r="BI230" i="3"/>
  <c r="BH230" i="3"/>
  <c r="BG230" i="3"/>
  <c r="BF230" i="3"/>
  <c r="BE230" i="3"/>
  <c r="BD230" i="3"/>
  <c r="BC230" i="3"/>
  <c r="BB230" i="3"/>
  <c r="BA230" i="3"/>
  <c r="AZ230" i="3" s="1"/>
  <c r="AX230" i="3"/>
  <c r="AW230" i="3"/>
  <c r="AV230" i="3"/>
  <c r="AC230" i="3"/>
  <c r="G230" i="3" s="1"/>
  <c r="H230" i="3"/>
  <c r="BT229" i="3"/>
  <c r="BS229" i="3"/>
  <c r="BR229" i="3"/>
  <c r="BQ229" i="3"/>
  <c r="BP229" i="3"/>
  <c r="BO229" i="3"/>
  <c r="BN229" i="3"/>
  <c r="BM229" i="3"/>
  <c r="BL229" i="3"/>
  <c r="BK229" i="3"/>
  <c r="BJ229" i="3"/>
  <c r="BI229" i="3"/>
  <c r="BH229" i="3"/>
  <c r="BG229" i="3"/>
  <c r="BF229" i="3"/>
  <c r="BE229" i="3"/>
  <c r="BD229" i="3"/>
  <c r="BC229" i="3"/>
  <c r="BA229" i="3" s="1"/>
  <c r="BB229" i="3"/>
  <c r="AX229" i="3"/>
  <c r="AW229" i="3"/>
  <c r="AV229" i="3"/>
  <c r="AC229" i="3"/>
  <c r="H229" i="3"/>
  <c r="G229" i="3" s="1"/>
  <c r="BT228" i="3"/>
  <c r="BS228" i="3"/>
  <c r="BR228" i="3"/>
  <c r="BQ228" i="3"/>
  <c r="BP228" i="3"/>
  <c r="BO228" i="3"/>
  <c r="BN228" i="3"/>
  <c r="BM228" i="3"/>
  <c r="BL228" i="3" s="1"/>
  <c r="BK228" i="3"/>
  <c r="BJ228" i="3"/>
  <c r="BI228" i="3"/>
  <c r="BH228" i="3"/>
  <c r="BG228" i="3"/>
  <c r="BF228" i="3"/>
  <c r="BE228" i="3"/>
  <c r="BD228" i="3"/>
  <c r="BC228" i="3"/>
  <c r="BB228" i="3"/>
  <c r="BA228" i="3" s="1"/>
  <c r="AZ228" i="3" s="1"/>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s="1"/>
  <c r="BT226" i="3"/>
  <c r="BS226" i="3"/>
  <c r="BR226" i="3"/>
  <c r="BQ226" i="3"/>
  <c r="BP226" i="3"/>
  <c r="BO226" i="3"/>
  <c r="BL226" i="3" s="1"/>
  <c r="BN226" i="3"/>
  <c r="BM226" i="3"/>
  <c r="BK226" i="3"/>
  <c r="BJ226" i="3"/>
  <c r="BI226" i="3"/>
  <c r="BH226" i="3"/>
  <c r="BG226" i="3"/>
  <c r="BF226" i="3"/>
  <c r="BE226" i="3"/>
  <c r="BD226" i="3"/>
  <c r="BC226" i="3"/>
  <c r="BB226" i="3"/>
  <c r="BA226" i="3" s="1"/>
  <c r="AZ226" i="3" s="1"/>
  <c r="AX226" i="3"/>
  <c r="AW226" i="3"/>
  <c r="AV226" i="3"/>
  <c r="AC226" i="3"/>
  <c r="H226" i="3"/>
  <c r="G226" i="3" s="1"/>
  <c r="BT225" i="3"/>
  <c r="BS225" i="3"/>
  <c r="BR225" i="3"/>
  <c r="BQ225" i="3"/>
  <c r="BP225" i="3"/>
  <c r="BO225" i="3"/>
  <c r="BN225" i="3"/>
  <c r="BM225" i="3"/>
  <c r="BL225" i="3" s="1"/>
  <c r="BK225" i="3"/>
  <c r="BJ225" i="3"/>
  <c r="BI225" i="3"/>
  <c r="BH225" i="3"/>
  <c r="BG225" i="3"/>
  <c r="BF225" i="3"/>
  <c r="BE225" i="3"/>
  <c r="BD225" i="3"/>
  <c r="BC225" i="3"/>
  <c r="BB225" i="3"/>
  <c r="BA225" i="3" s="1"/>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X224" i="3"/>
  <c r="AW224" i="3"/>
  <c r="AV224" i="3"/>
  <c r="AC224" i="3"/>
  <c r="H224" i="3"/>
  <c r="G224" i="3" s="1"/>
  <c r="BT223" i="3"/>
  <c r="BS223" i="3"/>
  <c r="BR223" i="3"/>
  <c r="BQ223" i="3"/>
  <c r="BP223" i="3"/>
  <c r="BO223" i="3"/>
  <c r="BL223" i="3" s="1"/>
  <c r="BN223" i="3"/>
  <c r="BM223" i="3"/>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s="1"/>
  <c r="BK222" i="3"/>
  <c r="BJ222" i="3"/>
  <c r="BI222" i="3"/>
  <c r="BH222" i="3"/>
  <c r="BG222" i="3"/>
  <c r="BF222" i="3"/>
  <c r="BE222" i="3"/>
  <c r="BD222" i="3"/>
  <c r="BC222" i="3"/>
  <c r="BB222" i="3"/>
  <c r="BA222" i="3"/>
  <c r="AX222" i="3"/>
  <c r="AW222" i="3"/>
  <c r="AV222" i="3"/>
  <c r="AC222" i="3"/>
  <c r="H222" i="3"/>
  <c r="G222" i="3" s="1"/>
  <c r="BT221" i="3"/>
  <c r="BS221" i="3"/>
  <c r="BR221" i="3"/>
  <c r="BQ221" i="3"/>
  <c r="BP221" i="3"/>
  <c r="BO221" i="3"/>
  <c r="BL221" i="3" s="1"/>
  <c r="BN221" i="3"/>
  <c r="BM221" i="3"/>
  <c r="BK221" i="3"/>
  <c r="BJ221" i="3"/>
  <c r="BI221" i="3"/>
  <c r="BH221" i="3"/>
  <c r="BG221" i="3"/>
  <c r="BF221" i="3"/>
  <c r="BE221" i="3"/>
  <c r="BD221" i="3"/>
  <c r="BC221" i="3"/>
  <c r="BB221" i="3"/>
  <c r="BA221" i="3" s="1"/>
  <c r="AZ221" i="3" s="1"/>
  <c r="AX221" i="3"/>
  <c r="AW221" i="3"/>
  <c r="AV221" i="3"/>
  <c r="AC221" i="3"/>
  <c r="H221" i="3"/>
  <c r="G221" i="3" s="1"/>
  <c r="BT220" i="3"/>
  <c r="BS220" i="3"/>
  <c r="BR220" i="3"/>
  <c r="BQ220" i="3"/>
  <c r="BP220" i="3"/>
  <c r="BO220" i="3"/>
  <c r="BN220" i="3"/>
  <c r="BM220" i="3"/>
  <c r="BL220" i="3" s="1"/>
  <c r="BK220" i="3"/>
  <c r="BJ220" i="3"/>
  <c r="BI220" i="3"/>
  <c r="BH220" i="3"/>
  <c r="BG220" i="3"/>
  <c r="BF220" i="3"/>
  <c r="BE220" i="3"/>
  <c r="BD220" i="3"/>
  <c r="BC220" i="3"/>
  <c r="BB220" i="3"/>
  <c r="BA220" i="3" s="1"/>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A218" i="3" s="1"/>
  <c r="BC218" i="3"/>
  <c r="BB218" i="3"/>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Z216" i="3" s="1"/>
  <c r="AX216" i="3"/>
  <c r="AW216" i="3"/>
  <c r="AV216" i="3"/>
  <c r="AC216" i="3"/>
  <c r="H216" i="3"/>
  <c r="G216" i="3"/>
  <c r="BT215" i="3"/>
  <c r="BS215" i="3"/>
  <c r="BR215" i="3"/>
  <c r="BQ215" i="3"/>
  <c r="BP215" i="3"/>
  <c r="BO215" i="3"/>
  <c r="BN215" i="3"/>
  <c r="BM215" i="3"/>
  <c r="BL215" i="3"/>
  <c r="BK215" i="3"/>
  <c r="BJ215" i="3"/>
  <c r="BI215" i="3"/>
  <c r="BH215" i="3"/>
  <c r="BG215" i="3"/>
  <c r="BF215" i="3"/>
  <c r="BE215" i="3"/>
  <c r="BD215" i="3"/>
  <c r="BA215" i="3" s="1"/>
  <c r="BC215" i="3"/>
  <c r="BB215" i="3"/>
  <c r="AX215" i="3"/>
  <c r="AW215" i="3"/>
  <c r="AV215" i="3"/>
  <c r="AC215" i="3"/>
  <c r="H215" i="3"/>
  <c r="G215" i="3" s="1"/>
  <c r="BT214" i="3"/>
  <c r="BS214" i="3"/>
  <c r="BR214" i="3"/>
  <c r="BQ214" i="3"/>
  <c r="BP214" i="3"/>
  <c r="BO214" i="3"/>
  <c r="BN214" i="3"/>
  <c r="BM214" i="3"/>
  <c r="BK214" i="3"/>
  <c r="BJ214" i="3"/>
  <c r="BI214" i="3"/>
  <c r="BH214" i="3"/>
  <c r="BG214" i="3"/>
  <c r="BF214" i="3"/>
  <c r="BE214" i="3"/>
  <c r="BD214" i="3"/>
  <c r="BC214" i="3"/>
  <c r="BB214" i="3"/>
  <c r="BA214" i="3" s="1"/>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BT212" i="3"/>
  <c r="BS212" i="3"/>
  <c r="BR212" i="3"/>
  <c r="BQ212" i="3"/>
  <c r="BP212" i="3"/>
  <c r="BO212" i="3"/>
  <c r="BN212" i="3"/>
  <c r="BM212" i="3"/>
  <c r="BK212" i="3"/>
  <c r="BJ212" i="3"/>
  <c r="BI212" i="3"/>
  <c r="BH212" i="3"/>
  <c r="BG212" i="3"/>
  <c r="BF212" i="3"/>
  <c r="BE212" i="3"/>
  <c r="BD212" i="3"/>
  <c r="BC212" i="3"/>
  <c r="BB212" i="3"/>
  <c r="AX212" i="3"/>
  <c r="AW212" i="3"/>
  <c r="AV212" i="3"/>
  <c r="AC212" i="3"/>
  <c r="H212" i="3"/>
  <c r="G212" i="3" s="1"/>
  <c r="BT211" i="3"/>
  <c r="BS211" i="3"/>
  <c r="BR211" i="3"/>
  <c r="BQ211" i="3"/>
  <c r="BP211" i="3"/>
  <c r="BO211" i="3"/>
  <c r="BN211" i="3"/>
  <c r="BM211" i="3"/>
  <c r="BK211" i="3"/>
  <c r="BJ211" i="3"/>
  <c r="BI211" i="3"/>
  <c r="BH211" i="3"/>
  <c r="BG211" i="3"/>
  <c r="BF211" i="3"/>
  <c r="BE211" i="3"/>
  <c r="BD211" i="3"/>
  <c r="BC211" i="3"/>
  <c r="BB211" i="3"/>
  <c r="BA211" i="3" s="1"/>
  <c r="AX211" i="3"/>
  <c r="AW211" i="3"/>
  <c r="AV211" i="3"/>
  <c r="AC211" i="3"/>
  <c r="H211" i="3"/>
  <c r="G211" i="3"/>
  <c r="BT210" i="3"/>
  <c r="BS210" i="3"/>
  <c r="BR210" i="3"/>
  <c r="BQ210" i="3"/>
  <c r="BP210" i="3"/>
  <c r="BO210" i="3"/>
  <c r="BN210" i="3"/>
  <c r="BM210" i="3"/>
  <c r="BL210" i="3" s="1"/>
  <c r="BK210" i="3"/>
  <c r="BJ210" i="3"/>
  <c r="BI210" i="3"/>
  <c r="BH210" i="3"/>
  <c r="BG210" i="3"/>
  <c r="BF210" i="3"/>
  <c r="BE210" i="3"/>
  <c r="BD210" i="3"/>
  <c r="BC210" i="3"/>
  <c r="BB210" i="3"/>
  <c r="BA210" i="3"/>
  <c r="AX210" i="3"/>
  <c r="AW210" i="3"/>
  <c r="AV210" i="3"/>
  <c r="AC210" i="3"/>
  <c r="H210" i="3"/>
  <c r="BT209" i="3"/>
  <c r="BS209" i="3"/>
  <c r="BR209" i="3"/>
  <c r="BQ209" i="3"/>
  <c r="BP209" i="3"/>
  <c r="BO209" i="3"/>
  <c r="BL209" i="3" s="1"/>
  <c r="BN209" i="3"/>
  <c r="BM209" i="3"/>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K208" i="3"/>
  <c r="BJ208" i="3"/>
  <c r="BI208" i="3"/>
  <c r="BH208" i="3"/>
  <c r="BG208" i="3"/>
  <c r="BF208" i="3"/>
  <c r="BE208" i="3"/>
  <c r="BD208" i="3"/>
  <c r="BC208" i="3"/>
  <c r="BB208" i="3"/>
  <c r="BA208" i="3" s="1"/>
  <c r="AX208" i="3"/>
  <c r="AW208" i="3"/>
  <c r="AV208" i="3"/>
  <c r="AC208" i="3"/>
  <c r="H208" i="3"/>
  <c r="G208" i="3"/>
  <c r="BT397" i="3"/>
  <c r="BS397" i="3"/>
  <c r="BR397" i="3"/>
  <c r="BQ397" i="3"/>
  <c r="BP397" i="3"/>
  <c r="BO397" i="3"/>
  <c r="BN397" i="3"/>
  <c r="BM397" i="3"/>
  <c r="BL397" i="3" s="1"/>
  <c r="BK397" i="3"/>
  <c r="BJ397" i="3"/>
  <c r="BI397" i="3"/>
  <c r="BH397" i="3"/>
  <c r="BG397" i="3"/>
  <c r="BF397" i="3"/>
  <c r="BE397" i="3"/>
  <c r="BD397" i="3"/>
  <c r="BC397" i="3"/>
  <c r="BB397" i="3"/>
  <c r="BA397" i="3"/>
  <c r="AX397" i="3"/>
  <c r="AW397" i="3"/>
  <c r="AV397" i="3"/>
  <c r="AC397" i="3"/>
  <c r="H397" i="3"/>
  <c r="BT396" i="3"/>
  <c r="BS396" i="3"/>
  <c r="BR396" i="3"/>
  <c r="BQ396" i="3"/>
  <c r="BP396" i="3"/>
  <c r="BO396" i="3"/>
  <c r="BN396" i="3"/>
  <c r="BL396" i="3" s="1"/>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L395" i="3"/>
  <c r="BK395" i="3"/>
  <c r="BJ395" i="3"/>
  <c r="BI395" i="3"/>
  <c r="BH395" i="3"/>
  <c r="BG395" i="3"/>
  <c r="BF395" i="3"/>
  <c r="BE395" i="3"/>
  <c r="BD395" i="3"/>
  <c r="BC395" i="3"/>
  <c r="BB395" i="3"/>
  <c r="BA395" i="3" s="1"/>
  <c r="AZ395" i="3" s="1"/>
  <c r="AX395" i="3"/>
  <c r="AW395" i="3"/>
  <c r="AV395" i="3"/>
  <c r="AC395" i="3"/>
  <c r="G395" i="3" s="1"/>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L393" i="3" s="1"/>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G392" i="3" s="1"/>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A388" i="3" s="1"/>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BA386" i="3" s="1"/>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s="1"/>
  <c r="AZ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s="1"/>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L375" i="3" s="1"/>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s="1"/>
  <c r="BT368" i="3"/>
  <c r="BS368" i="3"/>
  <c r="BR368" i="3"/>
  <c r="BQ368" i="3"/>
  <c r="BP368" i="3"/>
  <c r="BO368" i="3"/>
  <c r="BN368" i="3"/>
  <c r="BM368" i="3"/>
  <c r="BL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L363" i="3" s="1"/>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s="1"/>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s="1"/>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s="1"/>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s="1"/>
  <c r="BT348" i="3"/>
  <c r="BS348" i="3"/>
  <c r="BR348" i="3"/>
  <c r="BQ348" i="3"/>
  <c r="BP348" i="3"/>
  <c r="BO348" i="3"/>
  <c r="BN348" i="3"/>
  <c r="BL348" i="3" s="1"/>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A339" i="3" s="1"/>
  <c r="BB339" i="3"/>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s="1"/>
  <c r="BT333" i="3"/>
  <c r="BS333" i="3"/>
  <c r="BR333" i="3"/>
  <c r="BQ333" i="3"/>
  <c r="BP333" i="3"/>
  <c r="BO333" i="3"/>
  <c r="BN333" i="3"/>
  <c r="BM333" i="3"/>
  <c r="BL333" i="3" s="1"/>
  <c r="BK333" i="3"/>
  <c r="BJ333" i="3"/>
  <c r="BI333" i="3"/>
  <c r="BH333" i="3"/>
  <c r="BG333" i="3"/>
  <c r="BF333" i="3"/>
  <c r="BE333" i="3"/>
  <c r="BD333" i="3"/>
  <c r="BC333" i="3"/>
  <c r="BB333" i="3"/>
  <c r="BA333" i="3" s="1"/>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s="1"/>
  <c r="BT330" i="3"/>
  <c r="BS330" i="3"/>
  <c r="BR330" i="3"/>
  <c r="BQ330" i="3"/>
  <c r="BP330" i="3"/>
  <c r="BO330" i="3"/>
  <c r="BN330" i="3"/>
  <c r="BM330" i="3"/>
  <c r="BL330" i="3" s="1"/>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s="1"/>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A316" i="3" s="1"/>
  <c r="AZ316" i="3" s="1"/>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s="1"/>
  <c r="BT314" i="3"/>
  <c r="BS314" i="3"/>
  <c r="BR314" i="3"/>
  <c r="BQ314" i="3"/>
  <c r="BP314" i="3"/>
  <c r="BO314" i="3"/>
  <c r="BN314" i="3"/>
  <c r="BL314" i="3" s="1"/>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BA492" i="3" s="1"/>
  <c r="AX492" i="3"/>
  <c r="AW492" i="3"/>
  <c r="AV492" i="3"/>
  <c r="AC492" i="3"/>
  <c r="H492" i="3"/>
  <c r="G492" i="3" s="1"/>
  <c r="BT491" i="3"/>
  <c r="BS491" i="3"/>
  <c r="BR491" i="3"/>
  <c r="BQ491" i="3"/>
  <c r="BP491" i="3"/>
  <c r="BO491" i="3"/>
  <c r="BN491" i="3"/>
  <c r="BM491" i="3"/>
  <c r="BL491" i="3" s="1"/>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BA490" i="3" s="1"/>
  <c r="AX490" i="3"/>
  <c r="AW490" i="3"/>
  <c r="AV490" i="3"/>
  <c r="AC490" i="3"/>
  <c r="H490" i="3"/>
  <c r="G490" i="3" s="1"/>
  <c r="BT489" i="3"/>
  <c r="BS489" i="3"/>
  <c r="BR489" i="3"/>
  <c r="BQ489" i="3"/>
  <c r="BP489" i="3"/>
  <c r="BO489" i="3"/>
  <c r="BN489" i="3"/>
  <c r="BM489" i="3"/>
  <c r="BL489" i="3" s="1"/>
  <c r="BK489" i="3"/>
  <c r="BJ489" i="3"/>
  <c r="BI489" i="3"/>
  <c r="BH489" i="3"/>
  <c r="BG489" i="3"/>
  <c r="BF489" i="3"/>
  <c r="BE489" i="3"/>
  <c r="BD489" i="3"/>
  <c r="BC489" i="3"/>
  <c r="BB489" i="3"/>
  <c r="BA489" i="3" s="1"/>
  <c r="AZ489" i="3" s="1"/>
  <c r="AX489" i="3"/>
  <c r="AW489" i="3"/>
  <c r="AV489" i="3"/>
  <c r="AC489" i="3"/>
  <c r="H489" i="3"/>
  <c r="G489" i="3"/>
  <c r="BT488" i="3"/>
  <c r="BS488" i="3"/>
  <c r="BR488" i="3"/>
  <c r="BQ488" i="3"/>
  <c r="BP488" i="3"/>
  <c r="BO488" i="3"/>
  <c r="BN488" i="3"/>
  <c r="BM488" i="3"/>
  <c r="BL488" i="3" s="1"/>
  <c r="BK488" i="3"/>
  <c r="BJ488" i="3"/>
  <c r="BI488" i="3"/>
  <c r="BH488" i="3"/>
  <c r="BG488" i="3"/>
  <c r="BF488" i="3"/>
  <c r="BE488" i="3"/>
  <c r="BD488" i="3"/>
  <c r="BC488" i="3"/>
  <c r="BB488" i="3"/>
  <c r="BA488" i="3"/>
  <c r="AZ488" i="3" s="1"/>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G487" i="3" s="1"/>
  <c r="BT486" i="3"/>
  <c r="BS486" i="3"/>
  <c r="BR486" i="3"/>
  <c r="BQ486" i="3"/>
  <c r="BP486" i="3"/>
  <c r="BO486" i="3"/>
  <c r="BN486" i="3"/>
  <c r="BM486" i="3"/>
  <c r="BL486" i="3" s="1"/>
  <c r="BK486" i="3"/>
  <c r="BJ486" i="3"/>
  <c r="BI486" i="3"/>
  <c r="BH486" i="3"/>
  <c r="BG486" i="3"/>
  <c r="BF486" i="3"/>
  <c r="BE486" i="3"/>
  <c r="BD486" i="3"/>
  <c r="BC486" i="3"/>
  <c r="BB486" i="3"/>
  <c r="BA486" i="3" s="1"/>
  <c r="AX486" i="3"/>
  <c r="AW486" i="3"/>
  <c r="AV486" i="3"/>
  <c r="AC486" i="3"/>
  <c r="H486" i="3"/>
  <c r="G486" i="3" s="1"/>
  <c r="BT485" i="3"/>
  <c r="BS485" i="3"/>
  <c r="BR485" i="3"/>
  <c r="BQ485" i="3"/>
  <c r="BP485" i="3"/>
  <c r="BO485" i="3"/>
  <c r="BN485" i="3"/>
  <c r="BM485" i="3"/>
  <c r="BL485" i="3" s="1"/>
  <c r="BK485" i="3"/>
  <c r="BJ485" i="3"/>
  <c r="BI485" i="3"/>
  <c r="BH485" i="3"/>
  <c r="BG485" i="3"/>
  <c r="BF485" i="3"/>
  <c r="BE485" i="3"/>
  <c r="BD485" i="3"/>
  <c r="BC485" i="3"/>
  <c r="BB485" i="3"/>
  <c r="BA485" i="3" s="1"/>
  <c r="AZ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BA484" i="3"/>
  <c r="AZ484" i="3" s="1"/>
  <c r="AX484" i="3"/>
  <c r="AW484" i="3"/>
  <c r="AV484" i="3"/>
  <c r="AC484" i="3"/>
  <c r="H484" i="3"/>
  <c r="G484" i="3" s="1"/>
  <c r="BT483" i="3"/>
  <c r="BS483" i="3"/>
  <c r="BR483" i="3"/>
  <c r="BQ483" i="3"/>
  <c r="BP483" i="3"/>
  <c r="BO483" i="3"/>
  <c r="BN483" i="3"/>
  <c r="BM483" i="3"/>
  <c r="BL483" i="3"/>
  <c r="BK483" i="3"/>
  <c r="BJ483" i="3"/>
  <c r="BI483" i="3"/>
  <c r="BH483" i="3"/>
  <c r="BG483" i="3"/>
  <c r="BF483" i="3"/>
  <c r="BE483" i="3"/>
  <c r="BD483" i="3"/>
  <c r="BC483" i="3"/>
  <c r="BB483" i="3"/>
  <c r="BA483" i="3" s="1"/>
  <c r="AZ483" i="3" s="1"/>
  <c r="AX483" i="3"/>
  <c r="AW483" i="3"/>
  <c r="AV483" i="3"/>
  <c r="AC483" i="3"/>
  <c r="H483" i="3"/>
  <c r="G483" i="3" s="1"/>
  <c r="BT482" i="3"/>
  <c r="BS482" i="3"/>
  <c r="BR482" i="3"/>
  <c r="BQ482" i="3"/>
  <c r="BP482" i="3"/>
  <c r="BO482" i="3"/>
  <c r="BN482" i="3"/>
  <c r="BM482" i="3"/>
  <c r="BL482" i="3" s="1"/>
  <c r="BK482" i="3"/>
  <c r="BJ482" i="3"/>
  <c r="BI482" i="3"/>
  <c r="BH482" i="3"/>
  <c r="BG482" i="3"/>
  <c r="BF482" i="3"/>
  <c r="BE482" i="3"/>
  <c r="BD482" i="3"/>
  <c r="BC482" i="3"/>
  <c r="BB482" i="3"/>
  <c r="BA482" i="3" s="1"/>
  <c r="AZ482" i="3" s="1"/>
  <c r="AX482" i="3"/>
  <c r="AW482" i="3"/>
  <c r="AV482" i="3"/>
  <c r="AC482" i="3"/>
  <c r="H482" i="3"/>
  <c r="G482" i="3" s="1"/>
  <c r="BT481" i="3"/>
  <c r="BS481" i="3"/>
  <c r="BR481" i="3"/>
  <c r="BQ481" i="3"/>
  <c r="BP481" i="3"/>
  <c r="BO481" i="3"/>
  <c r="BN481" i="3"/>
  <c r="BM481" i="3"/>
  <c r="BL481" i="3" s="1"/>
  <c r="BK481" i="3"/>
  <c r="BJ481" i="3"/>
  <c r="BI481" i="3"/>
  <c r="BH481" i="3"/>
  <c r="BG481" i="3"/>
  <c r="BF481" i="3"/>
  <c r="BE481" i="3"/>
  <c r="BD481" i="3"/>
  <c r="BC481" i="3"/>
  <c r="BB481" i="3"/>
  <c r="BA481" i="3" s="1"/>
  <c r="AZ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Z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BA479" i="3" s="1"/>
  <c r="AZ479" i="3" s="1"/>
  <c r="AX479" i="3"/>
  <c r="AW479" i="3"/>
  <c r="AV479" i="3"/>
  <c r="AC479" i="3"/>
  <c r="H479" i="3"/>
  <c r="G479" i="3" s="1"/>
  <c r="BT478" i="3"/>
  <c r="BS478" i="3"/>
  <c r="BR478" i="3"/>
  <c r="BQ478" i="3"/>
  <c r="BP478" i="3"/>
  <c r="BO478" i="3"/>
  <c r="BN478" i="3"/>
  <c r="BM478" i="3"/>
  <c r="BL478" i="3" s="1"/>
  <c r="BK478" i="3"/>
  <c r="BJ478" i="3"/>
  <c r="BI478" i="3"/>
  <c r="BH478" i="3"/>
  <c r="BG478" i="3"/>
  <c r="BF478" i="3"/>
  <c r="BE478" i="3"/>
  <c r="BD478" i="3"/>
  <c r="BC478" i="3"/>
  <c r="BB478" i="3"/>
  <c r="BA478" i="3" s="1"/>
  <c r="AZ478" i="3" s="1"/>
  <c r="AX478" i="3"/>
  <c r="AW478" i="3"/>
  <c r="AV478" i="3"/>
  <c r="AC478" i="3"/>
  <c r="H478" i="3"/>
  <c r="G478" i="3" s="1"/>
  <c r="BT477" i="3"/>
  <c r="BS477" i="3"/>
  <c r="BR477" i="3"/>
  <c r="BQ477" i="3"/>
  <c r="BP477" i="3"/>
  <c r="BO477" i="3"/>
  <c r="BN477" i="3"/>
  <c r="BM477" i="3"/>
  <c r="BL477" i="3" s="1"/>
  <c r="BK477" i="3"/>
  <c r="BJ477" i="3"/>
  <c r="BI477" i="3"/>
  <c r="BH477" i="3"/>
  <c r="BG477" i="3"/>
  <c r="BF477" i="3"/>
  <c r="BE477" i="3"/>
  <c r="BD477" i="3"/>
  <c r="BC477" i="3"/>
  <c r="BB477" i="3"/>
  <c r="BA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X476" i="3"/>
  <c r="AW476" i="3"/>
  <c r="AV476" i="3"/>
  <c r="AC476" i="3"/>
  <c r="H476" i="3"/>
  <c r="G476" i="3" s="1"/>
  <c r="BT475" i="3"/>
  <c r="BS475" i="3"/>
  <c r="BR475" i="3"/>
  <c r="BQ475" i="3"/>
  <c r="BP475" i="3"/>
  <c r="BO475" i="3"/>
  <c r="BN475" i="3"/>
  <c r="BM475" i="3"/>
  <c r="BL475" i="3"/>
  <c r="BK475" i="3"/>
  <c r="BJ475" i="3"/>
  <c r="BI475" i="3"/>
  <c r="BH475" i="3"/>
  <c r="BG475" i="3"/>
  <c r="BF475" i="3"/>
  <c r="BE475" i="3"/>
  <c r="BD475" i="3"/>
  <c r="BC475" i="3"/>
  <c r="BB475" i="3"/>
  <c r="BA475" i="3" s="1"/>
  <c r="AZ475" i="3" s="1"/>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BA474" i="3" s="1"/>
  <c r="AX474" i="3"/>
  <c r="AW474" i="3"/>
  <c r="AV474" i="3"/>
  <c r="AC474" i="3"/>
  <c r="H474" i="3"/>
  <c r="G474" i="3" s="1"/>
  <c r="BT473" i="3"/>
  <c r="BS473" i="3"/>
  <c r="BR473" i="3"/>
  <c r="BQ473" i="3"/>
  <c r="BP473" i="3"/>
  <c r="BO473" i="3"/>
  <c r="BN473" i="3"/>
  <c r="BM473" i="3"/>
  <c r="BL473" i="3" s="1"/>
  <c r="BK473" i="3"/>
  <c r="BJ473" i="3"/>
  <c r="BI473" i="3"/>
  <c r="BH473" i="3"/>
  <c r="BG473" i="3"/>
  <c r="BF473" i="3"/>
  <c r="BE473" i="3"/>
  <c r="BD473" i="3"/>
  <c r="BC473" i="3"/>
  <c r="BB473" i="3"/>
  <c r="BA473" i="3" s="1"/>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G472" i="3" s="1"/>
  <c r="BT471" i="3"/>
  <c r="BS471" i="3"/>
  <c r="BR471" i="3"/>
  <c r="BQ471" i="3"/>
  <c r="BP471" i="3"/>
  <c r="BO471" i="3"/>
  <c r="BN471" i="3"/>
  <c r="BM471" i="3"/>
  <c r="BL471" i="3" s="1"/>
  <c r="BK471" i="3"/>
  <c r="BJ471" i="3"/>
  <c r="BI471" i="3"/>
  <c r="BH471" i="3"/>
  <c r="BG471" i="3"/>
  <c r="BF471" i="3"/>
  <c r="BE471" i="3"/>
  <c r="BD471" i="3"/>
  <c r="BC471" i="3"/>
  <c r="BB471" i="3"/>
  <c r="BA471" i="3" s="1"/>
  <c r="AZ471" i="3" s="1"/>
  <c r="AX471" i="3"/>
  <c r="AW471" i="3"/>
  <c r="AV471" i="3"/>
  <c r="AC471" i="3"/>
  <c r="H471" i="3"/>
  <c r="G471" i="3" s="1"/>
  <c r="BT470" i="3"/>
  <c r="BS470" i="3"/>
  <c r="BR470" i="3"/>
  <c r="BQ470" i="3"/>
  <c r="BP470" i="3"/>
  <c r="BO470" i="3"/>
  <c r="BN470" i="3"/>
  <c r="BM470" i="3"/>
  <c r="BL470" i="3" s="1"/>
  <c r="BK470" i="3"/>
  <c r="BJ470" i="3"/>
  <c r="BI470" i="3"/>
  <c r="BH470" i="3"/>
  <c r="BG470" i="3"/>
  <c r="BF470" i="3"/>
  <c r="BE470" i="3"/>
  <c r="BD470" i="3"/>
  <c r="BC470" i="3"/>
  <c r="BB470" i="3"/>
  <c r="BA470" i="3" s="1"/>
  <c r="AZ470" i="3" s="1"/>
  <c r="AX470" i="3"/>
  <c r="AW470" i="3"/>
  <c r="AV470" i="3"/>
  <c r="AC470" i="3"/>
  <c r="H470" i="3"/>
  <c r="G470" i="3"/>
  <c r="BT469" i="3"/>
  <c r="BS469" i="3"/>
  <c r="BR469" i="3"/>
  <c r="BQ469" i="3"/>
  <c r="BP469" i="3"/>
  <c r="BO469" i="3"/>
  <c r="BN469" i="3"/>
  <c r="BM469" i="3"/>
  <c r="BL469" i="3" s="1"/>
  <c r="BK469" i="3"/>
  <c r="BJ469" i="3"/>
  <c r="BI469" i="3"/>
  <c r="BH469" i="3"/>
  <c r="BG469" i="3"/>
  <c r="BF469" i="3"/>
  <c r="BE469" i="3"/>
  <c r="BD469" i="3"/>
  <c r="BC469" i="3"/>
  <c r="BB469" i="3"/>
  <c r="BA469" i="3" s="1"/>
  <c r="AZ469" i="3" s="1"/>
  <c r="AX469" i="3"/>
  <c r="AW469" i="3"/>
  <c r="AV469" i="3"/>
  <c r="AC469" i="3"/>
  <c r="H469" i="3"/>
  <c r="G469" i="3" s="1"/>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s="1"/>
  <c r="BT467" i="3"/>
  <c r="BS467" i="3"/>
  <c r="BR467" i="3"/>
  <c r="BQ467" i="3"/>
  <c r="BP467" i="3"/>
  <c r="BO467" i="3"/>
  <c r="BN467" i="3"/>
  <c r="BM467" i="3"/>
  <c r="BL467" i="3" s="1"/>
  <c r="BK467" i="3"/>
  <c r="BJ467" i="3"/>
  <c r="BI467" i="3"/>
  <c r="BH467" i="3"/>
  <c r="BG467" i="3"/>
  <c r="BF467" i="3"/>
  <c r="BE467" i="3"/>
  <c r="BD467" i="3"/>
  <c r="BC467" i="3"/>
  <c r="BB467" i="3"/>
  <c r="BA467" i="3" s="1"/>
  <c r="AX467" i="3"/>
  <c r="AW467" i="3"/>
  <c r="AV467" i="3"/>
  <c r="AC467" i="3"/>
  <c r="H467" i="3"/>
  <c r="G467" i="3" s="1"/>
  <c r="BT466" i="3"/>
  <c r="BS466" i="3"/>
  <c r="BR466" i="3"/>
  <c r="BQ466" i="3"/>
  <c r="BP466" i="3"/>
  <c r="BO466" i="3"/>
  <c r="BN466" i="3"/>
  <c r="BM466" i="3"/>
  <c r="BL466" i="3" s="1"/>
  <c r="BK466" i="3"/>
  <c r="BJ466" i="3"/>
  <c r="BI466" i="3"/>
  <c r="BH466" i="3"/>
  <c r="BG466" i="3"/>
  <c r="BF466" i="3"/>
  <c r="BE466" i="3"/>
  <c r="BD466" i="3"/>
  <c r="BC466" i="3"/>
  <c r="BB466" i="3"/>
  <c r="BA466" i="3" s="1"/>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X465" i="3"/>
  <c r="AW465" i="3"/>
  <c r="AV465" i="3"/>
  <c r="AC465" i="3"/>
  <c r="H465" i="3"/>
  <c r="G465" i="3" s="1"/>
  <c r="BT464" i="3"/>
  <c r="BS464" i="3"/>
  <c r="BR464" i="3"/>
  <c r="BQ464" i="3"/>
  <c r="BP464" i="3"/>
  <c r="BO464" i="3"/>
  <c r="BN464" i="3"/>
  <c r="BL464" i="3" s="1"/>
  <c r="BM464" i="3"/>
  <c r="BK464" i="3"/>
  <c r="BJ464" i="3"/>
  <c r="BI464" i="3"/>
  <c r="BH464" i="3"/>
  <c r="BG464" i="3"/>
  <c r="BF464" i="3"/>
  <c r="BE464" i="3"/>
  <c r="BD464" i="3"/>
  <c r="BC464" i="3"/>
  <c r="BB464" i="3"/>
  <c r="BA464" i="3" s="1"/>
  <c r="AZ464" i="3" s="1"/>
  <c r="AX464" i="3"/>
  <c r="AW464" i="3"/>
  <c r="AV464" i="3"/>
  <c r="AC464" i="3"/>
  <c r="H464" i="3"/>
  <c r="G464" i="3" s="1"/>
  <c r="BT463" i="3"/>
  <c r="BS463" i="3"/>
  <c r="BR463" i="3"/>
  <c r="BQ463" i="3"/>
  <c r="BP463" i="3"/>
  <c r="BO463" i="3"/>
  <c r="BN463" i="3"/>
  <c r="BM463" i="3"/>
  <c r="BL463" i="3" s="1"/>
  <c r="BK463" i="3"/>
  <c r="BJ463" i="3"/>
  <c r="BI463" i="3"/>
  <c r="BH463" i="3"/>
  <c r="BG463" i="3"/>
  <c r="BF463" i="3"/>
  <c r="BE463" i="3"/>
  <c r="BD463" i="3"/>
  <c r="BC463" i="3"/>
  <c r="BB463" i="3"/>
  <c r="BA463" i="3" s="1"/>
  <c r="AZ463" i="3" s="1"/>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s="1"/>
  <c r="AZ462" i="3" s="1"/>
  <c r="AX462" i="3"/>
  <c r="AW462" i="3"/>
  <c r="AV462" i="3"/>
  <c r="AC462" i="3"/>
  <c r="G462" i="3" s="1"/>
  <c r="H462" i="3"/>
  <c r="BT461" i="3"/>
  <c r="BS461" i="3"/>
  <c r="BR461" i="3"/>
  <c r="BQ461" i="3"/>
  <c r="BP461" i="3"/>
  <c r="BO461" i="3"/>
  <c r="BN461" i="3"/>
  <c r="BM461" i="3"/>
  <c r="BL461" i="3"/>
  <c r="BK461" i="3"/>
  <c r="BJ461" i="3"/>
  <c r="BI461" i="3"/>
  <c r="BH461" i="3"/>
  <c r="BG461" i="3"/>
  <c r="BF461" i="3"/>
  <c r="BE461" i="3"/>
  <c r="BD461" i="3"/>
  <c r="BC461" i="3"/>
  <c r="BA461" i="3" s="1"/>
  <c r="AZ461" i="3" s="1"/>
  <c r="BB461" i="3"/>
  <c r="AX461" i="3"/>
  <c r="AW461" i="3"/>
  <c r="AV461" i="3"/>
  <c r="AC461" i="3"/>
  <c r="H461" i="3"/>
  <c r="G461" i="3" s="1"/>
  <c r="BT460" i="3"/>
  <c r="BS460" i="3"/>
  <c r="BR460" i="3"/>
  <c r="BQ460" i="3"/>
  <c r="BP460" i="3"/>
  <c r="BO460" i="3"/>
  <c r="BN460" i="3"/>
  <c r="BL460" i="3" s="1"/>
  <c r="BM460" i="3"/>
  <c r="BK460" i="3"/>
  <c r="BJ460" i="3"/>
  <c r="BI460" i="3"/>
  <c r="BH460" i="3"/>
  <c r="BG460" i="3"/>
  <c r="BF460" i="3"/>
  <c r="BE460" i="3"/>
  <c r="BD460" i="3"/>
  <c r="BC460" i="3"/>
  <c r="BB460" i="3"/>
  <c r="BA460" i="3" s="1"/>
  <c r="AX460" i="3"/>
  <c r="AW460" i="3"/>
  <c r="AV460" i="3"/>
  <c r="AC460" i="3"/>
  <c r="H460" i="3"/>
  <c r="G460" i="3" s="1"/>
  <c r="BT459" i="3"/>
  <c r="BS459" i="3"/>
  <c r="BR459" i="3"/>
  <c r="BQ459" i="3"/>
  <c r="BP459" i="3"/>
  <c r="BO459" i="3"/>
  <c r="BN459" i="3"/>
  <c r="BM459" i="3"/>
  <c r="BL459" i="3" s="1"/>
  <c r="BK459" i="3"/>
  <c r="BJ459" i="3"/>
  <c r="BI459" i="3"/>
  <c r="BH459" i="3"/>
  <c r="BG459" i="3"/>
  <c r="BF459" i="3"/>
  <c r="BE459" i="3"/>
  <c r="BD459" i="3"/>
  <c r="BC459" i="3"/>
  <c r="BB459" i="3"/>
  <c r="BA459" i="3" s="1"/>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s="1"/>
  <c r="AX458" i="3"/>
  <c r="AW458" i="3"/>
  <c r="AV458" i="3"/>
  <c r="AC458" i="3"/>
  <c r="G458" i="3" s="1"/>
  <c r="H458" i="3"/>
  <c r="BT457" i="3"/>
  <c r="BS457" i="3"/>
  <c r="BR457" i="3"/>
  <c r="BQ457" i="3"/>
  <c r="BP457" i="3"/>
  <c r="BO457" i="3"/>
  <c r="BN457" i="3"/>
  <c r="BM457" i="3"/>
  <c r="BL457" i="3"/>
  <c r="BK457" i="3"/>
  <c r="BJ457" i="3"/>
  <c r="BI457" i="3"/>
  <c r="BH457" i="3"/>
  <c r="BG457" i="3"/>
  <c r="BF457" i="3"/>
  <c r="BE457" i="3"/>
  <c r="BD457" i="3"/>
  <c r="BC457" i="3"/>
  <c r="BA457" i="3" s="1"/>
  <c r="BB457" i="3"/>
  <c r="AX457" i="3"/>
  <c r="AW457" i="3"/>
  <c r="AV457" i="3"/>
  <c r="AC457" i="3"/>
  <c r="H457" i="3"/>
  <c r="G457" i="3" s="1"/>
  <c r="BT456" i="3"/>
  <c r="BS456" i="3"/>
  <c r="BR456" i="3"/>
  <c r="BQ456" i="3"/>
  <c r="BP456" i="3"/>
  <c r="BO456" i="3"/>
  <c r="BN456" i="3"/>
  <c r="BM456" i="3"/>
  <c r="BL456" i="3" s="1"/>
  <c r="BK456" i="3"/>
  <c r="BJ456" i="3"/>
  <c r="BI456" i="3"/>
  <c r="BH456" i="3"/>
  <c r="BG456" i="3"/>
  <c r="BF456" i="3"/>
  <c r="BE456" i="3"/>
  <c r="BD456" i="3"/>
  <c r="BC456" i="3"/>
  <c r="BB456" i="3"/>
  <c r="BA456" i="3" s="1"/>
  <c r="AX456" i="3"/>
  <c r="AW456" i="3"/>
  <c r="AV456" i="3"/>
  <c r="AC456" i="3"/>
  <c r="H456" i="3"/>
  <c r="G456" i="3"/>
  <c r="BT455" i="3"/>
  <c r="BS455" i="3"/>
  <c r="BR455" i="3"/>
  <c r="BQ455" i="3"/>
  <c r="BP455" i="3"/>
  <c r="BO455" i="3"/>
  <c r="BN455" i="3"/>
  <c r="BM455" i="3"/>
  <c r="BL455" i="3" s="1"/>
  <c r="BK455" i="3"/>
  <c r="BJ455" i="3"/>
  <c r="BI455" i="3"/>
  <c r="BH455" i="3"/>
  <c r="BG455" i="3"/>
  <c r="BF455" i="3"/>
  <c r="BE455" i="3"/>
  <c r="BD455" i="3"/>
  <c r="BC455" i="3"/>
  <c r="BB455" i="3"/>
  <c r="BA455" i="3"/>
  <c r="AX455" i="3"/>
  <c r="AW455" i="3"/>
  <c r="AV455" i="3"/>
  <c r="AC455" i="3"/>
  <c r="G455" i="3" s="1"/>
  <c r="H455" i="3"/>
  <c r="BT454" i="3"/>
  <c r="BS454" i="3"/>
  <c r="BR454" i="3"/>
  <c r="BQ454" i="3"/>
  <c r="BP454" i="3"/>
  <c r="BO454" i="3"/>
  <c r="BN454" i="3"/>
  <c r="BM454" i="3"/>
  <c r="BL454" i="3"/>
  <c r="BK454" i="3"/>
  <c r="BJ454" i="3"/>
  <c r="BI454" i="3"/>
  <c r="BH454" i="3"/>
  <c r="BG454" i="3"/>
  <c r="BF454" i="3"/>
  <c r="BE454" i="3"/>
  <c r="BD454" i="3"/>
  <c r="BC454" i="3"/>
  <c r="BB454" i="3"/>
  <c r="BA454" i="3"/>
  <c r="AZ454" i="3" s="1"/>
  <c r="AX454" i="3"/>
  <c r="AW454" i="3"/>
  <c r="AV454" i="3"/>
  <c r="AC454" i="3"/>
  <c r="H454" i="3"/>
  <c r="G454" i="3" s="1"/>
  <c r="BT453" i="3"/>
  <c r="BS453" i="3"/>
  <c r="BR453" i="3"/>
  <c r="BQ453" i="3"/>
  <c r="BP453" i="3"/>
  <c r="BO453" i="3"/>
  <c r="BN453" i="3"/>
  <c r="BL453" i="3" s="1"/>
  <c r="BM453" i="3"/>
  <c r="BK453" i="3"/>
  <c r="BJ453" i="3"/>
  <c r="BI453" i="3"/>
  <c r="BH453" i="3"/>
  <c r="BG453" i="3"/>
  <c r="BF453" i="3"/>
  <c r="BE453" i="3"/>
  <c r="BD453" i="3"/>
  <c r="BC453" i="3"/>
  <c r="BB453" i="3"/>
  <c r="BA453" i="3" s="1"/>
  <c r="AX453" i="3"/>
  <c r="AW453" i="3"/>
  <c r="AV453" i="3"/>
  <c r="AC453" i="3"/>
  <c r="H453" i="3"/>
  <c r="G453" i="3" s="1"/>
  <c r="BT452" i="3"/>
  <c r="BS452" i="3"/>
  <c r="BR452" i="3"/>
  <c r="BQ452" i="3"/>
  <c r="BP452" i="3"/>
  <c r="BO452" i="3"/>
  <c r="BN452" i="3"/>
  <c r="BM452" i="3"/>
  <c r="BL452" i="3" s="1"/>
  <c r="BK452" i="3"/>
  <c r="BJ452" i="3"/>
  <c r="BI452" i="3"/>
  <c r="BH452" i="3"/>
  <c r="BG452" i="3"/>
  <c r="BF452" i="3"/>
  <c r="BE452" i="3"/>
  <c r="BD452" i="3"/>
  <c r="BC452" i="3"/>
  <c r="BB452" i="3"/>
  <c r="BA452" i="3" s="1"/>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s="1"/>
  <c r="AX451" i="3"/>
  <c r="AW451" i="3"/>
  <c r="AV451" i="3"/>
  <c r="AC451" i="3"/>
  <c r="G451" i="3" s="1"/>
  <c r="H451" i="3"/>
  <c r="BT450" i="3"/>
  <c r="BS450" i="3"/>
  <c r="BR450" i="3"/>
  <c r="BQ450" i="3"/>
  <c r="BP450" i="3"/>
  <c r="BO450" i="3"/>
  <c r="BN450" i="3"/>
  <c r="BM450" i="3"/>
  <c r="BL450" i="3"/>
  <c r="BK450" i="3"/>
  <c r="BJ450" i="3"/>
  <c r="BI450" i="3"/>
  <c r="BH450" i="3"/>
  <c r="BG450" i="3"/>
  <c r="BF450" i="3"/>
  <c r="BE450" i="3"/>
  <c r="BD450" i="3"/>
  <c r="BC450" i="3"/>
  <c r="BB450" i="3"/>
  <c r="BA450" i="3"/>
  <c r="AZ450" i="3" s="1"/>
  <c r="AX450" i="3"/>
  <c r="AW450" i="3"/>
  <c r="AV450" i="3"/>
  <c r="AC450" i="3"/>
  <c r="H450" i="3"/>
  <c r="G450" i="3" s="1"/>
  <c r="BT449" i="3"/>
  <c r="BS449" i="3"/>
  <c r="BR449" i="3"/>
  <c r="BQ449" i="3"/>
  <c r="BP449" i="3"/>
  <c r="BO449" i="3"/>
  <c r="BN449" i="3"/>
  <c r="BL449" i="3" s="1"/>
  <c r="BM449" i="3"/>
  <c r="BK449" i="3"/>
  <c r="BJ449" i="3"/>
  <c r="BI449" i="3"/>
  <c r="BH449" i="3"/>
  <c r="BG449" i="3"/>
  <c r="BF449" i="3"/>
  <c r="BE449" i="3"/>
  <c r="BD449" i="3"/>
  <c r="BC449" i="3"/>
  <c r="BB449" i="3"/>
  <c r="BA449" i="3" s="1"/>
  <c r="AZ449" i="3" s="1"/>
  <c r="AX449" i="3"/>
  <c r="AW449" i="3"/>
  <c r="AV449" i="3"/>
  <c r="AC449" i="3"/>
  <c r="H449" i="3"/>
  <c r="G449" i="3" s="1"/>
  <c r="BT448" i="3"/>
  <c r="BS448" i="3"/>
  <c r="BR448" i="3"/>
  <c r="BQ448" i="3"/>
  <c r="BP448" i="3"/>
  <c r="BO448" i="3"/>
  <c r="BN448" i="3"/>
  <c r="BM448" i="3"/>
  <c r="BL448" i="3" s="1"/>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Z447" i="3" s="1"/>
  <c r="AX447" i="3"/>
  <c r="AW447" i="3"/>
  <c r="AV447" i="3"/>
  <c r="AC447" i="3"/>
  <c r="G447" i="3" s="1"/>
  <c r="H447" i="3"/>
  <c r="BT446" i="3"/>
  <c r="BS446" i="3"/>
  <c r="BR446" i="3"/>
  <c r="BQ446" i="3"/>
  <c r="BP446" i="3"/>
  <c r="BO446" i="3"/>
  <c r="BN446" i="3"/>
  <c r="BM446" i="3"/>
  <c r="BL446" i="3"/>
  <c r="BK446" i="3"/>
  <c r="BJ446" i="3"/>
  <c r="BI446" i="3"/>
  <c r="BH446" i="3"/>
  <c r="BG446" i="3"/>
  <c r="BF446" i="3"/>
  <c r="BE446" i="3"/>
  <c r="BD446" i="3"/>
  <c r="BC446" i="3"/>
  <c r="BB446" i="3"/>
  <c r="BA446" i="3"/>
  <c r="AZ446" i="3" s="1"/>
  <c r="AX446" i="3"/>
  <c r="AW446" i="3"/>
  <c r="AV446" i="3"/>
  <c r="AC446" i="3"/>
  <c r="H446" i="3"/>
  <c r="G446" i="3" s="1"/>
  <c r="BT445" i="3"/>
  <c r="BS445" i="3"/>
  <c r="BR445" i="3"/>
  <c r="BQ445" i="3"/>
  <c r="BP445" i="3"/>
  <c r="BO445" i="3"/>
  <c r="BN445" i="3"/>
  <c r="BL445" i="3" s="1"/>
  <c r="BM445" i="3"/>
  <c r="BK445" i="3"/>
  <c r="BJ445" i="3"/>
  <c r="BI445" i="3"/>
  <c r="BH445" i="3"/>
  <c r="BG445" i="3"/>
  <c r="BF445" i="3"/>
  <c r="BE445" i="3"/>
  <c r="BD445" i="3"/>
  <c r="BC445" i="3"/>
  <c r="BB445" i="3"/>
  <c r="BA445" i="3" s="1"/>
  <c r="AZ445" i="3" s="1"/>
  <c r="AX445" i="3"/>
  <c r="AW445" i="3"/>
  <c r="AV445" i="3"/>
  <c r="AC445" i="3"/>
  <c r="H445" i="3"/>
  <c r="G445" i="3" s="1"/>
  <c r="BT444" i="3"/>
  <c r="BS444" i="3"/>
  <c r="BR444" i="3"/>
  <c r="BQ444" i="3"/>
  <c r="BP444" i="3"/>
  <c r="BO444" i="3"/>
  <c r="BN444" i="3"/>
  <c r="BM444" i="3"/>
  <c r="BL444" i="3" s="1"/>
  <c r="BK444" i="3"/>
  <c r="BJ444" i="3"/>
  <c r="BI444" i="3"/>
  <c r="BH444" i="3"/>
  <c r="BG444" i="3"/>
  <c r="BF444" i="3"/>
  <c r="BE444" i="3"/>
  <c r="BD444" i="3"/>
  <c r="BC444" i="3"/>
  <c r="BB444" i="3"/>
  <c r="BA444" i="3" s="1"/>
  <c r="AZ444" i="3" s="1"/>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s="1"/>
  <c r="AZ443" i="3" s="1"/>
  <c r="AX443" i="3"/>
  <c r="AW443" i="3"/>
  <c r="AV443" i="3"/>
  <c r="AC443" i="3"/>
  <c r="G443" i="3" s="1"/>
  <c r="H443" i="3"/>
  <c r="BT442" i="3"/>
  <c r="BS442" i="3"/>
  <c r="BR442" i="3"/>
  <c r="BQ442" i="3"/>
  <c r="BP442" i="3"/>
  <c r="BO442" i="3"/>
  <c r="BN442" i="3"/>
  <c r="BM442" i="3"/>
  <c r="BL442" i="3"/>
  <c r="BK442" i="3"/>
  <c r="BJ442" i="3"/>
  <c r="BI442" i="3"/>
  <c r="BH442" i="3"/>
  <c r="BG442" i="3"/>
  <c r="BF442" i="3"/>
  <c r="BE442" i="3"/>
  <c r="BD442" i="3"/>
  <c r="BC442" i="3"/>
  <c r="BB442" i="3"/>
  <c r="BA442" i="3"/>
  <c r="AZ442" i="3" s="1"/>
  <c r="AX442" i="3"/>
  <c r="AW442" i="3"/>
  <c r="AV442" i="3"/>
  <c r="AC442" i="3"/>
  <c r="H442" i="3"/>
  <c r="G442" i="3" s="1"/>
  <c r="BT441" i="3"/>
  <c r="BS441" i="3"/>
  <c r="BR441" i="3"/>
  <c r="BQ441" i="3"/>
  <c r="BP441" i="3"/>
  <c r="BO441" i="3"/>
  <c r="BN441" i="3"/>
  <c r="BL441" i="3" s="1"/>
  <c r="BM441" i="3"/>
  <c r="BK441" i="3"/>
  <c r="BJ441" i="3"/>
  <c r="BI441" i="3"/>
  <c r="BH441" i="3"/>
  <c r="BG441" i="3"/>
  <c r="BF441" i="3"/>
  <c r="BE441" i="3"/>
  <c r="BD441" i="3"/>
  <c r="BC441" i="3"/>
  <c r="BB441" i="3"/>
  <c r="BA441" i="3" s="1"/>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BA440" i="3"/>
  <c r="AZ440" i="3" s="1"/>
  <c r="AX440" i="3"/>
  <c r="AW440" i="3"/>
  <c r="AV440" i="3"/>
  <c r="AC440" i="3"/>
  <c r="G440" i="3" s="1"/>
  <c r="H440" i="3"/>
  <c r="BT439" i="3"/>
  <c r="BS439" i="3"/>
  <c r="BR439" i="3"/>
  <c r="BQ439" i="3"/>
  <c r="BP439" i="3"/>
  <c r="BO439" i="3"/>
  <c r="BN439" i="3"/>
  <c r="BM439" i="3"/>
  <c r="BL439" i="3"/>
  <c r="BK439" i="3"/>
  <c r="BJ439" i="3"/>
  <c r="BI439" i="3"/>
  <c r="BH439" i="3"/>
  <c r="BG439" i="3"/>
  <c r="BF439" i="3"/>
  <c r="BE439" i="3"/>
  <c r="BD439" i="3"/>
  <c r="BC439" i="3"/>
  <c r="BA439" i="3" s="1"/>
  <c r="AZ439" i="3" s="1"/>
  <c r="BB439" i="3"/>
  <c r="AX439" i="3"/>
  <c r="AW439" i="3"/>
  <c r="AV439" i="3"/>
  <c r="AC439" i="3"/>
  <c r="H439" i="3"/>
  <c r="G439" i="3" s="1"/>
  <c r="BT438" i="3"/>
  <c r="BS438" i="3"/>
  <c r="BR438" i="3"/>
  <c r="BQ438" i="3"/>
  <c r="BP438" i="3"/>
  <c r="BO438" i="3"/>
  <c r="BN438" i="3"/>
  <c r="BL438" i="3" s="1"/>
  <c r="BM438" i="3"/>
  <c r="BK438" i="3"/>
  <c r="BJ438" i="3"/>
  <c r="BI438" i="3"/>
  <c r="BH438" i="3"/>
  <c r="BG438" i="3"/>
  <c r="BF438" i="3"/>
  <c r="BE438" i="3"/>
  <c r="BD438" i="3"/>
  <c r="BC438" i="3"/>
  <c r="BA438" i="3" s="1"/>
  <c r="AZ438" i="3" s="1"/>
  <c r="BB438" i="3"/>
  <c r="AX438" i="3"/>
  <c r="AW438" i="3"/>
  <c r="AV438" i="3"/>
  <c r="AC438" i="3"/>
  <c r="H438" i="3"/>
  <c r="G438" i="3" s="1"/>
  <c r="BT437" i="3"/>
  <c r="BS437" i="3"/>
  <c r="BR437" i="3"/>
  <c r="BQ437" i="3"/>
  <c r="BP437" i="3"/>
  <c r="BO437" i="3"/>
  <c r="BN437" i="3"/>
  <c r="BM437" i="3"/>
  <c r="BL437" i="3" s="1"/>
  <c r="BK437" i="3"/>
  <c r="BJ437" i="3"/>
  <c r="BI437" i="3"/>
  <c r="BH437" i="3"/>
  <c r="BG437" i="3"/>
  <c r="BF437" i="3"/>
  <c r="BE437" i="3"/>
  <c r="BD437" i="3"/>
  <c r="BC437" i="3"/>
  <c r="BB437" i="3"/>
  <c r="BA437" i="3" s="1"/>
  <c r="AX437" i="3"/>
  <c r="AW437" i="3"/>
  <c r="AV437" i="3"/>
  <c r="AC437" i="3"/>
  <c r="G437" i="3" s="1"/>
  <c r="H437" i="3"/>
  <c r="BT436" i="3"/>
  <c r="BS436" i="3"/>
  <c r="BR436" i="3"/>
  <c r="BQ436" i="3"/>
  <c r="BP436" i="3"/>
  <c r="BO436" i="3"/>
  <c r="BN436" i="3"/>
  <c r="BM436" i="3"/>
  <c r="BL436" i="3"/>
  <c r="BK436" i="3"/>
  <c r="BJ436" i="3"/>
  <c r="BI436" i="3"/>
  <c r="BH436" i="3"/>
  <c r="BG436" i="3"/>
  <c r="BF436" i="3"/>
  <c r="BE436" i="3"/>
  <c r="BD436" i="3"/>
  <c r="BC436" i="3"/>
  <c r="BA436" i="3" s="1"/>
  <c r="AZ436" i="3" s="1"/>
  <c r="BB436" i="3"/>
  <c r="AX436" i="3"/>
  <c r="AW436" i="3"/>
  <c r="AV436" i="3"/>
  <c r="AC436" i="3"/>
  <c r="H436" i="3"/>
  <c r="G436" i="3" s="1"/>
  <c r="BT435" i="3"/>
  <c r="BS435" i="3"/>
  <c r="BR435" i="3"/>
  <c r="BQ435" i="3"/>
  <c r="BP435" i="3"/>
  <c r="BO435" i="3"/>
  <c r="BN435" i="3"/>
  <c r="BL435" i="3" s="1"/>
  <c r="BM435" i="3"/>
  <c r="BK435" i="3"/>
  <c r="BJ435" i="3"/>
  <c r="BI435" i="3"/>
  <c r="BH435" i="3"/>
  <c r="BG435" i="3"/>
  <c r="BF435" i="3"/>
  <c r="BE435" i="3"/>
  <c r="BD435" i="3"/>
  <c r="BC435" i="3"/>
  <c r="BA435" i="3" s="1"/>
  <c r="BB435" i="3"/>
  <c r="AX435" i="3"/>
  <c r="AW435" i="3"/>
  <c r="AV435" i="3"/>
  <c r="AC435" i="3"/>
  <c r="H435" i="3"/>
  <c r="G435" i="3" s="1"/>
  <c r="BT434" i="3"/>
  <c r="BS434" i="3"/>
  <c r="BR434" i="3"/>
  <c r="BQ434" i="3"/>
  <c r="BP434" i="3"/>
  <c r="BO434" i="3"/>
  <c r="BN434" i="3"/>
  <c r="BM434" i="3"/>
  <c r="BL434" i="3" s="1"/>
  <c r="BK434" i="3"/>
  <c r="BJ434" i="3"/>
  <c r="BI434" i="3"/>
  <c r="BH434" i="3"/>
  <c r="BG434" i="3"/>
  <c r="BF434" i="3"/>
  <c r="BE434" i="3"/>
  <c r="BD434" i="3"/>
  <c r="BC434" i="3"/>
  <c r="BB434" i="3"/>
  <c r="BA434" i="3" s="1"/>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c r="AX433" i="3"/>
  <c r="AW433" i="3"/>
  <c r="AV433" i="3"/>
  <c r="AC433" i="3"/>
  <c r="H433" i="3"/>
  <c r="G433" i="3" s="1"/>
  <c r="BT432" i="3"/>
  <c r="BS432" i="3"/>
  <c r="BR432" i="3"/>
  <c r="BQ432" i="3"/>
  <c r="BP432" i="3"/>
  <c r="BO432" i="3"/>
  <c r="BN432" i="3"/>
  <c r="BL432" i="3" s="1"/>
  <c r="BM432" i="3"/>
  <c r="BK432" i="3"/>
  <c r="BJ432" i="3"/>
  <c r="BI432" i="3"/>
  <c r="BH432" i="3"/>
  <c r="BG432" i="3"/>
  <c r="BF432" i="3"/>
  <c r="BE432" i="3"/>
  <c r="BD432" i="3"/>
  <c r="BC432" i="3"/>
  <c r="BB432" i="3"/>
  <c r="BA432" i="3" s="1"/>
  <c r="AZ432" i="3" s="1"/>
  <c r="AX432" i="3"/>
  <c r="AW432" i="3"/>
  <c r="AV432" i="3"/>
  <c r="AC432" i="3"/>
  <c r="H432" i="3"/>
  <c r="G432" i="3" s="1"/>
  <c r="BT431" i="3"/>
  <c r="BS431" i="3"/>
  <c r="BR431" i="3"/>
  <c r="BQ431" i="3"/>
  <c r="BP431" i="3"/>
  <c r="BO431" i="3"/>
  <c r="BN431" i="3"/>
  <c r="BM431" i="3"/>
  <c r="BL431" i="3" s="1"/>
  <c r="BK431" i="3"/>
  <c r="BJ431" i="3"/>
  <c r="BI431" i="3"/>
  <c r="BH431" i="3"/>
  <c r="BG431" i="3"/>
  <c r="BF431" i="3"/>
  <c r="BE431" i="3"/>
  <c r="BD431" i="3"/>
  <c r="BC431" i="3"/>
  <c r="BB431" i="3"/>
  <c r="BA431" i="3" s="1"/>
  <c r="AZ431" i="3" s="1"/>
  <c r="AX431" i="3"/>
  <c r="AW431" i="3"/>
  <c r="AV431" i="3"/>
  <c r="AC431" i="3"/>
  <c r="H431" i="3"/>
  <c r="G431" i="3"/>
  <c r="BT430" i="3"/>
  <c r="BS430" i="3"/>
  <c r="BR430" i="3"/>
  <c r="BQ430" i="3"/>
  <c r="BP430" i="3"/>
  <c r="BO430" i="3"/>
  <c r="BN430" i="3"/>
  <c r="BM430" i="3"/>
  <c r="BL430" i="3" s="1"/>
  <c r="BK430" i="3"/>
  <c r="BJ430" i="3"/>
  <c r="BI430" i="3"/>
  <c r="BH430" i="3"/>
  <c r="BG430" i="3"/>
  <c r="BF430" i="3"/>
  <c r="BE430" i="3"/>
  <c r="BD430" i="3"/>
  <c r="BC430" i="3"/>
  <c r="BB430" i="3"/>
  <c r="BA430" i="3"/>
  <c r="AZ430" i="3" s="1"/>
  <c r="AX430" i="3"/>
  <c r="AW430" i="3"/>
  <c r="AV430" i="3"/>
  <c r="AC430" i="3"/>
  <c r="G430" i="3" s="1"/>
  <c r="H430" i="3"/>
  <c r="BT429" i="3"/>
  <c r="BS429" i="3"/>
  <c r="BR429" i="3"/>
  <c r="BQ429" i="3"/>
  <c r="BP429" i="3"/>
  <c r="BO429" i="3"/>
  <c r="BN429" i="3"/>
  <c r="BM429" i="3"/>
  <c r="BL429" i="3"/>
  <c r="BK429" i="3"/>
  <c r="BJ429" i="3"/>
  <c r="BI429" i="3"/>
  <c r="BH429" i="3"/>
  <c r="BG429" i="3"/>
  <c r="BF429" i="3"/>
  <c r="BE429" i="3"/>
  <c r="BD429" i="3"/>
  <c r="BC429" i="3"/>
  <c r="BA429" i="3" s="1"/>
  <c r="AZ429" i="3" s="1"/>
  <c r="BB429" i="3"/>
  <c r="AX429" i="3"/>
  <c r="AW429" i="3"/>
  <c r="AV429" i="3"/>
  <c r="AC429" i="3"/>
  <c r="H429" i="3"/>
  <c r="G429" i="3" s="1"/>
  <c r="BT428" i="3"/>
  <c r="BS428" i="3"/>
  <c r="BR428" i="3"/>
  <c r="BQ428" i="3"/>
  <c r="BP428" i="3"/>
  <c r="BO428" i="3"/>
  <c r="BN428" i="3"/>
  <c r="BL428" i="3" s="1"/>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Z427" i="3" s="1"/>
  <c r="AX427" i="3"/>
  <c r="AW427" i="3"/>
  <c r="AV427" i="3"/>
  <c r="AC427" i="3"/>
  <c r="G427" i="3" s="1"/>
  <c r="H427" i="3"/>
  <c r="BT426" i="3"/>
  <c r="BS426" i="3"/>
  <c r="BR426" i="3"/>
  <c r="BQ426" i="3"/>
  <c r="BP426" i="3"/>
  <c r="BO426" i="3"/>
  <c r="BN426" i="3"/>
  <c r="BM426" i="3"/>
  <c r="BL426" i="3"/>
  <c r="BK426" i="3"/>
  <c r="BJ426" i="3"/>
  <c r="BI426" i="3"/>
  <c r="BH426" i="3"/>
  <c r="BG426" i="3"/>
  <c r="BF426" i="3"/>
  <c r="BE426" i="3"/>
  <c r="BD426" i="3"/>
  <c r="BC426" i="3"/>
  <c r="BA426" i="3" s="1"/>
  <c r="AZ426" i="3" s="1"/>
  <c r="BB426" i="3"/>
  <c r="AX426" i="3"/>
  <c r="AW426" i="3"/>
  <c r="AV426" i="3"/>
  <c r="AC426" i="3"/>
  <c r="H426" i="3"/>
  <c r="G426" i="3" s="1"/>
  <c r="BT425" i="3"/>
  <c r="BS425" i="3"/>
  <c r="BR425" i="3"/>
  <c r="BQ425" i="3"/>
  <c r="BP425" i="3"/>
  <c r="BO425" i="3"/>
  <c r="BN425" i="3"/>
  <c r="BL425" i="3" s="1"/>
  <c r="BM425" i="3"/>
  <c r="BK425" i="3"/>
  <c r="BJ425" i="3"/>
  <c r="BI425" i="3"/>
  <c r="BH425" i="3"/>
  <c r="BG425" i="3"/>
  <c r="BF425" i="3"/>
  <c r="BE425" i="3"/>
  <c r="BD425" i="3"/>
  <c r="BC425" i="3"/>
  <c r="BB425" i="3"/>
  <c r="BA425" i="3" s="1"/>
  <c r="AZ425" i="3" s="1"/>
  <c r="AX425" i="3"/>
  <c r="AW425" i="3"/>
  <c r="AV425" i="3"/>
  <c r="AC425" i="3"/>
  <c r="H425" i="3"/>
  <c r="G425" i="3" s="1"/>
  <c r="BT424" i="3"/>
  <c r="BS424" i="3"/>
  <c r="BR424" i="3"/>
  <c r="BQ424" i="3"/>
  <c r="BP424" i="3"/>
  <c r="BO424" i="3"/>
  <c r="BN424" i="3"/>
  <c r="BM424" i="3"/>
  <c r="BL424" i="3" s="1"/>
  <c r="BK424" i="3"/>
  <c r="BJ424" i="3"/>
  <c r="BI424" i="3"/>
  <c r="BH424" i="3"/>
  <c r="BG424" i="3"/>
  <c r="BF424" i="3"/>
  <c r="BE424" i="3"/>
  <c r="BD424" i="3"/>
  <c r="BC424" i="3"/>
  <c r="BB424" i="3"/>
  <c r="BA424" i="3" s="1"/>
  <c r="AZ424" i="3" s="1"/>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BA423" i="3"/>
  <c r="AZ423" i="3" s="1"/>
  <c r="AX423" i="3"/>
  <c r="AW423" i="3"/>
  <c r="AV423" i="3"/>
  <c r="AC423" i="3"/>
  <c r="G423" i="3" s="1"/>
  <c r="H423" i="3"/>
  <c r="BT422" i="3"/>
  <c r="BS422" i="3"/>
  <c r="BR422" i="3"/>
  <c r="BQ422" i="3"/>
  <c r="BP422" i="3"/>
  <c r="BO422" i="3"/>
  <c r="BN422" i="3"/>
  <c r="BM422" i="3"/>
  <c r="BL422" i="3"/>
  <c r="BK422" i="3"/>
  <c r="BJ422" i="3"/>
  <c r="BI422" i="3"/>
  <c r="BH422" i="3"/>
  <c r="BG422" i="3"/>
  <c r="BF422" i="3"/>
  <c r="BE422" i="3"/>
  <c r="BD422" i="3"/>
  <c r="BC422" i="3"/>
  <c r="BB422" i="3"/>
  <c r="BA422" i="3"/>
  <c r="AZ422" i="3" s="1"/>
  <c r="AX422" i="3"/>
  <c r="AW422" i="3"/>
  <c r="AV422" i="3"/>
  <c r="AC422" i="3"/>
  <c r="H422" i="3"/>
  <c r="G422" i="3" s="1"/>
  <c r="BT421" i="3"/>
  <c r="BS421" i="3"/>
  <c r="BR421" i="3"/>
  <c r="BQ421" i="3"/>
  <c r="BP421" i="3"/>
  <c r="BO421" i="3"/>
  <c r="BN421" i="3"/>
  <c r="BL421" i="3" s="1"/>
  <c r="BM421" i="3"/>
  <c r="BK421" i="3"/>
  <c r="BJ421" i="3"/>
  <c r="BI421" i="3"/>
  <c r="BH421" i="3"/>
  <c r="BG421" i="3"/>
  <c r="BF421" i="3"/>
  <c r="BE421" i="3"/>
  <c r="BD421" i="3"/>
  <c r="BC421" i="3"/>
  <c r="BB421" i="3"/>
  <c r="BA421" i="3" s="1"/>
  <c r="AZ421" i="3" s="1"/>
  <c r="AX421" i="3"/>
  <c r="AW421" i="3"/>
  <c r="AV421" i="3"/>
  <c r="AC421" i="3"/>
  <c r="H421" i="3"/>
  <c r="G421" i="3" s="1"/>
  <c r="BT420" i="3"/>
  <c r="BS420" i="3"/>
  <c r="BR420" i="3"/>
  <c r="BQ420" i="3"/>
  <c r="BP420" i="3"/>
  <c r="BO420" i="3"/>
  <c r="BN420" i="3"/>
  <c r="BM420" i="3"/>
  <c r="BL420" i="3" s="1"/>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G419" i="3" s="1"/>
  <c r="H419" i="3"/>
  <c r="BT418" i="3"/>
  <c r="BS418" i="3"/>
  <c r="BR418" i="3"/>
  <c r="BQ418" i="3"/>
  <c r="BP418" i="3"/>
  <c r="BO418" i="3"/>
  <c r="BN418" i="3"/>
  <c r="BM418" i="3"/>
  <c r="BL418" i="3"/>
  <c r="BK418" i="3"/>
  <c r="BJ418" i="3"/>
  <c r="BI418" i="3"/>
  <c r="BH418" i="3"/>
  <c r="BG418" i="3"/>
  <c r="BF418" i="3"/>
  <c r="BE418" i="3"/>
  <c r="BD418" i="3"/>
  <c r="BC418" i="3"/>
  <c r="BB418" i="3"/>
  <c r="BA418" i="3"/>
  <c r="AZ418" i="3" s="1"/>
  <c r="AX418" i="3"/>
  <c r="AW418" i="3"/>
  <c r="AV418" i="3"/>
  <c r="AC418" i="3"/>
  <c r="H418" i="3"/>
  <c r="G418" i="3" s="1"/>
  <c r="BT417" i="3"/>
  <c r="BS417" i="3"/>
  <c r="BR417" i="3"/>
  <c r="BQ417" i="3"/>
  <c r="BP417" i="3"/>
  <c r="BO417" i="3"/>
  <c r="BN417" i="3"/>
  <c r="BL417" i="3" s="1"/>
  <c r="BM417" i="3"/>
  <c r="BK417" i="3"/>
  <c r="BJ417" i="3"/>
  <c r="BI417" i="3"/>
  <c r="BH417" i="3"/>
  <c r="BG417" i="3"/>
  <c r="BF417" i="3"/>
  <c r="BE417" i="3"/>
  <c r="BD417" i="3"/>
  <c r="BC417" i="3"/>
  <c r="BB417" i="3"/>
  <c r="BA417" i="3" s="1"/>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c r="AZ416" i="3" s="1"/>
  <c r="AX416" i="3"/>
  <c r="AW416" i="3"/>
  <c r="AV416" i="3"/>
  <c r="AC416" i="3"/>
  <c r="G416" i="3" s="1"/>
  <c r="H416" i="3"/>
  <c r="BT415" i="3"/>
  <c r="BS415" i="3"/>
  <c r="BR415" i="3"/>
  <c r="BQ415" i="3"/>
  <c r="BP415" i="3"/>
  <c r="BO415" i="3"/>
  <c r="BN415" i="3"/>
  <c r="BM415" i="3"/>
  <c r="BL415" i="3"/>
  <c r="BK415" i="3"/>
  <c r="BJ415" i="3"/>
  <c r="BI415" i="3"/>
  <c r="BH415" i="3"/>
  <c r="BG415" i="3"/>
  <c r="BF415" i="3"/>
  <c r="BE415" i="3"/>
  <c r="BD415" i="3"/>
  <c r="BC415" i="3"/>
  <c r="BA415" i="3" s="1"/>
  <c r="AZ415" i="3" s="1"/>
  <c r="BB415" i="3"/>
  <c r="AX415" i="3"/>
  <c r="AW415" i="3"/>
  <c r="AV415" i="3"/>
  <c r="AC415" i="3"/>
  <c r="H415" i="3"/>
  <c r="G415" i="3" s="1"/>
  <c r="BT414" i="3"/>
  <c r="BS414" i="3"/>
  <c r="BR414" i="3"/>
  <c r="BQ414" i="3"/>
  <c r="BP414" i="3"/>
  <c r="BO414" i="3"/>
  <c r="BN414" i="3"/>
  <c r="BL414" i="3" s="1"/>
  <c r="BM414" i="3"/>
  <c r="BK414" i="3"/>
  <c r="BJ414" i="3"/>
  <c r="BI414" i="3"/>
  <c r="BH414" i="3"/>
  <c r="BG414" i="3"/>
  <c r="BF414" i="3"/>
  <c r="BE414" i="3"/>
  <c r="BD414" i="3"/>
  <c r="BC414" i="3"/>
  <c r="BB414" i="3"/>
  <c r="BA414" i="3" s="1"/>
  <c r="AX414" i="3"/>
  <c r="AW414" i="3"/>
  <c r="AV414" i="3"/>
  <c r="AC414" i="3"/>
  <c r="H414" i="3"/>
  <c r="G414" i="3" s="1"/>
  <c r="BT413" i="3"/>
  <c r="BS413" i="3"/>
  <c r="BR413" i="3"/>
  <c r="BQ413" i="3"/>
  <c r="BP413" i="3"/>
  <c r="BO413" i="3"/>
  <c r="BN413" i="3"/>
  <c r="BM413" i="3"/>
  <c r="BL413" i="3" s="1"/>
  <c r="BK413" i="3"/>
  <c r="BJ413" i="3"/>
  <c r="BI413" i="3"/>
  <c r="BH413" i="3"/>
  <c r="BG413" i="3"/>
  <c r="BF413" i="3"/>
  <c r="BE413" i="3"/>
  <c r="BD413" i="3"/>
  <c r="BC413" i="3"/>
  <c r="BB413" i="3"/>
  <c r="BA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c r="AX412" i="3"/>
  <c r="AW412" i="3"/>
  <c r="AV412" i="3"/>
  <c r="AC412" i="3"/>
  <c r="H412" i="3"/>
  <c r="G412" i="3" s="1"/>
  <c r="BT411" i="3"/>
  <c r="BS411" i="3"/>
  <c r="BR411" i="3"/>
  <c r="BQ411" i="3"/>
  <c r="BP411" i="3"/>
  <c r="BO411" i="3"/>
  <c r="BN411" i="3"/>
  <c r="BL411" i="3" s="1"/>
  <c r="BM411" i="3"/>
  <c r="BK411" i="3"/>
  <c r="BJ411" i="3"/>
  <c r="BI411" i="3"/>
  <c r="BH411" i="3"/>
  <c r="BG411" i="3"/>
  <c r="BF411" i="3"/>
  <c r="BE411" i="3"/>
  <c r="BD411" i="3"/>
  <c r="BC411" i="3"/>
  <c r="BB411" i="3"/>
  <c r="BA411" i="3" s="1"/>
  <c r="AX411" i="3"/>
  <c r="AW411" i="3"/>
  <c r="AV411" i="3"/>
  <c r="AC411" i="3"/>
  <c r="H411" i="3"/>
  <c r="G411" i="3" s="1"/>
  <c r="BT410" i="3"/>
  <c r="BS410" i="3"/>
  <c r="BR410" i="3"/>
  <c r="BQ410" i="3"/>
  <c r="BP410" i="3"/>
  <c r="BO410" i="3"/>
  <c r="BN410" i="3"/>
  <c r="BM410" i="3"/>
  <c r="BL410" i="3" s="1"/>
  <c r="BK410" i="3"/>
  <c r="BJ410" i="3"/>
  <c r="BI410" i="3"/>
  <c r="BH410" i="3"/>
  <c r="BG410" i="3"/>
  <c r="BF410" i="3"/>
  <c r="BE410" i="3"/>
  <c r="BD410" i="3"/>
  <c r="BC410" i="3"/>
  <c r="BB410" i="3"/>
  <c r="BA410" i="3" s="1"/>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c r="AX409" i="3"/>
  <c r="AW409" i="3"/>
  <c r="AV409" i="3"/>
  <c r="AC409" i="3"/>
  <c r="G409" i="3" s="1"/>
  <c r="H409" i="3"/>
  <c r="BT408" i="3"/>
  <c r="BS408" i="3"/>
  <c r="BR408" i="3"/>
  <c r="BQ408" i="3"/>
  <c r="BP408" i="3"/>
  <c r="BO408" i="3"/>
  <c r="BN408" i="3"/>
  <c r="BM408" i="3"/>
  <c r="BL408" i="3"/>
  <c r="BK408" i="3"/>
  <c r="BJ408" i="3"/>
  <c r="BI408" i="3"/>
  <c r="BH408" i="3"/>
  <c r="BG408" i="3"/>
  <c r="BF408" i="3"/>
  <c r="BE408" i="3"/>
  <c r="BD408" i="3"/>
  <c r="BC408" i="3"/>
  <c r="BA408" i="3" s="1"/>
  <c r="BB408" i="3"/>
  <c r="AX408" i="3"/>
  <c r="AW408" i="3"/>
  <c r="AV408" i="3"/>
  <c r="AC408" i="3"/>
  <c r="H408" i="3"/>
  <c r="G408" i="3" s="1"/>
  <c r="BT407" i="3"/>
  <c r="BS407" i="3"/>
  <c r="BR407" i="3"/>
  <c r="BQ407" i="3"/>
  <c r="BP407" i="3"/>
  <c r="BO407" i="3"/>
  <c r="BN407" i="3"/>
  <c r="BM407" i="3"/>
  <c r="BL407" i="3" s="1"/>
  <c r="BK407" i="3"/>
  <c r="BJ407" i="3"/>
  <c r="BI407" i="3"/>
  <c r="BH407" i="3"/>
  <c r="BG407" i="3"/>
  <c r="BF407" i="3"/>
  <c r="BE407" i="3"/>
  <c r="BD407" i="3"/>
  <c r="BC407" i="3"/>
  <c r="BB407" i="3"/>
  <c r="BA407" i="3" s="1"/>
  <c r="AX407" i="3"/>
  <c r="AW407" i="3"/>
  <c r="AV407" i="3"/>
  <c r="AC407" i="3"/>
  <c r="H407" i="3"/>
  <c r="G407" i="3"/>
  <c r="BT406" i="3"/>
  <c r="BS406" i="3"/>
  <c r="BR406" i="3"/>
  <c r="BQ406" i="3"/>
  <c r="BP406" i="3"/>
  <c r="BO406" i="3"/>
  <c r="BN406" i="3"/>
  <c r="BM406" i="3"/>
  <c r="BL406" i="3" s="1"/>
  <c r="BK406" i="3"/>
  <c r="BJ406" i="3"/>
  <c r="BI406" i="3"/>
  <c r="BH406" i="3"/>
  <c r="BG406" i="3"/>
  <c r="BF406" i="3"/>
  <c r="BE406" i="3"/>
  <c r="BD406" i="3"/>
  <c r="BC406" i="3"/>
  <c r="BB406" i="3"/>
  <c r="BA406" i="3" s="1"/>
  <c r="AX406" i="3"/>
  <c r="AW406" i="3"/>
  <c r="AV406" i="3"/>
  <c r="AC406" i="3"/>
  <c r="G406" i="3" s="1"/>
  <c r="H406" i="3"/>
  <c r="BT405" i="3"/>
  <c r="BS405" i="3"/>
  <c r="BR405" i="3"/>
  <c r="BQ405" i="3"/>
  <c r="BP405" i="3"/>
  <c r="BO405" i="3"/>
  <c r="BN405" i="3"/>
  <c r="BM405" i="3"/>
  <c r="BL405" i="3"/>
  <c r="BK405" i="3"/>
  <c r="BJ405" i="3"/>
  <c r="BI405" i="3"/>
  <c r="BH405" i="3"/>
  <c r="BG405" i="3"/>
  <c r="BF405" i="3"/>
  <c r="BE405" i="3"/>
  <c r="BD405" i="3"/>
  <c r="BC405" i="3"/>
  <c r="BA405" i="3" s="1"/>
  <c r="AZ405" i="3" s="1"/>
  <c r="BB405" i="3"/>
  <c r="AX405" i="3"/>
  <c r="AW405" i="3"/>
  <c r="AV405" i="3"/>
  <c r="AC405" i="3"/>
  <c r="H405" i="3"/>
  <c r="G405" i="3" s="1"/>
  <c r="BT404" i="3"/>
  <c r="BS404" i="3"/>
  <c r="BR404" i="3"/>
  <c r="BQ404" i="3"/>
  <c r="BP404" i="3"/>
  <c r="BO404" i="3"/>
  <c r="BN404" i="3"/>
  <c r="BL404" i="3" s="1"/>
  <c r="BM404" i="3"/>
  <c r="BK404" i="3"/>
  <c r="BJ404" i="3"/>
  <c r="BI404" i="3"/>
  <c r="BH404" i="3"/>
  <c r="BG404" i="3"/>
  <c r="BF404" i="3"/>
  <c r="BE404" i="3"/>
  <c r="BD404" i="3"/>
  <c r="BC404" i="3"/>
  <c r="BB404" i="3"/>
  <c r="BA404" i="3" s="1"/>
  <c r="AZ404" i="3" s="1"/>
  <c r="AX404" i="3"/>
  <c r="AW404" i="3"/>
  <c r="AV404" i="3"/>
  <c r="AC404" i="3"/>
  <c r="H404" i="3"/>
  <c r="G404" i="3" s="1"/>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s="1"/>
  <c r="AZ402" i="3" s="1"/>
  <c r="AX402" i="3"/>
  <c r="AW402" i="3"/>
  <c r="AV402" i="3"/>
  <c r="AC402" i="3"/>
  <c r="G402" i="3" s="1"/>
  <c r="H402" i="3"/>
  <c r="BT401" i="3"/>
  <c r="BS401" i="3"/>
  <c r="BR401" i="3"/>
  <c r="BQ401" i="3"/>
  <c r="BP401" i="3"/>
  <c r="BO401" i="3"/>
  <c r="BN401" i="3"/>
  <c r="BM401" i="3"/>
  <c r="BL401" i="3"/>
  <c r="BK401" i="3"/>
  <c r="BJ401" i="3"/>
  <c r="BI401" i="3"/>
  <c r="BH401" i="3"/>
  <c r="BG401" i="3"/>
  <c r="BF401" i="3"/>
  <c r="BE401" i="3"/>
  <c r="BD401" i="3"/>
  <c r="BC401" i="3"/>
  <c r="BA401" i="3" s="1"/>
  <c r="BB401" i="3"/>
  <c r="AX401" i="3"/>
  <c r="AW401" i="3"/>
  <c r="AV401" i="3"/>
  <c r="AC401" i="3"/>
  <c r="H401" i="3"/>
  <c r="G401" i="3" s="1"/>
  <c r="BT400" i="3"/>
  <c r="BS400" i="3"/>
  <c r="BR400" i="3"/>
  <c r="BQ400" i="3"/>
  <c r="BP400" i="3"/>
  <c r="BO400" i="3"/>
  <c r="BN400" i="3"/>
  <c r="BM400" i="3"/>
  <c r="BL400" i="3" s="1"/>
  <c r="BK400" i="3"/>
  <c r="BJ400" i="3"/>
  <c r="BI400" i="3"/>
  <c r="BH400" i="3"/>
  <c r="BG400" i="3"/>
  <c r="BF400" i="3"/>
  <c r="BE400" i="3"/>
  <c r="BD400" i="3"/>
  <c r="BC400" i="3"/>
  <c r="BB400" i="3"/>
  <c r="BA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c r="AX399" i="3"/>
  <c r="AW399" i="3"/>
  <c r="AV399" i="3"/>
  <c r="AC399" i="3"/>
  <c r="G399" i="3" s="1"/>
  <c r="H399" i="3"/>
  <c r="BT398" i="3"/>
  <c r="BS398" i="3"/>
  <c r="BR398" i="3"/>
  <c r="BQ398" i="3"/>
  <c r="BP398" i="3"/>
  <c r="BO398" i="3"/>
  <c r="BN398" i="3"/>
  <c r="BM398" i="3"/>
  <c r="BL398" i="3"/>
  <c r="BK398" i="3"/>
  <c r="BJ398" i="3"/>
  <c r="BI398" i="3"/>
  <c r="BH398" i="3"/>
  <c r="BG398" i="3"/>
  <c r="BF398" i="3"/>
  <c r="BE398" i="3"/>
  <c r="BD398" i="3"/>
  <c r="BC398" i="3"/>
  <c r="BA398" i="3" s="1"/>
  <c r="AZ398" i="3" s="1"/>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F6" i="1" s="1"/>
  <c r="L21" i="4"/>
  <c r="F19" i="4"/>
  <c r="F2" i="52"/>
  <c r="B50" i="72"/>
  <c r="D2" i="52"/>
  <c r="B46" i="72" s="1"/>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G13" i="3" s="1"/>
  <c r="AC13" i="3"/>
  <c r="H14" i="3"/>
  <c r="AC14" i="3"/>
  <c r="G14" i="3" s="1"/>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c r="I53" i="39"/>
  <c r="J53" i="39" s="1"/>
  <c r="G53" i="39"/>
  <c r="H53" i="39" s="1"/>
  <c r="E53" i="39"/>
  <c r="F53" i="39"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s="1"/>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s="1"/>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N550" i="3"/>
  <c r="BL550" i="3" s="1"/>
  <c r="BO550" i="3"/>
  <c r="BP550" i="3"/>
  <c r="BQ550" i="3"/>
  <c r="BR550" i="3"/>
  <c r="BS550" i="3"/>
  <c r="BT550" i="3"/>
  <c r="H551" i="3"/>
  <c r="G551" i="3" s="1"/>
  <c r="AC551" i="3"/>
  <c r="BB551" i="3"/>
  <c r="BC551" i="3"/>
  <c r="BA551" i="3" s="1"/>
  <c r="AZ551" i="3" s="1"/>
  <c r="BD551" i="3"/>
  <c r="BE551" i="3"/>
  <c r="BF551" i="3"/>
  <c r="BG551" i="3"/>
  <c r="BH551" i="3"/>
  <c r="BI551" i="3"/>
  <c r="BJ551" i="3"/>
  <c r="BK551" i="3"/>
  <c r="BM551" i="3"/>
  <c r="BN551" i="3"/>
  <c r="BO551" i="3"/>
  <c r="BP551" i="3"/>
  <c r="BR551" i="3"/>
  <c r="BS551" i="3"/>
  <c r="BT551" i="3"/>
  <c r="H552" i="3"/>
  <c r="G552" i="3" s="1"/>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G556" i="3" s="1"/>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s="1"/>
  <c r="BB558" i="3"/>
  <c r="BC558" i="3"/>
  <c r="BD558" i="3"/>
  <c r="BE558" i="3"/>
  <c r="BF558" i="3"/>
  <c r="BG558" i="3"/>
  <c r="BH558" i="3"/>
  <c r="BI558" i="3"/>
  <c r="BJ558" i="3"/>
  <c r="BK558" i="3"/>
  <c r="BM558" i="3"/>
  <c r="BN558" i="3"/>
  <c r="BO558" i="3"/>
  <c r="BP558" i="3"/>
  <c r="BQ558" i="3"/>
  <c r="BQ5" i="3" s="1"/>
  <c r="BR558" i="3"/>
  <c r="BS558" i="3"/>
  <c r="BT558" i="3"/>
  <c r="H559" i="3"/>
  <c r="AC559" i="3"/>
  <c r="BB559" i="3"/>
  <c r="BC559" i="3"/>
  <c r="BD559" i="3"/>
  <c r="BA559" i="3" s="1"/>
  <c r="BE559" i="3"/>
  <c r="BF559" i="3"/>
  <c r="BG559" i="3"/>
  <c r="BH559" i="3"/>
  <c r="BI559" i="3"/>
  <c r="BJ559" i="3"/>
  <c r="BK559" i="3"/>
  <c r="BM559" i="3"/>
  <c r="BN559" i="3"/>
  <c r="BO559" i="3"/>
  <c r="BP559" i="3"/>
  <c r="BR559" i="3"/>
  <c r="BS559" i="3"/>
  <c r="BT559" i="3"/>
  <c r="H560" i="3"/>
  <c r="AC560" i="3"/>
  <c r="G560" i="3" s="1"/>
  <c r="BB560" i="3"/>
  <c r="BC560" i="3"/>
  <c r="BD560" i="3"/>
  <c r="BE560" i="3"/>
  <c r="BF560" i="3"/>
  <c r="BG560" i="3"/>
  <c r="BH560" i="3"/>
  <c r="BI560" i="3"/>
  <c r="BJ560" i="3"/>
  <c r="BK560" i="3"/>
  <c r="BM560" i="3"/>
  <c r="BN560" i="3"/>
  <c r="BO560" i="3"/>
  <c r="BP560" i="3"/>
  <c r="BQ560" i="3"/>
  <c r="BR560" i="3"/>
  <c r="BS560" i="3"/>
  <c r="BT560" i="3"/>
  <c r="H561" i="3"/>
  <c r="AC561" i="3"/>
  <c r="G561" i="3" s="1"/>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A562" i="3" s="1"/>
  <c r="BF562" i="3"/>
  <c r="BG562" i="3"/>
  <c r="BH562" i="3"/>
  <c r="BI562" i="3"/>
  <c r="BJ562" i="3"/>
  <c r="BK562" i="3"/>
  <c r="BM562" i="3"/>
  <c r="BN562" i="3"/>
  <c r="BO562" i="3"/>
  <c r="BP562" i="3"/>
  <c r="BQ562" i="3"/>
  <c r="BR562" i="3"/>
  <c r="BS562" i="3"/>
  <c r="BT562" i="3"/>
  <c r="H563" i="3"/>
  <c r="AC563" i="3"/>
  <c r="G563" i="3" s="1"/>
  <c r="BB563" i="3"/>
  <c r="BC563" i="3"/>
  <c r="BD563" i="3"/>
  <c r="BE563" i="3"/>
  <c r="BA563" i="3" s="1"/>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BT5" i="3" s="1"/>
  <c r="H566" i="3"/>
  <c r="G566" i="3" s="1"/>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G568" i="3" s="1"/>
  <c r="AC568" i="3"/>
  <c r="BB568" i="3"/>
  <c r="BC568" i="3"/>
  <c r="BD568" i="3"/>
  <c r="BE568" i="3"/>
  <c r="BF568" i="3"/>
  <c r="BG568" i="3"/>
  <c r="BH568" i="3"/>
  <c r="BH5" i="3" s="1"/>
  <c r="BI568" i="3"/>
  <c r="BJ568" i="3"/>
  <c r="BK568" i="3"/>
  <c r="BM568" i="3"/>
  <c r="BN568" i="3"/>
  <c r="BO568" i="3"/>
  <c r="BP568" i="3"/>
  <c r="BQ568" i="3"/>
  <c r="BR568" i="3"/>
  <c r="BS568" i="3"/>
  <c r="BT568" i="3"/>
  <c r="H569" i="3"/>
  <c r="G569" i="3" s="1"/>
  <c r="AC569" i="3"/>
  <c r="BB569" i="3"/>
  <c r="BC569" i="3"/>
  <c r="BD569" i="3"/>
  <c r="BA569" i="3" s="1"/>
  <c r="BE569" i="3"/>
  <c r="BF569" i="3"/>
  <c r="BG569" i="3"/>
  <c r="BH569" i="3"/>
  <c r="BI569" i="3"/>
  <c r="BJ569" i="3"/>
  <c r="BK569" i="3"/>
  <c r="BM569" i="3"/>
  <c r="BN569" i="3"/>
  <c r="BO569" i="3"/>
  <c r="BP569" i="3"/>
  <c r="BR569" i="3"/>
  <c r="BS569" i="3"/>
  <c r="BT569" i="3"/>
  <c r="H570" i="3"/>
  <c r="AC570" i="3"/>
  <c r="G570" i="3" s="1"/>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G578" i="3" s="1"/>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s="1"/>
  <c r="G87" i="35" s="1"/>
  <c r="H87" i="35" s="1"/>
  <c r="I87" i="35" s="1"/>
  <c r="J87" i="35" s="1"/>
  <c r="K87" i="35" s="1"/>
  <c r="L87" i="35" s="1"/>
  <c r="M87" i="35" s="1"/>
  <c r="H34" i="37"/>
  <c r="D101" i="37"/>
  <c r="F34" i="37"/>
  <c r="D99" i="37"/>
  <c r="E99" i="37"/>
  <c r="F99" i="37" s="1"/>
  <c r="G99" i="37" s="1"/>
  <c r="H99" i="37" s="1"/>
  <c r="I99" i="37" s="1"/>
  <c r="J99" i="37" s="1"/>
  <c r="K99" i="37" s="1"/>
  <c r="L99" i="37" s="1"/>
  <c r="M99" i="37" s="1"/>
  <c r="H42" i="34"/>
  <c r="J42" i="34"/>
  <c r="W42" i="34" s="1"/>
  <c r="F42" i="34"/>
  <c r="J38" i="34"/>
  <c r="W38" i="34" s="1"/>
  <c r="D114" i="34"/>
  <c r="E114" i="34" s="1"/>
  <c r="F114" i="34" s="1"/>
  <c r="G114" i="34" s="1"/>
  <c r="F38" i="34"/>
  <c r="S38" i="34" s="1"/>
  <c r="D112" i="34"/>
  <c r="E112" i="34"/>
  <c r="F112" i="34" s="1"/>
  <c r="G112" i="34" s="1"/>
  <c r="H112" i="34" s="1"/>
  <c r="I112" i="34"/>
  <c r="J112" i="34" s="1"/>
  <c r="K112" i="34" s="1"/>
  <c r="L112" i="34" s="1"/>
  <c r="M112" i="34" s="1"/>
  <c r="F40" i="33"/>
  <c r="AA40" i="33" s="1"/>
  <c r="J41" i="33"/>
  <c r="W41" i="33" s="1"/>
  <c r="D113" i="33"/>
  <c r="D111" i="33"/>
  <c r="E111" i="33" s="1"/>
  <c r="F111" i="33" s="1"/>
  <c r="G111" i="33" s="1"/>
  <c r="H111" i="33" s="1"/>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F40" i="40" s="1"/>
  <c r="AA40" i="40" s="1"/>
  <c r="B118" i="40"/>
  <c r="J39" i="40"/>
  <c r="B116" i="40"/>
  <c r="D115" i="40"/>
  <c r="E115" i="40"/>
  <c r="F115" i="40" s="1"/>
  <c r="G115" i="40" s="1"/>
  <c r="H115" i="40" s="1"/>
  <c r="I115" i="40" s="1"/>
  <c r="J115" i="40" s="1"/>
  <c r="K115" i="40" s="1"/>
  <c r="L115" i="40" s="1"/>
  <c r="M115" i="40" s="1"/>
  <c r="D113" i="40"/>
  <c r="E113" i="40" s="1"/>
  <c r="F113" i="40"/>
  <c r="G113" i="40"/>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c r="AC32" i="40" s="1"/>
  <c r="B101" i="40"/>
  <c r="J31" i="40" s="1"/>
  <c r="AC31" i="40" s="1"/>
  <c r="D100" i="40"/>
  <c r="E100" i="40" s="1"/>
  <c r="F100" i="40" s="1"/>
  <c r="G100" i="40" s="1"/>
  <c r="H100" i="40" s="1"/>
  <c r="I100" i="40" s="1"/>
  <c r="J100" i="40" s="1"/>
  <c r="K100" i="40" s="1"/>
  <c r="L100" i="40" s="1"/>
  <c r="M100" i="40" s="1"/>
  <c r="D98" i="40"/>
  <c r="J28" i="40"/>
  <c r="AC28" i="40"/>
  <c r="D96" i="40"/>
  <c r="E96" i="40" s="1"/>
  <c r="F96" i="40" s="1"/>
  <c r="G96" i="40" s="1"/>
  <c r="H96" i="40" s="1"/>
  <c r="I96" i="40" s="1"/>
  <c r="J96" i="40" s="1"/>
  <c r="K96" i="40" s="1"/>
  <c r="L96" i="40" s="1"/>
  <c r="M96" i="40" s="1"/>
  <c r="B95" i="40"/>
  <c r="D92" i="40"/>
  <c r="E92" i="40" s="1"/>
  <c r="F92" i="40" s="1"/>
  <c r="G92" i="40" s="1"/>
  <c r="D90" i="40"/>
  <c r="E90" i="40"/>
  <c r="F90" i="40" s="1"/>
  <c r="G90" i="40" s="1"/>
  <c r="D88" i="40"/>
  <c r="E88" i="40"/>
  <c r="D86" i="40"/>
  <c r="E86" i="40"/>
  <c r="F86" i="40" s="1"/>
  <c r="G86" i="40" s="1"/>
  <c r="D84" i="40"/>
  <c r="E84" i="40"/>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Q39" i="40"/>
  <c r="Z39" i="40"/>
  <c r="H39" i="40"/>
  <c r="U39" i="40" s="1"/>
  <c r="Q38" i="40"/>
  <c r="Z38" i="40"/>
  <c r="J38" i="40"/>
  <c r="AC38" i="40" s="1"/>
  <c r="Q37" i="40"/>
  <c r="Z37" i="40" s="1"/>
  <c r="Q36" i="40"/>
  <c r="Z36" i="40" s="1"/>
  <c r="Q35" i="40"/>
  <c r="Z35" i="40" s="1"/>
  <c r="Q34" i="40"/>
  <c r="Z34" i="40" s="1"/>
  <c r="J34" i="40"/>
  <c r="AC34" i="40" s="1"/>
  <c r="H34" i="40"/>
  <c r="AB34" i="40"/>
  <c r="F34" i="40"/>
  <c r="AA34" i="40" s="1"/>
  <c r="Q33" i="40"/>
  <c r="Z33" i="40" s="1"/>
  <c r="Q32" i="40"/>
  <c r="Z32" i="40" s="1"/>
  <c r="Q31" i="40"/>
  <c r="Z31" i="40" s="1"/>
  <c r="Q30" i="40"/>
  <c r="Z30" i="40" s="1"/>
  <c r="Q28" i="40"/>
  <c r="Z28" i="40" s="1"/>
  <c r="Q27" i="40"/>
  <c r="Z27" i="40" s="1"/>
  <c r="Q23" i="40"/>
  <c r="Z23" i="40"/>
  <c r="Q21" i="40"/>
  <c r="Z21" i="40" s="1"/>
  <c r="Q19" i="40"/>
  <c r="Z19" i="40" s="1"/>
  <c r="Q17" i="40"/>
  <c r="Z17" i="40" s="1"/>
  <c r="Q15" i="40"/>
  <c r="Z15" i="40" s="1"/>
  <c r="Q14" i="40"/>
  <c r="Z14" i="40" s="1"/>
  <c r="Q13" i="40"/>
  <c r="Z13" i="40" s="1"/>
  <c r="Q12" i="40"/>
  <c r="Z12" i="40" s="1"/>
  <c r="Q11" i="40"/>
  <c r="Z11" i="40"/>
  <c r="Q10" i="40"/>
  <c r="Z10" i="40" s="1"/>
  <c r="Q9" i="40"/>
  <c r="Z9" i="40" s="1"/>
  <c r="J9" i="40"/>
  <c r="W9" i="40" s="1"/>
  <c r="H9" i="40"/>
  <c r="AB9" i="40" s="1"/>
  <c r="F9" i="40"/>
  <c r="S9" i="40" s="1"/>
  <c r="J8" i="40"/>
  <c r="AC8" i="40" s="1"/>
  <c r="H8" i="40"/>
  <c r="AB8" i="40" s="1"/>
  <c r="F8" i="40"/>
  <c r="AA8" i="40"/>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s="1"/>
  <c r="D106" i="39"/>
  <c r="E106" i="39"/>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s="1"/>
  <c r="D92" i="39"/>
  <c r="E92" i="39"/>
  <c r="F92" i="39" s="1"/>
  <c r="G92" i="39" s="1"/>
  <c r="D90" i="39"/>
  <c r="E90" i="39" s="1"/>
  <c r="F90" i="39" s="1"/>
  <c r="G90" i="39" s="1"/>
  <c r="D88" i="39"/>
  <c r="E88" i="39" s="1"/>
  <c r="F88" i="39" s="1"/>
  <c r="G88" i="39" s="1"/>
  <c r="B85" i="39"/>
  <c r="B83" i="39"/>
  <c r="B81" i="39"/>
  <c r="M78" i="39"/>
  <c r="L78" i="39"/>
  <c r="K78" i="39"/>
  <c r="J78" i="39"/>
  <c r="I78" i="39"/>
  <c r="H78" i="39"/>
  <c r="G78" i="39"/>
  <c r="F78" i="39"/>
  <c r="E78" i="39"/>
  <c r="D78" i="39"/>
  <c r="C78" i="39"/>
  <c r="P48" i="39"/>
  <c r="P47" i="39"/>
  <c r="V46" i="39"/>
  <c r="T46" i="39"/>
  <c r="R46" i="39"/>
  <c r="P46" i="39"/>
  <c r="J40" i="39"/>
  <c r="AC40" i="39" s="1"/>
  <c r="F40" i="39"/>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s="1"/>
  <c r="Q10" i="39"/>
  <c r="Z10" i="39"/>
  <c r="Q9" i="39"/>
  <c r="Z9" i="39" s="1"/>
  <c r="J9" i="39"/>
  <c r="AC9" i="39"/>
  <c r="H9" i="39"/>
  <c r="AB9" i="39" s="1"/>
  <c r="F9" i="39"/>
  <c r="AA9" i="39" s="1"/>
  <c r="J8" i="39"/>
  <c r="AC8" i="39" s="1"/>
  <c r="H8" i="39"/>
  <c r="U8" i="39" s="1"/>
  <c r="F8" i="39"/>
  <c r="AA8" i="39" s="1"/>
  <c r="C20" i="36"/>
  <c r="C20" i="35"/>
  <c r="C16" i="36"/>
  <c r="C16" i="35"/>
  <c r="C14" i="36"/>
  <c r="C14" i="35"/>
  <c r="B80" i="37"/>
  <c r="J25" i="37" s="1"/>
  <c r="H25" i="37"/>
  <c r="U25" i="37" s="1"/>
  <c r="B110" i="37"/>
  <c r="J39" i="37"/>
  <c r="AC39" i="37" s="1"/>
  <c r="B108" i="37"/>
  <c r="C23" i="37"/>
  <c r="C19" i="37"/>
  <c r="C17" i="37"/>
  <c r="C15" i="37"/>
  <c r="B112" i="37"/>
  <c r="D107" i="37"/>
  <c r="E107" i="37" s="1"/>
  <c r="F107" i="37" s="1"/>
  <c r="D105" i="37"/>
  <c r="E105" i="37" s="1"/>
  <c r="D103" i="37"/>
  <c r="J35" i="37"/>
  <c r="W35" i="37" s="1"/>
  <c r="F97" i="37"/>
  <c r="E97" i="37"/>
  <c r="D97" i="37"/>
  <c r="C97" i="37"/>
  <c r="D96" i="37"/>
  <c r="E96" i="37"/>
  <c r="D94" i="37"/>
  <c r="M90" i="37"/>
  <c r="L90" i="37"/>
  <c r="K90" i="37"/>
  <c r="J90" i="37"/>
  <c r="I90" i="37"/>
  <c r="H90" i="37"/>
  <c r="G90" i="37"/>
  <c r="F90" i="37"/>
  <c r="E90" i="37"/>
  <c r="D90" i="37"/>
  <c r="C90" i="37"/>
  <c r="D89" i="37"/>
  <c r="B86" i="37"/>
  <c r="B84" i="37"/>
  <c r="H27" i="37"/>
  <c r="U27" i="37" s="1"/>
  <c r="B82" i="37"/>
  <c r="J26" i="37" s="1"/>
  <c r="AC26" i="37" s="1"/>
  <c r="D79" i="37"/>
  <c r="E79" i="37"/>
  <c r="D75" i="37"/>
  <c r="E75" i="37" s="1"/>
  <c r="D73" i="37"/>
  <c r="E73" i="37"/>
  <c r="F73" i="37"/>
  <c r="D71" i="37"/>
  <c r="H15" i="37"/>
  <c r="AB15" i="37"/>
  <c r="B68" i="37"/>
  <c r="H14" i="37" s="1"/>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s="1"/>
  <c r="Q36" i="37"/>
  <c r="Z36" i="37" s="1"/>
  <c r="Q35" i="37"/>
  <c r="Z35" i="37"/>
  <c r="Q34" i="37"/>
  <c r="Z34" i="37" s="1"/>
  <c r="Q33" i="37"/>
  <c r="Z33" i="37" s="1"/>
  <c r="Q32" i="37"/>
  <c r="Z32" i="37" s="1"/>
  <c r="Q31" i="37"/>
  <c r="Z31" i="37"/>
  <c r="J31" i="37"/>
  <c r="AC31" i="37" s="1"/>
  <c r="Q30" i="37"/>
  <c r="Z30" i="37" s="1"/>
  <c r="J30" i="37"/>
  <c r="AC30" i="37" s="1"/>
  <c r="H30" i="37"/>
  <c r="AB30" i="37" s="1"/>
  <c r="F30" i="37"/>
  <c r="AA30" i="37" s="1"/>
  <c r="Q29" i="37"/>
  <c r="Z29" i="37" s="1"/>
  <c r="H29" i="37"/>
  <c r="AB29" i="37"/>
  <c r="Q28" i="37"/>
  <c r="Z28" i="37" s="1"/>
  <c r="Q27" i="37"/>
  <c r="Z27" i="37"/>
  <c r="Q26" i="37"/>
  <c r="Z26" i="37" s="1"/>
  <c r="H26" i="37"/>
  <c r="AB26" i="37" s="1"/>
  <c r="Q25" i="37"/>
  <c r="Z25" i="37" s="1"/>
  <c r="AC25" i="37"/>
  <c r="F25" i="37"/>
  <c r="AA25" i="37" s="1"/>
  <c r="Q23" i="37"/>
  <c r="Z23" i="37"/>
  <c r="Q19" i="37"/>
  <c r="Z19" i="37" s="1"/>
  <c r="Q17" i="37"/>
  <c r="Z17" i="37"/>
  <c r="Q15" i="37"/>
  <c r="Z15" i="37" s="1"/>
  <c r="Q14" i="37"/>
  <c r="Z14" i="37"/>
  <c r="Q13" i="37"/>
  <c r="Z13" i="37" s="1"/>
  <c r="Q12" i="37"/>
  <c r="Z12" i="37"/>
  <c r="Q11" i="37"/>
  <c r="Z11" i="37" s="1"/>
  <c r="Q10" i="37"/>
  <c r="Z10" i="37"/>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s="1"/>
  <c r="G81" i="36" s="1"/>
  <c r="H81" i="36" s="1"/>
  <c r="I81" i="36"/>
  <c r="J81" i="36" s="1"/>
  <c r="K81" i="36" s="1"/>
  <c r="L81" i="36" s="1"/>
  <c r="M81" i="36" s="1"/>
  <c r="F79" i="36"/>
  <c r="E79" i="36"/>
  <c r="D79" i="36"/>
  <c r="C79" i="36"/>
  <c r="B93" i="36"/>
  <c r="H33" i="36" s="1"/>
  <c r="B91" i="36"/>
  <c r="F32" i="36"/>
  <c r="B95" i="36"/>
  <c r="H34" i="36" s="1"/>
  <c r="D83" i="36"/>
  <c r="E83" i="36"/>
  <c r="F83" i="36" s="1"/>
  <c r="G83" i="36" s="1"/>
  <c r="H83" i="36" s="1"/>
  <c r="I83" i="36" s="1"/>
  <c r="J83" i="36" s="1"/>
  <c r="K83" i="36" s="1"/>
  <c r="L83" i="36" s="1"/>
  <c r="M83" i="36" s="1"/>
  <c r="D78" i="36"/>
  <c r="E78" i="36" s="1"/>
  <c r="F78" i="36" s="1"/>
  <c r="G78" i="36"/>
  <c r="H78" i="36" s="1"/>
  <c r="I78" i="36" s="1"/>
  <c r="J78" i="36" s="1"/>
  <c r="K78" i="36" s="1"/>
  <c r="L78" i="36" s="1"/>
  <c r="M78" i="36" s="1"/>
  <c r="B75" i="36"/>
  <c r="B73" i="36"/>
  <c r="H24" i="36" s="1"/>
  <c r="AB24" i="36" s="1"/>
  <c r="J24" i="36"/>
  <c r="AC24" i="36" s="1"/>
  <c r="B71" i="36"/>
  <c r="D70" i="36"/>
  <c r="H22" i="36"/>
  <c r="AB22" i="36" s="1"/>
  <c r="D68" i="36"/>
  <c r="E68" i="36"/>
  <c r="F68" i="36"/>
  <c r="G68" i="36" s="1"/>
  <c r="D64" i="36"/>
  <c r="E64" i="36"/>
  <c r="F64" i="36" s="1"/>
  <c r="G64" i="36" s="1"/>
  <c r="J16" i="36"/>
  <c r="W16" i="36"/>
  <c r="D62" i="36"/>
  <c r="E62" i="36" s="1"/>
  <c r="F62" i="36" s="1"/>
  <c r="G62" i="36" s="1"/>
  <c r="B59" i="36"/>
  <c r="B57" i="36"/>
  <c r="J12" i="36" s="1"/>
  <c r="B55" i="36"/>
  <c r="C51" i="36"/>
  <c r="J9" i="36" s="1"/>
  <c r="AC9" i="36" s="1"/>
  <c r="P37" i="36"/>
  <c r="P36" i="36"/>
  <c r="V35" i="36"/>
  <c r="T35" i="36"/>
  <c r="R35" i="36"/>
  <c r="P35" i="36"/>
  <c r="Q34" i="36"/>
  <c r="Z34" i="36" s="1"/>
  <c r="Q33" i="36"/>
  <c r="Z33" i="36" s="1"/>
  <c r="Q32" i="36"/>
  <c r="Z32" i="36"/>
  <c r="Q31" i="36"/>
  <c r="Z31" i="36" s="1"/>
  <c r="Q30" i="36"/>
  <c r="Z30" i="36" s="1"/>
  <c r="AC30" i="36"/>
  <c r="Q29" i="36"/>
  <c r="Z29" i="36"/>
  <c r="Q28" i="36"/>
  <c r="Z28" i="36" s="1"/>
  <c r="J28" i="36"/>
  <c r="AC28" i="36" s="1"/>
  <c r="Q27" i="36"/>
  <c r="Z27" i="36"/>
  <c r="Q26" i="36"/>
  <c r="Z26" i="36" s="1"/>
  <c r="H26" i="36"/>
  <c r="Q25" i="36"/>
  <c r="Z25" i="36" s="1"/>
  <c r="Q24" i="36"/>
  <c r="Z24" i="36"/>
  <c r="Q23" i="36"/>
  <c r="Z23" i="36"/>
  <c r="J23" i="36"/>
  <c r="AC23" i="36" s="1"/>
  <c r="H23" i="36"/>
  <c r="AB23" i="36" s="1"/>
  <c r="F23" i="36"/>
  <c r="AA23" i="36" s="1"/>
  <c r="Q22" i="36"/>
  <c r="Z22" i="36"/>
  <c r="J22" i="36"/>
  <c r="AC22" i="36" s="1"/>
  <c r="Q20" i="36"/>
  <c r="Z20" i="36" s="1"/>
  <c r="Q16" i="36"/>
  <c r="Z16" i="36" s="1"/>
  <c r="Q14" i="36"/>
  <c r="Z14" i="36"/>
  <c r="Q13" i="36"/>
  <c r="Z13" i="36" s="1"/>
  <c r="Q12" i="36"/>
  <c r="Z12" i="36" s="1"/>
  <c r="H12" i="36"/>
  <c r="U12" i="36" s="1"/>
  <c r="Q11" i="36"/>
  <c r="Z11" i="36"/>
  <c r="Q10" i="36"/>
  <c r="Z10" i="36" s="1"/>
  <c r="F10" i="36"/>
  <c r="AA10" i="36" s="1"/>
  <c r="Q9" i="36"/>
  <c r="Z9" i="36" s="1"/>
  <c r="H9" i="36"/>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c r="F27" i="35"/>
  <c r="J22" i="35"/>
  <c r="AC22" i="35"/>
  <c r="B101" i="35"/>
  <c r="B99" i="35"/>
  <c r="H35" i="35" s="1"/>
  <c r="B97" i="35"/>
  <c r="H34" i="35" s="1"/>
  <c r="AB34" i="35" s="1"/>
  <c r="B77" i="35"/>
  <c r="B75" i="35"/>
  <c r="J24" i="35"/>
  <c r="AC24" i="35" s="1"/>
  <c r="B73" i="35"/>
  <c r="H23" i="35" s="1"/>
  <c r="U23" i="35" s="1"/>
  <c r="B57" i="35"/>
  <c r="B61" i="35"/>
  <c r="B59" i="35"/>
  <c r="B131" i="34"/>
  <c r="B129" i="34"/>
  <c r="J46" i="34" s="1"/>
  <c r="AC46" i="34" s="1"/>
  <c r="B127" i="34"/>
  <c r="B99" i="34"/>
  <c r="B97" i="34"/>
  <c r="H31" i="34" s="1"/>
  <c r="B95" i="34"/>
  <c r="H30" i="34" s="1"/>
  <c r="B93" i="34"/>
  <c r="B75" i="34"/>
  <c r="B73" i="34"/>
  <c r="B71" i="34"/>
  <c r="B130" i="33"/>
  <c r="B128" i="33"/>
  <c r="B126" i="33"/>
  <c r="B98" i="33"/>
  <c r="F31" i="33" s="1"/>
  <c r="B96" i="33"/>
  <c r="B94" i="33"/>
  <c r="H29" i="33" s="1"/>
  <c r="B74" i="33"/>
  <c r="B72" i="33"/>
  <c r="H13" i="33" s="1"/>
  <c r="U13" i="33" s="1"/>
  <c r="B70" i="33"/>
  <c r="J12" i="33" s="1"/>
  <c r="D96" i="35"/>
  <c r="E96" i="35" s="1"/>
  <c r="F96" i="35" s="1"/>
  <c r="G96" i="35" s="1"/>
  <c r="D94" i="35"/>
  <c r="E94" i="35" s="1"/>
  <c r="F94" i="35" s="1"/>
  <c r="G94" i="35" s="1"/>
  <c r="H94" i="35" s="1"/>
  <c r="I94" i="35" s="1"/>
  <c r="J94" i="35" s="1"/>
  <c r="K94" i="35" s="1"/>
  <c r="L94" i="35" s="1"/>
  <c r="M94" i="35" s="1"/>
  <c r="D84" i="35"/>
  <c r="E84" i="35" s="1"/>
  <c r="F84" i="35" s="1"/>
  <c r="G84" i="35"/>
  <c r="H84" i="35" s="1"/>
  <c r="I84" i="35" s="1"/>
  <c r="J84" i="35" s="1"/>
  <c r="K84" i="35" s="1"/>
  <c r="L84" i="35" s="1"/>
  <c r="M84" i="35" s="1"/>
  <c r="D80" i="35"/>
  <c r="E80" i="35"/>
  <c r="F80" i="35" s="1"/>
  <c r="G80" i="35" s="1"/>
  <c r="H80" i="35" s="1"/>
  <c r="I80" i="35" s="1"/>
  <c r="J80" i="35" s="1"/>
  <c r="K80" i="35" s="1"/>
  <c r="L80" i="35" s="1"/>
  <c r="M80" i="35"/>
  <c r="D72" i="35"/>
  <c r="E72" i="35" s="1"/>
  <c r="F72" i="35"/>
  <c r="G72" i="35" s="1"/>
  <c r="D70" i="35"/>
  <c r="E70" i="35" s="1"/>
  <c r="F70" i="35" s="1"/>
  <c r="G70" i="35" s="1"/>
  <c r="D66" i="35"/>
  <c r="E66" i="35" s="1"/>
  <c r="F66" i="35"/>
  <c r="G66" i="35" s="1"/>
  <c r="D64" i="35"/>
  <c r="E64" i="35" s="1"/>
  <c r="F64" i="35" s="1"/>
  <c r="G64" i="35" s="1"/>
  <c r="J14" i="35"/>
  <c r="W14" i="35" s="1"/>
  <c r="C53" i="35"/>
  <c r="J9" i="35" s="1"/>
  <c r="AC9" i="35" s="1"/>
  <c r="P39" i="35"/>
  <c r="P38" i="35"/>
  <c r="V37" i="35"/>
  <c r="T37" i="35"/>
  <c r="R37" i="35"/>
  <c r="P37" i="35"/>
  <c r="Q36" i="35"/>
  <c r="Z36" i="35" s="1"/>
  <c r="Q35" i="35"/>
  <c r="Z35" i="35" s="1"/>
  <c r="Q34" i="35"/>
  <c r="Z34" i="35" s="1"/>
  <c r="J34" i="35"/>
  <c r="AC34" i="35"/>
  <c r="F34" i="35"/>
  <c r="AA34" i="35"/>
  <c r="Q33" i="35"/>
  <c r="Z33" i="35" s="1"/>
  <c r="Q32" i="35"/>
  <c r="Z32" i="35" s="1"/>
  <c r="H32" i="35"/>
  <c r="AB32" i="35" s="1"/>
  <c r="F32" i="35"/>
  <c r="AA32" i="35" s="1"/>
  <c r="Q31" i="35"/>
  <c r="Z31" i="35" s="1"/>
  <c r="AC31" i="35"/>
  <c r="AB31" i="35"/>
  <c r="AA31" i="35"/>
  <c r="Q30" i="35"/>
  <c r="Z30" i="35" s="1"/>
  <c r="Q29" i="35"/>
  <c r="Z29" i="35"/>
  <c r="Q28" i="35"/>
  <c r="Z28" i="35" s="1"/>
  <c r="J28" i="35"/>
  <c r="AC28" i="35"/>
  <c r="H28" i="35"/>
  <c r="AB28" i="35" s="1"/>
  <c r="F28" i="35"/>
  <c r="AA28" i="35"/>
  <c r="Q27" i="35"/>
  <c r="Z27" i="35" s="1"/>
  <c r="Q26" i="35"/>
  <c r="Z26" i="35"/>
  <c r="Q25" i="35"/>
  <c r="Z25" i="35" s="1"/>
  <c r="Q24" i="35"/>
  <c r="Z24" i="35"/>
  <c r="Q23" i="35"/>
  <c r="Z23" i="35" s="1"/>
  <c r="Q22" i="35"/>
  <c r="Z22" i="35" s="1"/>
  <c r="Q20" i="35"/>
  <c r="Z20" i="35"/>
  <c r="Q16" i="35"/>
  <c r="Z16" i="35" s="1"/>
  <c r="Q14" i="35"/>
  <c r="Z14" i="35"/>
  <c r="Q13" i="35"/>
  <c r="Z13" i="35" s="1"/>
  <c r="Q12" i="35"/>
  <c r="Z12" i="35"/>
  <c r="J12" i="35"/>
  <c r="W12" i="35" s="1"/>
  <c r="H12" i="35"/>
  <c r="U12" i="35" s="1"/>
  <c r="F12" i="35"/>
  <c r="S12" i="35" s="1"/>
  <c r="Q11" i="35"/>
  <c r="Z11" i="35" s="1"/>
  <c r="Q10" i="35"/>
  <c r="Z10" i="35" s="1"/>
  <c r="Q9" i="35"/>
  <c r="Z9" i="35"/>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c r="D124" i="34"/>
  <c r="E124" i="34" s="1"/>
  <c r="F124" i="34"/>
  <c r="G124" i="34" s="1"/>
  <c r="H124" i="34" s="1"/>
  <c r="I124" i="34" s="1"/>
  <c r="J124" i="34" s="1"/>
  <c r="K124" i="34" s="1"/>
  <c r="L124" i="34" s="1"/>
  <c r="M124" i="34" s="1"/>
  <c r="H43" i="34"/>
  <c r="AB43" i="34" s="1"/>
  <c r="D118" i="34"/>
  <c r="E118" i="34" s="1"/>
  <c r="F118" i="34" s="1"/>
  <c r="G118" i="34" s="1"/>
  <c r="D116" i="34"/>
  <c r="E116" i="34" s="1"/>
  <c r="F116" i="34"/>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s="1"/>
  <c r="G88" i="34" s="1"/>
  <c r="H88" i="34" s="1"/>
  <c r="I88" i="34" s="1"/>
  <c r="J88" i="34" s="1"/>
  <c r="K88" i="34" s="1"/>
  <c r="L88" i="34" s="1"/>
  <c r="M88" i="34" s="1"/>
  <c r="D86" i="34"/>
  <c r="E86" i="34" s="1"/>
  <c r="F86" i="34"/>
  <c r="G86" i="34" s="1"/>
  <c r="D82" i="34"/>
  <c r="E82" i="34" s="1"/>
  <c r="F82" i="34" s="1"/>
  <c r="G82" i="34" s="1"/>
  <c r="D80" i="34"/>
  <c r="E80" i="34" s="1"/>
  <c r="F80" i="34"/>
  <c r="G80" i="34" s="1"/>
  <c r="D78" i="34"/>
  <c r="E78" i="34" s="1"/>
  <c r="F78" i="34" s="1"/>
  <c r="G78" i="34" s="1"/>
  <c r="D70" i="34"/>
  <c r="E70" i="34" s="1"/>
  <c r="M68" i="34"/>
  <c r="L68" i="34"/>
  <c r="K68" i="34"/>
  <c r="J68" i="34"/>
  <c r="I68" i="34"/>
  <c r="H68" i="34"/>
  <c r="G68" i="34"/>
  <c r="F68" i="34"/>
  <c r="E68" i="34"/>
  <c r="D68" i="34"/>
  <c r="C68" i="34"/>
  <c r="C64" i="34"/>
  <c r="P50" i="34"/>
  <c r="P49" i="34"/>
  <c r="V48" i="34"/>
  <c r="T48" i="34"/>
  <c r="R48" i="34"/>
  <c r="P48" i="34"/>
  <c r="Q47" i="34"/>
  <c r="Z47" i="34" s="1"/>
  <c r="Q46" i="34"/>
  <c r="Z46" i="34"/>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c r="Q34" i="34"/>
  <c r="Z34" i="34" s="1"/>
  <c r="Q33" i="34"/>
  <c r="Z33" i="34"/>
  <c r="Q32" i="34"/>
  <c r="Z32" i="34" s="1"/>
  <c r="Q31" i="34"/>
  <c r="Z31" i="34" s="1"/>
  <c r="Q30" i="34"/>
  <c r="Z30" i="34" s="1"/>
  <c r="Q29" i="34"/>
  <c r="Z29" i="34" s="1"/>
  <c r="Q28" i="34"/>
  <c r="Z28" i="34" s="1"/>
  <c r="Q27" i="34"/>
  <c r="Z27" i="34" s="1"/>
  <c r="Q25" i="34"/>
  <c r="Z25" i="34" s="1"/>
  <c r="Q23" i="34"/>
  <c r="Z23" i="34"/>
  <c r="C23" i="34"/>
  <c r="Q19" i="34"/>
  <c r="Z19" i="34" s="1"/>
  <c r="C19" i="34"/>
  <c r="Q17" i="34"/>
  <c r="Z17" i="34" s="1"/>
  <c r="C17" i="34"/>
  <c r="Q15" i="34"/>
  <c r="Z15" i="34" s="1"/>
  <c r="Q14" i="34"/>
  <c r="Z14" i="34" s="1"/>
  <c r="Q13" i="34"/>
  <c r="Z13" i="34" s="1"/>
  <c r="Q12" i="34"/>
  <c r="Z12" i="34" s="1"/>
  <c r="J12" i="34"/>
  <c r="W12" i="34" s="1"/>
  <c r="Q11" i="34"/>
  <c r="Z11" i="34" s="1"/>
  <c r="Q10" i="34"/>
  <c r="Z10" i="34" s="1"/>
  <c r="F10" i="34"/>
  <c r="AA10" i="34" s="1"/>
  <c r="Q9" i="34"/>
  <c r="Z9" i="34" s="1"/>
  <c r="J9" i="34"/>
  <c r="AC9" i="34" s="1"/>
  <c r="H9" i="34"/>
  <c r="F9" i="34"/>
  <c r="AA9" i="34" s="1"/>
  <c r="J8" i="34"/>
  <c r="AC8" i="34" s="1"/>
  <c r="H8" i="34"/>
  <c r="U8" i="34" s="1"/>
  <c r="F8" i="34"/>
  <c r="D121" i="33"/>
  <c r="E121" i="33" s="1"/>
  <c r="F109" i="33"/>
  <c r="E109" i="33"/>
  <c r="D109" i="33"/>
  <c r="C109" i="33"/>
  <c r="D91" i="33"/>
  <c r="E91" i="33" s="1"/>
  <c r="F91" i="33" s="1"/>
  <c r="B88" i="33"/>
  <c r="J26" i="33"/>
  <c r="AC26" i="33" s="1"/>
  <c r="C23" i="33"/>
  <c r="C19" i="33"/>
  <c r="C17" i="33"/>
  <c r="C15" i="33"/>
  <c r="C15" i="21"/>
  <c r="D125" i="33"/>
  <c r="D123" i="33"/>
  <c r="D117" i="33"/>
  <c r="E117" i="33" s="1"/>
  <c r="F117" i="33" s="1"/>
  <c r="G117" i="33" s="1"/>
  <c r="D115" i="33"/>
  <c r="E115" i="33" s="1"/>
  <c r="F115" i="33" s="1"/>
  <c r="G115" i="33" s="1"/>
  <c r="H115" i="33" s="1"/>
  <c r="I115" i="33" s="1"/>
  <c r="J115" i="33" s="1"/>
  <c r="K115" i="33" s="1"/>
  <c r="L115" i="33"/>
  <c r="M115" i="33" s="1"/>
  <c r="D108" i="33"/>
  <c r="E108" i="33" s="1"/>
  <c r="F108" i="33" s="1"/>
  <c r="G108" i="33" s="1"/>
  <c r="H108" i="33" s="1"/>
  <c r="I108" i="33" s="1"/>
  <c r="J108" i="33" s="1"/>
  <c r="K108" i="33" s="1"/>
  <c r="L108" i="33" s="1"/>
  <c r="M108" i="33" s="1"/>
  <c r="D106" i="33"/>
  <c r="E106" i="33" s="1"/>
  <c r="M102" i="33"/>
  <c r="L102" i="33"/>
  <c r="K102" i="33"/>
  <c r="J102" i="33"/>
  <c r="I102" i="33"/>
  <c r="H102" i="33"/>
  <c r="G102" i="33"/>
  <c r="F102" i="33"/>
  <c r="E102" i="33"/>
  <c r="D102" i="33"/>
  <c r="C102" i="33"/>
  <c r="D101" i="33"/>
  <c r="E101" i="33" s="1"/>
  <c r="B92" i="33"/>
  <c r="B90" i="33"/>
  <c r="D87" i="33"/>
  <c r="E87" i="33" s="1"/>
  <c r="D85" i="33"/>
  <c r="E85" i="33" s="1"/>
  <c r="D81" i="33"/>
  <c r="E81" i="33" s="1"/>
  <c r="F81" i="33" s="1"/>
  <c r="G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F54" i="33"/>
  <c r="P49" i="33"/>
  <c r="P48" i="33"/>
  <c r="V47" i="33"/>
  <c r="T47" i="33"/>
  <c r="R47" i="33"/>
  <c r="P47" i="33"/>
  <c r="Q46" i="33"/>
  <c r="Z46" i="33" s="1"/>
  <c r="Q45" i="33"/>
  <c r="Z45" i="33" s="1"/>
  <c r="Q44" i="33"/>
  <c r="Z44" i="33" s="1"/>
  <c r="Q43" i="33"/>
  <c r="Z43" i="33" s="1"/>
  <c r="Q42" i="33"/>
  <c r="Z42" i="33" s="1"/>
  <c r="J42" i="33"/>
  <c r="AC42" i="33" s="1"/>
  <c r="Q41" i="33"/>
  <c r="Z41" i="33"/>
  <c r="Q40" i="33"/>
  <c r="Z40" i="33" s="1"/>
  <c r="J40" i="33"/>
  <c r="AC40" i="33" s="1"/>
  <c r="H40" i="33"/>
  <c r="AB40" i="33" s="1"/>
  <c r="Q39" i="33"/>
  <c r="Z39" i="33"/>
  <c r="J39" i="33"/>
  <c r="AC39" i="33" s="1"/>
  <c r="Q38" i="33"/>
  <c r="Z38" i="33" s="1"/>
  <c r="J38" i="33"/>
  <c r="AC38" i="33" s="1"/>
  <c r="H38" i="33"/>
  <c r="AB38" i="33" s="1"/>
  <c r="F38" i="33"/>
  <c r="AA38" i="33" s="1"/>
  <c r="Q37" i="33"/>
  <c r="Z37" i="33" s="1"/>
  <c r="Q36" i="33"/>
  <c r="Z36" i="33" s="1"/>
  <c r="Q35" i="33"/>
  <c r="Z35" i="33"/>
  <c r="H35" i="33"/>
  <c r="AB35" i="33" s="1"/>
  <c r="Q34" i="33"/>
  <c r="Z34" i="33" s="1"/>
  <c r="Q33" i="33"/>
  <c r="Z33" i="33" s="1"/>
  <c r="Q32" i="33"/>
  <c r="Z32" i="33"/>
  <c r="Q31" i="33"/>
  <c r="Z31" i="33" s="1"/>
  <c r="Q30" i="33"/>
  <c r="Z30" i="33"/>
  <c r="Q29" i="33"/>
  <c r="Z29" i="33" s="1"/>
  <c r="Q28" i="33"/>
  <c r="Z28" i="33"/>
  <c r="Q27" i="33"/>
  <c r="Z27" i="33" s="1"/>
  <c r="Q26" i="33"/>
  <c r="Z26" i="33"/>
  <c r="Q25" i="33"/>
  <c r="Z25" i="33" s="1"/>
  <c r="Q23" i="33"/>
  <c r="Z23" i="33"/>
  <c r="Q19" i="33"/>
  <c r="Z19" i="33" s="1"/>
  <c r="Q17" i="33"/>
  <c r="Z17" i="33"/>
  <c r="Q15" i="33"/>
  <c r="Z15" i="33" s="1"/>
  <c r="F15" i="33"/>
  <c r="S15" i="33" s="1"/>
  <c r="Q14" i="33"/>
  <c r="Z14" i="33" s="1"/>
  <c r="Q13" i="33"/>
  <c r="Z13" i="33" s="1"/>
  <c r="Q12" i="33"/>
  <c r="Z12" i="33" s="1"/>
  <c r="H12" i="33"/>
  <c r="U12" i="33" s="1"/>
  <c r="Q11" i="33"/>
  <c r="Z11" i="33" s="1"/>
  <c r="Q10" i="33"/>
  <c r="Z10" i="33" s="1"/>
  <c r="Q9" i="33"/>
  <c r="Z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s="1"/>
  <c r="G19" i="20"/>
  <c r="B87" i="43"/>
  <c r="G16" i="20"/>
  <c r="B84" i="43" s="1"/>
  <c r="G15" i="20"/>
  <c r="B83" i="43"/>
  <c r="C24" i="20"/>
  <c r="C21" i="20"/>
  <c r="B99" i="43" s="1"/>
  <c r="B76" i="43"/>
  <c r="C20" i="20"/>
  <c r="C18" i="20"/>
  <c r="B94" i="43" s="1"/>
  <c r="B73" i="43"/>
  <c r="C17" i="20"/>
  <c r="B61" i="43" s="1"/>
  <c r="C16" i="20"/>
  <c r="C17" i="39"/>
  <c r="C15" i="20"/>
  <c r="B72" i="43" s="1"/>
  <c r="E54" i="21"/>
  <c r="F54" i="21" s="1"/>
  <c r="I54" i="21"/>
  <c r="J54" i="21" s="1"/>
  <c r="G54" i="21"/>
  <c r="H54" i="21" s="1"/>
  <c r="D125" i="21"/>
  <c r="E125" i="21" s="1"/>
  <c r="F125" i="21" s="1"/>
  <c r="G125" i="21"/>
  <c r="D123" i="21"/>
  <c r="E123" i="21" s="1"/>
  <c r="F123" i="21"/>
  <c r="F42" i="21"/>
  <c r="AA42" i="21" s="1"/>
  <c r="D119" i="21"/>
  <c r="F40" i="21"/>
  <c r="AA40" i="21"/>
  <c r="D117" i="21"/>
  <c r="E117" i="21" s="1"/>
  <c r="F117" i="21"/>
  <c r="G117" i="21" s="1"/>
  <c r="D115" i="21"/>
  <c r="E115" i="21" s="1"/>
  <c r="F115" i="21" s="1"/>
  <c r="G115" i="21" s="1"/>
  <c r="H115" i="21" s="1"/>
  <c r="I115" i="21" s="1"/>
  <c r="J115" i="21" s="1"/>
  <c r="K115" i="21" s="1"/>
  <c r="L115" i="21" s="1"/>
  <c r="M115" i="21" s="1"/>
  <c r="D113" i="21"/>
  <c r="E113" i="21"/>
  <c r="F113" i="21" s="1"/>
  <c r="G113" i="21" s="1"/>
  <c r="H113" i="21" s="1"/>
  <c r="D110" i="21"/>
  <c r="E110" i="21" s="1"/>
  <c r="F110" i="21" s="1"/>
  <c r="G110" i="21" s="1"/>
  <c r="H110" i="21" s="1"/>
  <c r="I110" i="21" s="1"/>
  <c r="J110" i="21" s="1"/>
  <c r="K110" i="21" s="1"/>
  <c r="L110" i="21" s="1"/>
  <c r="M110" i="21" s="1"/>
  <c r="J36" i="21"/>
  <c r="AC36" i="21"/>
  <c r="D108" i="21"/>
  <c r="E108" i="21" s="1"/>
  <c r="F108" i="21" s="1"/>
  <c r="G108" i="21"/>
  <c r="H108" i="21" s="1"/>
  <c r="I108" i="21" s="1"/>
  <c r="J108" i="21" s="1"/>
  <c r="K108" i="21" s="1"/>
  <c r="L108" i="21" s="1"/>
  <c r="M108" i="21" s="1"/>
  <c r="D106" i="21"/>
  <c r="E106" i="21"/>
  <c r="F106" i="21"/>
  <c r="G106" i="21" s="1"/>
  <c r="H106" i="21" s="1"/>
  <c r="I106" i="21" s="1"/>
  <c r="J106" i="21" s="1"/>
  <c r="K106" i="21" s="1"/>
  <c r="L106" i="21" s="1"/>
  <c r="M106" i="21" s="1"/>
  <c r="D101" i="21"/>
  <c r="E101" i="21" s="1"/>
  <c r="F101" i="21" s="1"/>
  <c r="G101" i="21" s="1"/>
  <c r="H101" i="21" s="1"/>
  <c r="D89" i="21"/>
  <c r="E89" i="21" s="1"/>
  <c r="F89" i="21"/>
  <c r="G89" i="21" s="1"/>
  <c r="H89" i="21" s="1"/>
  <c r="I89" i="21" s="1"/>
  <c r="J89" i="21" s="1"/>
  <c r="K89" i="21" s="1"/>
  <c r="L89" i="21" s="1"/>
  <c r="M89" i="21" s="1"/>
  <c r="D67" i="21"/>
  <c r="E67" i="21"/>
  <c r="F67" i="21"/>
  <c r="G67" i="21"/>
  <c r="H67" i="21"/>
  <c r="I67" i="21"/>
  <c r="J67" i="21"/>
  <c r="K67" i="21"/>
  <c r="L67" i="21"/>
  <c r="M67" i="21"/>
  <c r="C67" i="21"/>
  <c r="D69" i="21"/>
  <c r="E69" i="21"/>
  <c r="F69" i="21" s="1"/>
  <c r="G69" i="21" s="1"/>
  <c r="H69" i="21" s="1"/>
  <c r="I69" i="21" s="1"/>
  <c r="J69" i="21" s="1"/>
  <c r="K69" i="21" s="1"/>
  <c r="L69" i="21" s="1"/>
  <c r="M69" i="21" s="1"/>
  <c r="D111" i="21"/>
  <c r="E111" i="21"/>
  <c r="F111" i="21"/>
  <c r="C111" i="21"/>
  <c r="D79" i="21"/>
  <c r="E79" i="21" s="1"/>
  <c r="F79" i="21" s="1"/>
  <c r="G79" i="21"/>
  <c r="D85" i="21"/>
  <c r="F19" i="21"/>
  <c r="AA19" i="21" s="1"/>
  <c r="E81" i="21"/>
  <c r="F81" i="21"/>
  <c r="G81" i="21" s="1"/>
  <c r="D77" i="21"/>
  <c r="E77" i="21"/>
  <c r="B130" i="21"/>
  <c r="B128" i="21"/>
  <c r="J45" i="21" s="1"/>
  <c r="W45" i="21"/>
  <c r="B126" i="21"/>
  <c r="B98" i="21"/>
  <c r="H31" i="21" s="1"/>
  <c r="B96" i="21"/>
  <c r="B94" i="21"/>
  <c r="J29" i="21" s="1"/>
  <c r="AC29" i="21" s="1"/>
  <c r="B92" i="21"/>
  <c r="B90" i="21"/>
  <c r="J27" i="21"/>
  <c r="B74" i="21"/>
  <c r="B72" i="21"/>
  <c r="H13" i="21" s="1"/>
  <c r="B70" i="21"/>
  <c r="F12" i="21"/>
  <c r="S12" i="21" s="1"/>
  <c r="C19" i="21"/>
  <c r="C17" i="21"/>
  <c r="C23" i="21"/>
  <c r="Q9" i="21"/>
  <c r="Z9" i="21"/>
  <c r="Q10" i="21"/>
  <c r="Z10" i="21" s="1"/>
  <c r="Q11" i="21"/>
  <c r="Z11" i="21" s="1"/>
  <c r="Q12" i="21"/>
  <c r="Z12" i="21" s="1"/>
  <c r="Q13" i="21"/>
  <c r="Z13" i="21"/>
  <c r="Q14" i="21"/>
  <c r="Z14" i="21" s="1"/>
  <c r="Q15" i="21"/>
  <c r="Z15" i="21" s="1"/>
  <c r="Q17" i="21"/>
  <c r="Z17" i="21" s="1"/>
  <c r="Q19" i="21"/>
  <c r="Z19" i="21"/>
  <c r="Q23" i="21"/>
  <c r="Z23" i="21" s="1"/>
  <c r="Q25" i="21"/>
  <c r="Z25" i="21" s="1"/>
  <c r="Q26" i="21"/>
  <c r="Z26" i="21" s="1"/>
  <c r="Q27" i="21"/>
  <c r="Z27" i="21"/>
  <c r="Q28" i="21"/>
  <c r="Z28" i="21" s="1"/>
  <c r="Q29" i="21"/>
  <c r="Z29" i="21" s="1"/>
  <c r="Q30" i="21"/>
  <c r="Z30" i="21" s="1"/>
  <c r="Q31" i="21"/>
  <c r="Z31" i="21"/>
  <c r="Q32" i="21"/>
  <c r="Z32" i="21" s="1"/>
  <c r="Q33" i="21"/>
  <c r="Z33" i="21" s="1"/>
  <c r="Q34" i="21"/>
  <c r="Z34" i="21" s="1"/>
  <c r="J35" i="21"/>
  <c r="W35" i="21"/>
  <c r="Q35" i="21"/>
  <c r="Z35" i="21" s="1"/>
  <c r="Q36" i="21"/>
  <c r="Z36" i="21" s="1"/>
  <c r="Q37" i="21"/>
  <c r="Z37" i="21" s="1"/>
  <c r="J38" i="21"/>
  <c r="W38" i="21"/>
  <c r="Q38" i="21"/>
  <c r="Z38" i="21" s="1"/>
  <c r="J39" i="21"/>
  <c r="AC39" i="21" s="1"/>
  <c r="Q39" i="21"/>
  <c r="Z39" i="21" s="1"/>
  <c r="H40" i="21"/>
  <c r="AB40" i="21"/>
  <c r="Q40" i="21"/>
  <c r="Z40" i="21" s="1"/>
  <c r="Q41" i="21"/>
  <c r="Z41" i="21" s="1"/>
  <c r="Q42" i="21"/>
  <c r="Z42" i="21" s="1"/>
  <c r="J43" i="21"/>
  <c r="AC43" i="21"/>
  <c r="Q43" i="21"/>
  <c r="Z43" i="21" s="1"/>
  <c r="Q44" i="21"/>
  <c r="Z44" i="21" s="1"/>
  <c r="Q45" i="21"/>
  <c r="Z45" i="21" s="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L587" i="3" s="1"/>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E5" i="6" s="1"/>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H586" i="3"/>
  <c r="G586" i="3" s="1"/>
  <c r="H587" i="3"/>
  <c r="G587" i="3" s="1"/>
  <c r="F5" i="3"/>
  <c r="G27" i="6"/>
  <c r="F34" i="21"/>
  <c r="AA34" i="21" s="1"/>
  <c r="H34" i="21"/>
  <c r="F43" i="21"/>
  <c r="S43" i="21" s="1"/>
  <c r="H38" i="21"/>
  <c r="U38" i="21" s="1"/>
  <c r="H43" i="21"/>
  <c r="AB43" i="21" s="1"/>
  <c r="F38" i="21"/>
  <c r="S38" i="21" s="1"/>
  <c r="F36" i="21"/>
  <c r="S36" i="21" s="1"/>
  <c r="F39" i="21"/>
  <c r="AA39" i="21" s="1"/>
  <c r="J40" i="21"/>
  <c r="W40" i="21" s="1"/>
  <c r="H35" i="21"/>
  <c r="J8" i="21"/>
  <c r="AC8" i="21" s="1"/>
  <c r="H8" i="21"/>
  <c r="U8" i="21" s="1"/>
  <c r="H10" i="21"/>
  <c r="AB10" i="21" s="1"/>
  <c r="H39" i="21"/>
  <c r="U39" i="21"/>
  <c r="J34" i="21"/>
  <c r="W34" i="21"/>
  <c r="H36" i="21"/>
  <c r="U36" i="21"/>
  <c r="F35" i="21"/>
  <c r="AA35" i="21"/>
  <c r="J10" i="21"/>
  <c r="AC10" i="21" s="1"/>
  <c r="H26" i="21"/>
  <c r="AB26" i="21" s="1"/>
  <c r="AB19" i="21"/>
  <c r="J19" i="21"/>
  <c r="W19" i="21"/>
  <c r="J12" i="21"/>
  <c r="AC12" i="21" s="1"/>
  <c r="H12" i="21"/>
  <c r="AB12" i="21" s="1"/>
  <c r="J26" i="21"/>
  <c r="W26" i="21"/>
  <c r="F26" i="21"/>
  <c r="S26" i="21"/>
  <c r="AB41" i="21"/>
  <c r="S41" i="21"/>
  <c r="AA41" i="21"/>
  <c r="F45" i="39"/>
  <c r="S45" i="39" s="1"/>
  <c r="J45" i="39"/>
  <c r="W45" i="39" s="1"/>
  <c r="J44" i="39"/>
  <c r="F36" i="39"/>
  <c r="S36" i="39" s="1"/>
  <c r="H36" i="39"/>
  <c r="J35" i="39"/>
  <c r="AC35" i="39" s="1"/>
  <c r="F35" i="39"/>
  <c r="AA35" i="39" s="1"/>
  <c r="J36" i="39"/>
  <c r="AC36" i="39" s="1"/>
  <c r="U9" i="39"/>
  <c r="W40" i="39"/>
  <c r="W25" i="37"/>
  <c r="U30" i="37"/>
  <c r="W31" i="37"/>
  <c r="E103" i="37"/>
  <c r="F103" i="37"/>
  <c r="G103" i="37" s="1"/>
  <c r="H103" i="37" s="1"/>
  <c r="I103" i="37" s="1"/>
  <c r="J103" i="37" s="1"/>
  <c r="K103" i="37" s="1"/>
  <c r="L103" i="37" s="1"/>
  <c r="M103" i="37" s="1"/>
  <c r="F39" i="37"/>
  <c r="S39" i="37" s="1"/>
  <c r="U14" i="37"/>
  <c r="F29" i="36"/>
  <c r="AA29" i="36" s="1"/>
  <c r="F16" i="36"/>
  <c r="AA16" i="36" s="1"/>
  <c r="W28" i="36"/>
  <c r="U31" i="36"/>
  <c r="J33" i="36"/>
  <c r="AC33" i="36" s="1"/>
  <c r="H22" i="35"/>
  <c r="AB22" i="35" s="1"/>
  <c r="AC27" i="35"/>
  <c r="W28" i="35"/>
  <c r="U31" i="35"/>
  <c r="S34" i="35"/>
  <c r="W34" i="35"/>
  <c r="W22" i="35"/>
  <c r="S31" i="35"/>
  <c r="U34" i="35"/>
  <c r="F36" i="34"/>
  <c r="AA36" i="34" s="1"/>
  <c r="J35" i="34"/>
  <c r="AC35" i="34" s="1"/>
  <c r="W9" i="34"/>
  <c r="H39" i="33"/>
  <c r="U39" i="33" s="1"/>
  <c r="F26" i="33"/>
  <c r="S26" i="33" s="1"/>
  <c r="S40" i="33"/>
  <c r="H39" i="37"/>
  <c r="AB39" i="37" s="1"/>
  <c r="F11" i="40"/>
  <c r="AA11" i="40"/>
  <c r="H11" i="40"/>
  <c r="AB11" i="40"/>
  <c r="W8" i="40"/>
  <c r="AB39" i="40"/>
  <c r="AC40" i="40"/>
  <c r="AA9" i="40"/>
  <c r="AC9" i="40"/>
  <c r="U9" i="40"/>
  <c r="S34" i="40"/>
  <c r="S40" i="40"/>
  <c r="W31" i="40"/>
  <c r="U34" i="40"/>
  <c r="U40" i="40"/>
  <c r="F42" i="39"/>
  <c r="AA42" i="39" s="1"/>
  <c r="F41" i="39"/>
  <c r="S41" i="39" s="1"/>
  <c r="H40" i="39"/>
  <c r="AB40" i="39" s="1"/>
  <c r="H39" i="39"/>
  <c r="U39" i="39" s="1"/>
  <c r="S38" i="39"/>
  <c r="S34" i="39"/>
  <c r="H34" i="39"/>
  <c r="U34" i="39" s="1"/>
  <c r="E108" i="39"/>
  <c r="F108" i="39" s="1"/>
  <c r="G108" i="39" s="1"/>
  <c r="H108" i="39" s="1"/>
  <c r="I108" i="39" s="1"/>
  <c r="J108" i="39" s="1"/>
  <c r="K108" i="39" s="1"/>
  <c r="L108" i="39" s="1"/>
  <c r="M108" i="39" s="1"/>
  <c r="H31" i="39"/>
  <c r="AB31" i="39" s="1"/>
  <c r="F31" i="39"/>
  <c r="AA31" i="39" s="1"/>
  <c r="E100" i="39"/>
  <c r="F100" i="39" s="1"/>
  <c r="H19" i="39"/>
  <c r="AB19" i="39" s="1"/>
  <c r="F19" i="39"/>
  <c r="AA19" i="39" s="1"/>
  <c r="H17" i="39"/>
  <c r="AB17" i="39" s="1"/>
  <c r="F17" i="39"/>
  <c r="AA17" i="39" s="1"/>
  <c r="J23" i="40"/>
  <c r="AC23" i="40"/>
  <c r="F21" i="40"/>
  <c r="AA21" i="40"/>
  <c r="J21" i="40"/>
  <c r="W21" i="40"/>
  <c r="H42" i="39"/>
  <c r="AB42" i="39" s="1"/>
  <c r="J34" i="39"/>
  <c r="AC34" i="39" s="1"/>
  <c r="J31" i="39"/>
  <c r="H27" i="39"/>
  <c r="U27" i="39" s="1"/>
  <c r="J19" i="39"/>
  <c r="AC19" i="39" s="1"/>
  <c r="J17" i="39"/>
  <c r="J27" i="39"/>
  <c r="AC27" i="39"/>
  <c r="F27" i="39"/>
  <c r="F11" i="21"/>
  <c r="S11" i="21" s="1"/>
  <c r="S40" i="21"/>
  <c r="S34" i="21"/>
  <c r="C27" i="39"/>
  <c r="C21" i="39"/>
  <c r="H11" i="39"/>
  <c r="C15" i="39"/>
  <c r="H11" i="21"/>
  <c r="U11" i="21" s="1"/>
  <c r="J11" i="21"/>
  <c r="W11" i="21" s="1"/>
  <c r="H37" i="40"/>
  <c r="U37" i="40" s="1"/>
  <c r="H36" i="40"/>
  <c r="AB36" i="40" s="1"/>
  <c r="F35" i="40"/>
  <c r="H23" i="40"/>
  <c r="AB23" i="40" s="1"/>
  <c r="H17" i="40"/>
  <c r="U17" i="40" s="1"/>
  <c r="J15" i="40"/>
  <c r="W15" i="40" s="1"/>
  <c r="J11" i="40"/>
  <c r="AB8" i="39"/>
  <c r="AB12" i="33"/>
  <c r="AC12" i="34"/>
  <c r="AB12" i="35"/>
  <c r="AB12" i="36"/>
  <c r="W32" i="40"/>
  <c r="F37" i="39"/>
  <c r="AA37" i="39" s="1"/>
  <c r="J34" i="36"/>
  <c r="W34" i="36" s="1"/>
  <c r="U30" i="36"/>
  <c r="J30" i="35"/>
  <c r="W30" i="35" s="1"/>
  <c r="H30" i="35"/>
  <c r="AB30" i="35" s="1"/>
  <c r="F22" i="35"/>
  <c r="AA22" i="35" s="1"/>
  <c r="H10" i="35"/>
  <c r="U10" i="35" s="1"/>
  <c r="AC16" i="36"/>
  <c r="F33" i="36"/>
  <c r="AA33" i="36" s="1"/>
  <c r="W30" i="36"/>
  <c r="H16" i="36"/>
  <c r="AB16" i="36"/>
  <c r="E85" i="36"/>
  <c r="F85" i="36"/>
  <c r="G85" i="36" s="1"/>
  <c r="H85" i="36" s="1"/>
  <c r="I85" i="36" s="1"/>
  <c r="J85" i="36" s="1"/>
  <c r="K85" i="36" s="1"/>
  <c r="L85" i="36" s="1"/>
  <c r="M85" i="36" s="1"/>
  <c r="J29" i="36"/>
  <c r="AC29" i="36" s="1"/>
  <c r="F12" i="36"/>
  <c r="F24" i="36"/>
  <c r="AA24" i="36" s="1"/>
  <c r="F34" i="36"/>
  <c r="S34" i="36" s="1"/>
  <c r="F14" i="35"/>
  <c r="AA14" i="35" s="1"/>
  <c r="F23" i="35"/>
  <c r="AA23" i="35" s="1"/>
  <c r="J32" i="35"/>
  <c r="AC32" i="35" s="1"/>
  <c r="J16" i="35"/>
  <c r="AC16" i="35"/>
  <c r="H16" i="35"/>
  <c r="U16" i="35"/>
  <c r="F16" i="35"/>
  <c r="S16" i="35"/>
  <c r="H14" i="35"/>
  <c r="AB14" i="35"/>
  <c r="J29" i="35"/>
  <c r="H33" i="35"/>
  <c r="AB33" i="35" s="1"/>
  <c r="J20" i="35"/>
  <c r="F35" i="37"/>
  <c r="S35" i="37" s="1"/>
  <c r="E101" i="37"/>
  <c r="F101" i="37" s="1"/>
  <c r="G101" i="37" s="1"/>
  <c r="H101" i="37" s="1"/>
  <c r="I101" i="37"/>
  <c r="J101" i="37" s="1"/>
  <c r="K101" i="37" s="1"/>
  <c r="L101" i="37" s="1"/>
  <c r="M101" i="37"/>
  <c r="J34" i="37"/>
  <c r="W34" i="37"/>
  <c r="AA39" i="37"/>
  <c r="AB34" i="37"/>
  <c r="J33" i="37"/>
  <c r="AC33" i="37" s="1"/>
  <c r="U42" i="34"/>
  <c r="H40" i="34"/>
  <c r="U40" i="34" s="1"/>
  <c r="H36" i="34"/>
  <c r="U36" i="34" s="1"/>
  <c r="F37" i="34"/>
  <c r="AA37" i="34" s="1"/>
  <c r="F28" i="34"/>
  <c r="AA28" i="34" s="1"/>
  <c r="F27" i="34"/>
  <c r="AA27" i="34" s="1"/>
  <c r="F25" i="34"/>
  <c r="S25" i="34" s="1"/>
  <c r="H23" i="34"/>
  <c r="J23" i="34"/>
  <c r="W23" i="34" s="1"/>
  <c r="F19" i="34"/>
  <c r="S19" i="34" s="1"/>
  <c r="H17" i="34"/>
  <c r="U17" i="34" s="1"/>
  <c r="F15" i="34"/>
  <c r="AA15" i="34" s="1"/>
  <c r="J15" i="34"/>
  <c r="AC15" i="34" s="1"/>
  <c r="H15" i="34"/>
  <c r="AB15" i="34" s="1"/>
  <c r="J28" i="34"/>
  <c r="W28" i="34"/>
  <c r="F41" i="33"/>
  <c r="AA41" i="33" s="1"/>
  <c r="E113" i="33"/>
  <c r="F113" i="33" s="1"/>
  <c r="G113" i="33" s="1"/>
  <c r="H113" i="33" s="1"/>
  <c r="I113" i="33" s="1"/>
  <c r="J113" i="33" s="1"/>
  <c r="K113" i="33" s="1"/>
  <c r="J19" i="33"/>
  <c r="AC19" i="33" s="1"/>
  <c r="J15" i="33"/>
  <c r="W15" i="33" s="1"/>
  <c r="F11" i="33"/>
  <c r="AA11" i="33" s="1"/>
  <c r="U40" i="33"/>
  <c r="F37" i="40"/>
  <c r="AA37" i="40"/>
  <c r="F36" i="40"/>
  <c r="AA36" i="40"/>
  <c r="H28" i="40"/>
  <c r="U28" i="40"/>
  <c r="F23" i="40"/>
  <c r="AA23" i="40"/>
  <c r="F17" i="40"/>
  <c r="AA17" i="40"/>
  <c r="J17" i="40"/>
  <c r="W17" i="40"/>
  <c r="F15" i="40"/>
  <c r="S15" i="40"/>
  <c r="H15" i="40"/>
  <c r="AB15" i="40"/>
  <c r="S12" i="36"/>
  <c r="AA12" i="36"/>
  <c r="AB30" i="36"/>
  <c r="U33" i="35"/>
  <c r="F29" i="35"/>
  <c r="H29" i="35"/>
  <c r="AB29" i="35" s="1"/>
  <c r="H33" i="37"/>
  <c r="AB33" i="37" s="1"/>
  <c r="F33" i="37"/>
  <c r="AA33" i="37" s="1"/>
  <c r="U34" i="37"/>
  <c r="S34" i="37"/>
  <c r="AA34" i="37"/>
  <c r="J43" i="34"/>
  <c r="AB42" i="34"/>
  <c r="J40" i="34"/>
  <c r="AC40" i="34" s="1"/>
  <c r="H114" i="34"/>
  <c r="I114" i="34" s="1"/>
  <c r="J114" i="34" s="1"/>
  <c r="K114" i="34" s="1"/>
  <c r="L114" i="34" s="1"/>
  <c r="M114" i="34" s="1"/>
  <c r="H38" i="34"/>
  <c r="AB38" i="34" s="1"/>
  <c r="J36" i="34"/>
  <c r="W36" i="34" s="1"/>
  <c r="H37" i="34"/>
  <c r="U37" i="34" s="1"/>
  <c r="H25" i="34"/>
  <c r="AB25" i="34" s="1"/>
  <c r="J25" i="34"/>
  <c r="AC25" i="34" s="1"/>
  <c r="F23" i="34"/>
  <c r="AA23" i="34" s="1"/>
  <c r="J19" i="34"/>
  <c r="AC19" i="34" s="1"/>
  <c r="F17" i="34"/>
  <c r="J17" i="34"/>
  <c r="W17" i="34" s="1"/>
  <c r="L113" i="33"/>
  <c r="M113" i="33" s="1"/>
  <c r="H37" i="33"/>
  <c r="AB37" i="33" s="1"/>
  <c r="H15" i="33"/>
  <c r="AB15" i="33" s="1"/>
  <c r="H11" i="33"/>
  <c r="AB11" i="33" s="1"/>
  <c r="F28" i="40"/>
  <c r="AA28" i="40"/>
  <c r="AA42" i="34"/>
  <c r="S42" i="34"/>
  <c r="J37" i="34"/>
  <c r="AC37" i="34" s="1"/>
  <c r="J11" i="33"/>
  <c r="W11" i="33" s="1"/>
  <c r="S28" i="34"/>
  <c r="U23" i="40"/>
  <c r="G123" i="21"/>
  <c r="H123" i="21" s="1"/>
  <c r="I123" i="21"/>
  <c r="J123" i="21" s="1"/>
  <c r="K123" i="21"/>
  <c r="L123" i="21" s="1"/>
  <c r="M123" i="21" s="1"/>
  <c r="J42" i="21"/>
  <c r="AC42" i="21"/>
  <c r="H42" i="21"/>
  <c r="U42" i="21"/>
  <c r="J44" i="34"/>
  <c r="AC44" i="34" s="1"/>
  <c r="F44" i="34"/>
  <c r="AA44" i="34" s="1"/>
  <c r="J10" i="35"/>
  <c r="AC10" i="35" s="1"/>
  <c r="J14" i="21"/>
  <c r="W14" i="21" s="1"/>
  <c r="F14" i="21"/>
  <c r="S14" i="21" s="1"/>
  <c r="H14" i="21"/>
  <c r="U14" i="21" s="1"/>
  <c r="H28" i="21"/>
  <c r="AB28" i="21" s="1"/>
  <c r="F28" i="21"/>
  <c r="AA28" i="21" s="1"/>
  <c r="J28" i="21"/>
  <c r="W28" i="21" s="1"/>
  <c r="H30" i="21"/>
  <c r="U30" i="21" s="1"/>
  <c r="F30" i="21"/>
  <c r="S30" i="21" s="1"/>
  <c r="J30" i="21"/>
  <c r="AC30" i="21" s="1"/>
  <c r="J44" i="21"/>
  <c r="AC44" i="21" s="1"/>
  <c r="H44" i="21"/>
  <c r="U44" i="21" s="1"/>
  <c r="F44" i="21"/>
  <c r="H46" i="21"/>
  <c r="U46" i="21" s="1"/>
  <c r="J46" i="21"/>
  <c r="W46" i="21" s="1"/>
  <c r="F46" i="21"/>
  <c r="AA46" i="21" s="1"/>
  <c r="E119" i="21"/>
  <c r="F119" i="21" s="1"/>
  <c r="G119" i="21" s="1"/>
  <c r="H119" i="21" s="1"/>
  <c r="I119" i="21" s="1"/>
  <c r="J119" i="21" s="1"/>
  <c r="K119" i="21" s="1"/>
  <c r="L119" i="21" s="1"/>
  <c r="M119" i="21" s="1"/>
  <c r="H26" i="33"/>
  <c r="U26" i="33" s="1"/>
  <c r="H28" i="33"/>
  <c r="AB28" i="33" s="1"/>
  <c r="F28" i="33"/>
  <c r="AA28" i="33" s="1"/>
  <c r="J28" i="33"/>
  <c r="AC28" i="33" s="1"/>
  <c r="F33" i="35"/>
  <c r="S33" i="35"/>
  <c r="J33" i="35"/>
  <c r="AC33" i="35" s="1"/>
  <c r="F30" i="35"/>
  <c r="S30" i="35" s="1"/>
  <c r="E89" i="35"/>
  <c r="F89" i="35"/>
  <c r="G89" i="35" s="1"/>
  <c r="H89" i="35"/>
  <c r="I89" i="35" s="1"/>
  <c r="J89" i="35"/>
  <c r="K89" i="35" s="1"/>
  <c r="L89" i="35" s="1"/>
  <c r="M89" i="35" s="1"/>
  <c r="H10" i="36"/>
  <c r="AB10" i="36" s="1"/>
  <c r="J14" i="36"/>
  <c r="AC14" i="36"/>
  <c r="H14" i="36"/>
  <c r="U14" i="36"/>
  <c r="F28" i="36"/>
  <c r="AA28" i="36" s="1"/>
  <c r="J13" i="21"/>
  <c r="H27" i="21"/>
  <c r="AB27" i="21" s="1"/>
  <c r="F27" i="21"/>
  <c r="AA27" i="21" s="1"/>
  <c r="H29" i="21"/>
  <c r="U29" i="21" s="1"/>
  <c r="J31" i="21"/>
  <c r="F31" i="21"/>
  <c r="S31" i="21" s="1"/>
  <c r="F45" i="21"/>
  <c r="AA45" i="21" s="1"/>
  <c r="F27" i="33"/>
  <c r="AA27" i="33" s="1"/>
  <c r="J13" i="33"/>
  <c r="F13" i="33"/>
  <c r="S13" i="33" s="1"/>
  <c r="J29" i="33"/>
  <c r="H31" i="33"/>
  <c r="AB31" i="33" s="1"/>
  <c r="H45" i="33"/>
  <c r="U45" i="33" s="1"/>
  <c r="J45" i="33"/>
  <c r="F45" i="33"/>
  <c r="J14" i="34"/>
  <c r="W14" i="34" s="1"/>
  <c r="F14" i="34"/>
  <c r="S14" i="34" s="1"/>
  <c r="H14" i="34"/>
  <c r="F30" i="34"/>
  <c r="S30" i="34" s="1"/>
  <c r="J30" i="34"/>
  <c r="H32" i="34"/>
  <c r="U32" i="34" s="1"/>
  <c r="F32" i="34"/>
  <c r="J32" i="34"/>
  <c r="W32" i="34" s="1"/>
  <c r="H11" i="35"/>
  <c r="AB11" i="35" s="1"/>
  <c r="J26" i="36"/>
  <c r="W26" i="36" s="1"/>
  <c r="H28" i="36"/>
  <c r="U28" i="36" s="1"/>
  <c r="H32" i="36"/>
  <c r="AB32" i="36" s="1"/>
  <c r="J32" i="36"/>
  <c r="W32" i="36" s="1"/>
  <c r="H11" i="36"/>
  <c r="U11" i="36" s="1"/>
  <c r="H13" i="36"/>
  <c r="AB13" i="36" s="1"/>
  <c r="J13" i="36"/>
  <c r="F13" i="36"/>
  <c r="S13" i="36"/>
  <c r="E89" i="37"/>
  <c r="F89" i="37"/>
  <c r="G89" i="37" s="1"/>
  <c r="H89" i="37" s="1"/>
  <c r="I89" i="37" s="1"/>
  <c r="J89" i="37" s="1"/>
  <c r="K89" i="37" s="1"/>
  <c r="L89" i="37" s="1"/>
  <c r="M89" i="37" s="1"/>
  <c r="J29" i="37"/>
  <c r="F29" i="37"/>
  <c r="S29" i="37" s="1"/>
  <c r="F105" i="37"/>
  <c r="G105" i="37" s="1"/>
  <c r="H36" i="37"/>
  <c r="AB36" i="37"/>
  <c r="J37" i="37"/>
  <c r="AC37" i="37" s="1"/>
  <c r="H37" i="37"/>
  <c r="U37" i="37" s="1"/>
  <c r="H40" i="37"/>
  <c r="U40" i="37" s="1"/>
  <c r="J40" i="37"/>
  <c r="F40" i="37"/>
  <c r="AA40" i="37" s="1"/>
  <c r="AC12" i="40"/>
  <c r="W12" i="40"/>
  <c r="H14" i="33"/>
  <c r="F14" i="33"/>
  <c r="S14" i="33" s="1"/>
  <c r="J14" i="33"/>
  <c r="H30" i="33"/>
  <c r="AB30" i="33"/>
  <c r="F30" i="33"/>
  <c r="J30" i="33"/>
  <c r="W30" i="33" s="1"/>
  <c r="H44" i="33"/>
  <c r="J44" i="33"/>
  <c r="AC44" i="33" s="1"/>
  <c r="F44" i="33"/>
  <c r="S44" i="33" s="1"/>
  <c r="J46" i="33"/>
  <c r="AC46" i="33" s="1"/>
  <c r="F46" i="33"/>
  <c r="AA46" i="33" s="1"/>
  <c r="H46" i="33"/>
  <c r="H13" i="34"/>
  <c r="U13" i="34" s="1"/>
  <c r="J13" i="34"/>
  <c r="W13" i="34" s="1"/>
  <c r="F13" i="34"/>
  <c r="AA13" i="34" s="1"/>
  <c r="J29" i="34"/>
  <c r="W29" i="34" s="1"/>
  <c r="F29" i="34"/>
  <c r="S29" i="34" s="1"/>
  <c r="H29" i="34"/>
  <c r="AB29" i="34" s="1"/>
  <c r="J31" i="34"/>
  <c r="AC31" i="34" s="1"/>
  <c r="H45" i="34"/>
  <c r="U45" i="34" s="1"/>
  <c r="J45" i="34"/>
  <c r="W45" i="34" s="1"/>
  <c r="F45" i="34"/>
  <c r="H47" i="34"/>
  <c r="U47" i="34" s="1"/>
  <c r="F47" i="34"/>
  <c r="S47" i="34" s="1"/>
  <c r="J47" i="34"/>
  <c r="AC47" i="34" s="1"/>
  <c r="F13" i="35"/>
  <c r="J13" i="35"/>
  <c r="AC13" i="35" s="1"/>
  <c r="H13" i="35"/>
  <c r="U13" i="35" s="1"/>
  <c r="J25" i="35"/>
  <c r="W25" i="35" s="1"/>
  <c r="F25" i="35"/>
  <c r="H25" i="35"/>
  <c r="AB25" i="35" s="1"/>
  <c r="J25" i="36"/>
  <c r="W25" i="36" s="1"/>
  <c r="F25" i="36"/>
  <c r="S25" i="36" s="1"/>
  <c r="H25" i="36"/>
  <c r="AB25" i="36" s="1"/>
  <c r="H13" i="37"/>
  <c r="AB13" i="37" s="1"/>
  <c r="F13" i="37"/>
  <c r="S13" i="37"/>
  <c r="J13" i="37"/>
  <c r="W13" i="37" s="1"/>
  <c r="F28" i="37"/>
  <c r="J28" i="37"/>
  <c r="AC28" i="37" s="1"/>
  <c r="H28" i="37"/>
  <c r="U28" i="37" s="1"/>
  <c r="H38" i="37"/>
  <c r="AB38" i="37" s="1"/>
  <c r="J38" i="37"/>
  <c r="F38" i="37"/>
  <c r="S38" i="37" s="1"/>
  <c r="F43" i="39"/>
  <c r="AA43" i="39" s="1"/>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s="1"/>
  <c r="J14" i="40"/>
  <c r="F14" i="40"/>
  <c r="AA14" i="40" s="1"/>
  <c r="J14" i="37"/>
  <c r="AC14" i="37" s="1"/>
  <c r="J27" i="37"/>
  <c r="AC27" i="37" s="1"/>
  <c r="AA44" i="33"/>
  <c r="J36" i="37"/>
  <c r="AC36" i="37"/>
  <c r="J10" i="36"/>
  <c r="AC10" i="36" s="1"/>
  <c r="AB30" i="21"/>
  <c r="AA14" i="37"/>
  <c r="AA14" i="34"/>
  <c r="AC28" i="21"/>
  <c r="BA586" i="3"/>
  <c r="F17" i="21"/>
  <c r="AA17" i="21"/>
  <c r="H17" i="21"/>
  <c r="F15" i="21"/>
  <c r="S15" i="21"/>
  <c r="J41" i="39"/>
  <c r="W41" i="39" s="1"/>
  <c r="AC45" i="39"/>
  <c r="W36" i="39"/>
  <c r="W35" i="39"/>
  <c r="G544" i="3"/>
  <c r="G540" i="3"/>
  <c r="G536" i="3"/>
  <c r="G535" i="3"/>
  <c r="G532" i="3"/>
  <c r="G531" i="3"/>
  <c r="G528" i="3"/>
  <c r="G527" i="3"/>
  <c r="G523" i="3"/>
  <c r="G518" i="3"/>
  <c r="G514" i="3"/>
  <c r="G510" i="3"/>
  <c r="G508" i="3"/>
  <c r="G504" i="3"/>
  <c r="G500" i="3"/>
  <c r="G496" i="3"/>
  <c r="G584" i="3"/>
  <c r="G580" i="3"/>
  <c r="G576" i="3"/>
  <c r="G572" i="3"/>
  <c r="G564" i="3"/>
  <c r="G554" i="3"/>
  <c r="G550" i="3"/>
  <c r="BL584" i="3"/>
  <c r="AZ584" i="3" s="1"/>
  <c r="BL580" i="3"/>
  <c r="BL576" i="3"/>
  <c r="BL572" i="3"/>
  <c r="BL554" i="3"/>
  <c r="BL546" i="3"/>
  <c r="BL542" i="3"/>
  <c r="BL538" i="3"/>
  <c r="BL534" i="3"/>
  <c r="BL530" i="3"/>
  <c r="AZ530" i="3" s="1"/>
  <c r="BL526" i="3"/>
  <c r="BL522" i="3"/>
  <c r="BL516" i="3"/>
  <c r="BL512" i="3"/>
  <c r="AZ512" i="3" s="1"/>
  <c r="BL506" i="3"/>
  <c r="BL502" i="3"/>
  <c r="BL498" i="3"/>
  <c r="AZ498" i="3" s="1"/>
  <c r="BL494" i="3"/>
  <c r="AZ494" i="3" s="1"/>
  <c r="BL582" i="3"/>
  <c r="BL578" i="3"/>
  <c r="BL574" i="3"/>
  <c r="BL570" i="3"/>
  <c r="AZ570" i="3" s="1"/>
  <c r="BL556" i="3"/>
  <c r="BL552" i="3"/>
  <c r="BL544" i="3"/>
  <c r="BL540" i="3"/>
  <c r="BL536" i="3"/>
  <c r="G533" i="3"/>
  <c r="BL532" i="3"/>
  <c r="G529" i="3"/>
  <c r="BL528" i="3"/>
  <c r="G525" i="3"/>
  <c r="BL524" i="3"/>
  <c r="BL518" i="3"/>
  <c r="BL514" i="3"/>
  <c r="BL510" i="3"/>
  <c r="AZ510" i="3" s="1"/>
  <c r="BL504" i="3"/>
  <c r="BL500" i="3"/>
  <c r="BL496" i="3"/>
  <c r="G493" i="3"/>
  <c r="BA584" i="3"/>
  <c r="BA582" i="3"/>
  <c r="AZ582" i="3"/>
  <c r="BA580" i="3"/>
  <c r="AZ580" i="3" s="1"/>
  <c r="BA578" i="3"/>
  <c r="AZ578" i="3" s="1"/>
  <c r="BA576" i="3"/>
  <c r="BA574" i="3"/>
  <c r="AZ574" i="3"/>
  <c r="BA572" i="3"/>
  <c r="BA570" i="3"/>
  <c r="BA568" i="3"/>
  <c r="BA556" i="3"/>
  <c r="AZ556" i="3" s="1"/>
  <c r="BA554" i="3"/>
  <c r="AZ554" i="3"/>
  <c r="BA552" i="3"/>
  <c r="AZ552" i="3" s="1"/>
  <c r="BA548" i="3"/>
  <c r="AZ548" i="3" s="1"/>
  <c r="BA546" i="3"/>
  <c r="BA544" i="3"/>
  <c r="AZ544" i="3" s="1"/>
  <c r="BA542" i="3"/>
  <c r="AZ542" i="3"/>
  <c r="BA540" i="3"/>
  <c r="AZ540" i="3" s="1"/>
  <c r="BA538" i="3"/>
  <c r="AZ538" i="3"/>
  <c r="BA536" i="3"/>
  <c r="AZ536" i="3" s="1"/>
  <c r="BA534" i="3"/>
  <c r="AZ534" i="3"/>
  <c r="BA532" i="3"/>
  <c r="AZ532" i="3" s="1"/>
  <c r="BA530" i="3"/>
  <c r="BA528" i="3"/>
  <c r="AZ528" i="3"/>
  <c r="BA526" i="3"/>
  <c r="AZ526" i="3" s="1"/>
  <c r="BA524" i="3"/>
  <c r="AZ524" i="3"/>
  <c r="BA522" i="3"/>
  <c r="AZ522" i="3" s="1"/>
  <c r="BA520" i="3"/>
  <c r="BA518" i="3"/>
  <c r="AZ518" i="3"/>
  <c r="BA516" i="3"/>
  <c r="AZ516" i="3" s="1"/>
  <c r="BA514" i="3"/>
  <c r="BA512" i="3"/>
  <c r="BA510" i="3"/>
  <c r="BA508" i="3"/>
  <c r="BA506" i="3"/>
  <c r="BA504" i="3"/>
  <c r="AZ504" i="3"/>
  <c r="BA502" i="3"/>
  <c r="BA500" i="3"/>
  <c r="BA498" i="3"/>
  <c r="BA496" i="3"/>
  <c r="BA494" i="3"/>
  <c r="BA583" i="3"/>
  <c r="BA581" i="3"/>
  <c r="BA579" i="3"/>
  <c r="BA577" i="3"/>
  <c r="AZ577" i="3" s="1"/>
  <c r="BA575" i="3"/>
  <c r="BA573" i="3"/>
  <c r="BA571" i="3"/>
  <c r="BA555" i="3"/>
  <c r="BA553" i="3"/>
  <c r="AZ553" i="3" s="1"/>
  <c r="BA549" i="3"/>
  <c r="BA547" i="3"/>
  <c r="AZ547" i="3" s="1"/>
  <c r="BA545" i="3"/>
  <c r="BA543" i="3"/>
  <c r="BA541" i="3"/>
  <c r="AZ541" i="3" s="1"/>
  <c r="BA539" i="3"/>
  <c r="BA537" i="3"/>
  <c r="BA535" i="3"/>
  <c r="BA533" i="3"/>
  <c r="BA531" i="3"/>
  <c r="AZ531" i="3" s="1"/>
  <c r="BA529" i="3"/>
  <c r="BA527" i="3"/>
  <c r="BA525" i="3"/>
  <c r="AZ525" i="3" s="1"/>
  <c r="BA523" i="3"/>
  <c r="BA519" i="3"/>
  <c r="BA517" i="3"/>
  <c r="BA515" i="3"/>
  <c r="AZ515" i="3" s="1"/>
  <c r="BA513" i="3"/>
  <c r="BA511" i="3"/>
  <c r="BA507" i="3"/>
  <c r="BA505" i="3"/>
  <c r="AZ505" i="3" s="1"/>
  <c r="BA503" i="3"/>
  <c r="BA501" i="3"/>
  <c r="BA499" i="3"/>
  <c r="BA497" i="3"/>
  <c r="BA495" i="3"/>
  <c r="AZ495" i="3" s="1"/>
  <c r="BA493" i="3"/>
  <c r="G583" i="3"/>
  <c r="G581" i="3"/>
  <c r="G579" i="3"/>
  <c r="G577" i="3"/>
  <c r="G575" i="3"/>
  <c r="G573" i="3"/>
  <c r="G571" i="3"/>
  <c r="G567" i="3"/>
  <c r="G565" i="3"/>
  <c r="BA557" i="3"/>
  <c r="AZ557" i="3" s="1"/>
  <c r="AC557" i="3"/>
  <c r="G557" i="3" s="1"/>
  <c r="BQ557" i="3"/>
  <c r="BL557" i="3" s="1"/>
  <c r="BQ583" i="3"/>
  <c r="BL583" i="3"/>
  <c r="AZ583" i="3" s="1"/>
  <c r="BQ581" i="3"/>
  <c r="BL581" i="3"/>
  <c r="BQ579" i="3"/>
  <c r="BL579" i="3" s="1"/>
  <c r="BQ577" i="3"/>
  <c r="BL577" i="3"/>
  <c r="BQ575" i="3"/>
  <c r="BL575" i="3"/>
  <c r="AZ575" i="3"/>
  <c r="BQ573" i="3"/>
  <c r="BL573" i="3" s="1"/>
  <c r="AZ573" i="3" s="1"/>
  <c r="BQ571" i="3"/>
  <c r="BL571" i="3"/>
  <c r="BQ569" i="3"/>
  <c r="BQ567" i="3"/>
  <c r="BL567" i="3"/>
  <c r="BQ565" i="3"/>
  <c r="BQ563" i="3"/>
  <c r="BQ561" i="3"/>
  <c r="BQ559" i="3"/>
  <c r="G555" i="3"/>
  <c r="G553" i="3"/>
  <c r="G549" i="3"/>
  <c r="G547" i="3"/>
  <c r="G545" i="3"/>
  <c r="G543" i="3"/>
  <c r="G541" i="3"/>
  <c r="G539" i="3"/>
  <c r="G537" i="3"/>
  <c r="BQ555" i="3"/>
  <c r="BL555" i="3"/>
  <c r="AZ555" i="3"/>
  <c r="BQ553" i="3"/>
  <c r="BL553" i="3" s="1"/>
  <c r="BQ551" i="3"/>
  <c r="BL551" i="3"/>
  <c r="BQ549" i="3"/>
  <c r="BQ547" i="3"/>
  <c r="BL547" i="3"/>
  <c r="BQ545" i="3"/>
  <c r="BL545" i="3"/>
  <c r="AZ545" i="3"/>
  <c r="BQ543" i="3"/>
  <c r="BL543" i="3" s="1"/>
  <c r="AZ543" i="3"/>
  <c r="BQ541" i="3"/>
  <c r="BL541" i="3"/>
  <c r="BQ539" i="3"/>
  <c r="BL539" i="3"/>
  <c r="BQ537" i="3"/>
  <c r="BL537" i="3"/>
  <c r="AZ537" i="3"/>
  <c r="BQ535" i="3"/>
  <c r="BL535" i="3" s="1"/>
  <c r="AZ535" i="3"/>
  <c r="BQ533" i="3"/>
  <c r="BL533" i="3"/>
  <c r="BQ531" i="3"/>
  <c r="BL531" i="3"/>
  <c r="BQ529" i="3"/>
  <c r="BL529" i="3"/>
  <c r="AZ529" i="3"/>
  <c r="BQ527" i="3"/>
  <c r="BL527" i="3" s="1"/>
  <c r="AZ527" i="3"/>
  <c r="BQ525" i="3"/>
  <c r="BL525" i="3"/>
  <c r="BQ523" i="3"/>
  <c r="BL523" i="3"/>
  <c r="BA521" i="3"/>
  <c r="AC521" i="3"/>
  <c r="BQ521" i="3"/>
  <c r="BL521" i="3"/>
  <c r="AZ521" i="3" s="1"/>
  <c r="BL520" i="3"/>
  <c r="AZ520" i="3" s="1"/>
  <c r="G519" i="3"/>
  <c r="G517" i="3"/>
  <c r="G515" i="3"/>
  <c r="G513" i="3"/>
  <c r="G511" i="3"/>
  <c r="BQ519" i="3"/>
  <c r="BL519" i="3"/>
  <c r="AZ519" i="3" s="1"/>
  <c r="BQ517" i="3"/>
  <c r="BL517" i="3"/>
  <c r="AZ517" i="3"/>
  <c r="BQ515" i="3"/>
  <c r="BL515" i="3" s="1"/>
  <c r="BQ513" i="3"/>
  <c r="BL513" i="3"/>
  <c r="BQ511" i="3"/>
  <c r="BL511" i="3"/>
  <c r="AZ511" i="3"/>
  <c r="BA509" i="3"/>
  <c r="AC509" i="3"/>
  <c r="BQ509" i="3"/>
  <c r="BL509" i="3"/>
  <c r="BL508" i="3"/>
  <c r="AZ508" i="3"/>
  <c r="G507" i="3"/>
  <c r="G505" i="3"/>
  <c r="G503" i="3"/>
  <c r="G501" i="3"/>
  <c r="G499" i="3"/>
  <c r="G497" i="3"/>
  <c r="G495" i="3"/>
  <c r="BQ507" i="3"/>
  <c r="BL507" i="3" s="1"/>
  <c r="AZ507" i="3" s="1"/>
  <c r="BQ505" i="3"/>
  <c r="BL505" i="3"/>
  <c r="BQ503" i="3"/>
  <c r="BL503" i="3" s="1"/>
  <c r="AZ503" i="3"/>
  <c r="BQ501" i="3"/>
  <c r="BL501" i="3" s="1"/>
  <c r="AZ501" i="3" s="1"/>
  <c r="BQ499" i="3"/>
  <c r="BL499" i="3"/>
  <c r="AZ499" i="3" s="1"/>
  <c r="BQ497" i="3"/>
  <c r="BL497" i="3" s="1"/>
  <c r="AZ497" i="3" s="1"/>
  <c r="BQ495" i="3"/>
  <c r="BL495" i="3"/>
  <c r="BQ493"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s="1"/>
  <c r="J25" i="21"/>
  <c r="AC25" i="21"/>
  <c r="E125" i="33"/>
  <c r="F125" i="33" s="1"/>
  <c r="G125" i="33" s="1"/>
  <c r="H43" i="33"/>
  <c r="AB43" i="33" s="1"/>
  <c r="H17" i="37"/>
  <c r="U17" i="37" s="1"/>
  <c r="AB27" i="37"/>
  <c r="AA36" i="39"/>
  <c r="F39" i="33"/>
  <c r="AA39" i="33" s="1"/>
  <c r="E123" i="33"/>
  <c r="F123" i="33" s="1"/>
  <c r="F42" i="33"/>
  <c r="AA42" i="33" s="1"/>
  <c r="H28" i="34"/>
  <c r="AB28" i="34" s="1"/>
  <c r="F14" i="36"/>
  <c r="AA14" i="36" s="1"/>
  <c r="F22" i="36"/>
  <c r="S22" i="36"/>
  <c r="F26" i="36"/>
  <c r="S26" i="36" s="1"/>
  <c r="H27" i="34"/>
  <c r="AB27" i="34" s="1"/>
  <c r="H35" i="34"/>
  <c r="U35" i="34" s="1"/>
  <c r="F41" i="34"/>
  <c r="S41" i="34" s="1"/>
  <c r="H41" i="34"/>
  <c r="U41" i="34" s="1"/>
  <c r="J41" i="34"/>
  <c r="AC41" i="34"/>
  <c r="F10" i="35"/>
  <c r="S10" i="35" s="1"/>
  <c r="F24" i="35"/>
  <c r="AA24" i="35"/>
  <c r="H24" i="35"/>
  <c r="AB24" i="35" s="1"/>
  <c r="H23" i="37"/>
  <c r="AB23" i="37"/>
  <c r="J32" i="37"/>
  <c r="AC32" i="37" s="1"/>
  <c r="F36" i="37"/>
  <c r="AA36" i="37"/>
  <c r="F37" i="37"/>
  <c r="F31" i="40"/>
  <c r="AA31" i="40"/>
  <c r="H31" i="40"/>
  <c r="U31" i="40" s="1"/>
  <c r="F32" i="40"/>
  <c r="S32" i="40"/>
  <c r="H32" i="40"/>
  <c r="J36" i="40"/>
  <c r="W36" i="40"/>
  <c r="AA41" i="34"/>
  <c r="H19" i="37"/>
  <c r="AB19" i="37" s="1"/>
  <c r="G123" i="33"/>
  <c r="H123" i="33" s="1"/>
  <c r="I123" i="33" s="1"/>
  <c r="J123" i="33" s="1"/>
  <c r="K123" i="33" s="1"/>
  <c r="L123" i="33" s="1"/>
  <c r="M123" i="33" s="1"/>
  <c r="H42" i="33"/>
  <c r="AB42" i="33"/>
  <c r="J43" i="33"/>
  <c r="W43" i="33" s="1"/>
  <c r="S28" i="31"/>
  <c r="S27" i="31"/>
  <c r="S26" i="31"/>
  <c r="U14" i="40"/>
  <c r="AA12" i="35"/>
  <c r="W14" i="37"/>
  <c r="AB28" i="37"/>
  <c r="U33" i="37"/>
  <c r="U39" i="37"/>
  <c r="W26" i="37"/>
  <c r="U26" i="37"/>
  <c r="AB13" i="34"/>
  <c r="AA13" i="33"/>
  <c r="W44" i="33"/>
  <c r="U11" i="33"/>
  <c r="U19" i="21"/>
  <c r="W44" i="21"/>
  <c r="U26" i="21"/>
  <c r="AC46" i="21"/>
  <c r="U12" i="21"/>
  <c r="AB38" i="21"/>
  <c r="F43" i="33"/>
  <c r="AA43" i="33" s="1"/>
  <c r="W15" i="34"/>
  <c r="W16" i="35"/>
  <c r="G107" i="37"/>
  <c r="H107" i="37"/>
  <c r="I107" i="37"/>
  <c r="J107" i="37" s="1"/>
  <c r="K107" i="37" s="1"/>
  <c r="L107" i="37" s="1"/>
  <c r="M107" i="37"/>
  <c r="H37" i="21"/>
  <c r="U37" i="21" s="1"/>
  <c r="S42" i="21"/>
  <c r="H19" i="34"/>
  <c r="AB19" i="34" s="1"/>
  <c r="F36" i="35"/>
  <c r="S36" i="35" s="1"/>
  <c r="J9" i="37"/>
  <c r="W9" i="37" s="1"/>
  <c r="H9" i="37"/>
  <c r="U9" i="37" s="1"/>
  <c r="F9" i="37"/>
  <c r="S9" i="37" s="1"/>
  <c r="F12" i="37"/>
  <c r="S12" i="37" s="1"/>
  <c r="E71" i="37"/>
  <c r="F71" i="37" s="1"/>
  <c r="G71" i="37" s="1"/>
  <c r="F15" i="37"/>
  <c r="AA15" i="37"/>
  <c r="E94" i="37"/>
  <c r="F31" i="37"/>
  <c r="S31" i="37" s="1"/>
  <c r="J42" i="39"/>
  <c r="AC42" i="39" s="1"/>
  <c r="H21" i="40"/>
  <c r="AB21" i="40" s="1"/>
  <c r="F94" i="37"/>
  <c r="G94" i="37" s="1"/>
  <c r="H94" i="37" s="1"/>
  <c r="I94" i="37" s="1"/>
  <c r="J94" i="37" s="1"/>
  <c r="K94" i="37" s="1"/>
  <c r="L94" i="37" s="1"/>
  <c r="M94" i="37" s="1"/>
  <c r="H31" i="37"/>
  <c r="U31" i="37" s="1"/>
  <c r="J15" i="37"/>
  <c r="AT6" i="3"/>
  <c r="AA25" i="21"/>
  <c r="H19" i="40"/>
  <c r="U19" i="40" s="1"/>
  <c r="F88" i="40"/>
  <c r="G88" i="40"/>
  <c r="F19" i="40"/>
  <c r="S19" i="40" s="1"/>
  <c r="S14" i="40"/>
  <c r="AC13" i="40"/>
  <c r="AB33" i="40"/>
  <c r="W23" i="39"/>
  <c r="AC43" i="39"/>
  <c r="W43" i="39"/>
  <c r="U45" i="39"/>
  <c r="AB45" i="39"/>
  <c r="G100" i="39"/>
  <c r="H37" i="39"/>
  <c r="AB37" i="39"/>
  <c r="AC37" i="39"/>
  <c r="W37" i="39"/>
  <c r="H25" i="39"/>
  <c r="AB25" i="39"/>
  <c r="J25" i="39"/>
  <c r="AC25" i="39" s="1"/>
  <c r="F25" i="39"/>
  <c r="AA25" i="39" s="1"/>
  <c r="F15" i="39"/>
  <c r="AA15" i="39" s="1"/>
  <c r="H15" i="39"/>
  <c r="U15" i="39" s="1"/>
  <c r="J15" i="39"/>
  <c r="W15" i="39" s="1"/>
  <c r="H41" i="39"/>
  <c r="AB41" i="39" s="1"/>
  <c r="W27" i="39"/>
  <c r="AB34" i="39"/>
  <c r="U40" i="39"/>
  <c r="S42" i="39"/>
  <c r="AA41" i="39"/>
  <c r="W9" i="39"/>
  <c r="W8" i="39"/>
  <c r="J19" i="40"/>
  <c r="AC19" i="40" s="1"/>
  <c r="J50" i="40"/>
  <c r="H103" i="9"/>
  <c r="B16" i="53"/>
  <c r="B33" i="72" s="1"/>
  <c r="C7" i="37"/>
  <c r="C52" i="37" s="1"/>
  <c r="D52" i="37" s="1"/>
  <c r="C7" i="34"/>
  <c r="C7" i="36"/>
  <c r="C46" i="36" s="1"/>
  <c r="D46" i="36" s="1"/>
  <c r="E46" i="36" s="1"/>
  <c r="F46" i="36" s="1"/>
  <c r="G46" i="36" s="1"/>
  <c r="H46" i="36" s="1"/>
  <c r="I46" i="36" s="1"/>
  <c r="W35" i="40"/>
  <c r="A118" i="9"/>
  <c r="A4" i="52"/>
  <c r="B41" i="72" s="1"/>
  <c r="J11" i="39"/>
  <c r="F11" i="39"/>
  <c r="AA11" i="39"/>
  <c r="S11" i="39"/>
  <c r="G4" i="4"/>
  <c r="I4" i="4"/>
  <c r="A2" i="9"/>
  <c r="F61" i="43"/>
  <c r="H64" i="43" s="1"/>
  <c r="AZ20" i="3"/>
  <c r="AZ24" i="3"/>
  <c r="AZ28" i="3"/>
  <c r="BL549" i="3"/>
  <c r="AZ502" i="3"/>
  <c r="AZ514" i="3"/>
  <c r="AZ546" i="3"/>
  <c r="G546" i="3"/>
  <c r="G524" i="3"/>
  <c r="G303" i="3"/>
  <c r="BL304" i="3"/>
  <c r="G305" i="3"/>
  <c r="BL306" i="3"/>
  <c r="BA308" i="3"/>
  <c r="AZ308" i="3"/>
  <c r="BA309" i="3"/>
  <c r="BL309" i="3"/>
  <c r="G310" i="3"/>
  <c r="BA311" i="3"/>
  <c r="G319" i="3"/>
  <c r="BL320" i="3"/>
  <c r="G321" i="3"/>
  <c r="BL322" i="3"/>
  <c r="AZ322" i="3" s="1"/>
  <c r="BA324" i="3"/>
  <c r="AZ324" i="3" s="1"/>
  <c r="BA325" i="3"/>
  <c r="BL325" i="3"/>
  <c r="G326" i="3"/>
  <c r="BA327" i="3"/>
  <c r="G335" i="3"/>
  <c r="BL336" i="3"/>
  <c r="G337" i="3"/>
  <c r="BL338" i="3"/>
  <c r="BA340" i="3"/>
  <c r="AZ340" i="3"/>
  <c r="BA341" i="3"/>
  <c r="BL341" i="3"/>
  <c r="BA343" i="3"/>
  <c r="BA345" i="3"/>
  <c r="BL355" i="3"/>
  <c r="G356" i="3"/>
  <c r="BL357" i="3"/>
  <c r="BA359" i="3"/>
  <c r="AZ359" i="3" s="1"/>
  <c r="BA360" i="3"/>
  <c r="BL360" i="3"/>
  <c r="G361" i="3"/>
  <c r="BA362" i="3"/>
  <c r="AZ362" i="3" s="1"/>
  <c r="G370" i="3"/>
  <c r="BL371" i="3"/>
  <c r="G372" i="3"/>
  <c r="BL373" i="3"/>
  <c r="BA375" i="3"/>
  <c r="AZ375" i="3"/>
  <c r="BA376" i="3"/>
  <c r="AZ376" i="3" s="1"/>
  <c r="BL376" i="3"/>
  <c r="G377" i="3"/>
  <c r="BA378" i="3"/>
  <c r="AZ378" i="3" s="1"/>
  <c r="BL378" i="3"/>
  <c r="G379" i="3"/>
  <c r="BA380" i="3"/>
  <c r="AZ380" i="3" s="1"/>
  <c r="G388" i="3"/>
  <c r="BL389" i="3"/>
  <c r="G390" i="3"/>
  <c r="BL391" i="3"/>
  <c r="BA393" i="3"/>
  <c r="AZ393" i="3" s="1"/>
  <c r="BA394" i="3"/>
  <c r="BL394" i="3"/>
  <c r="AZ394" i="3" s="1"/>
  <c r="G113" i="3"/>
  <c r="BA115" i="3"/>
  <c r="AZ115" i="3"/>
  <c r="BL116" i="3"/>
  <c r="G117" i="3"/>
  <c r="BA119" i="3"/>
  <c r="AZ119" i="3"/>
  <c r="BL120" i="3"/>
  <c r="G121" i="3"/>
  <c r="BA123" i="3"/>
  <c r="AZ123" i="3"/>
  <c r="BL124" i="3"/>
  <c r="AZ124" i="3" s="1"/>
  <c r="G125" i="3"/>
  <c r="BA127" i="3"/>
  <c r="AZ127" i="3" s="1"/>
  <c r="BL128" i="3"/>
  <c r="G129" i="3"/>
  <c r="BA131" i="3"/>
  <c r="AZ131" i="3" s="1"/>
  <c r="BL132" i="3"/>
  <c r="AZ132" i="3"/>
  <c r="G133" i="3"/>
  <c r="BA135" i="3"/>
  <c r="AZ135" i="3" s="1"/>
  <c r="BL136" i="3"/>
  <c r="AZ136" i="3" s="1"/>
  <c r="G137" i="3"/>
  <c r="BA139" i="3"/>
  <c r="AZ139" i="3" s="1"/>
  <c r="BL140" i="3"/>
  <c r="AZ140" i="3"/>
  <c r="G141" i="3"/>
  <c r="BA143" i="3"/>
  <c r="AZ143" i="3"/>
  <c r="BL144" i="3"/>
  <c r="G145" i="3"/>
  <c r="BA147" i="3"/>
  <c r="AZ147" i="3"/>
  <c r="BL148" i="3"/>
  <c r="AZ148" i="3" s="1"/>
  <c r="G149" i="3"/>
  <c r="BA151" i="3"/>
  <c r="AZ151" i="3"/>
  <c r="BL152" i="3"/>
  <c r="G153" i="3"/>
  <c r="BA155" i="3"/>
  <c r="AZ155" i="3"/>
  <c r="BL156" i="3"/>
  <c r="AZ156" i="3" s="1"/>
  <c r="G157" i="3"/>
  <c r="BA159" i="3"/>
  <c r="AZ159" i="3" s="1"/>
  <c r="BL160" i="3"/>
  <c r="G161" i="3"/>
  <c r="BA163" i="3"/>
  <c r="AZ163" i="3" s="1"/>
  <c r="BL164" i="3"/>
  <c r="AZ164" i="3"/>
  <c r="G165" i="3"/>
  <c r="BA167" i="3"/>
  <c r="AZ167" i="3" s="1"/>
  <c r="BL168" i="3"/>
  <c r="AZ168" i="3" s="1"/>
  <c r="G169" i="3"/>
  <c r="BA171" i="3"/>
  <c r="AZ171" i="3" s="1"/>
  <c r="BL172" i="3"/>
  <c r="AZ172" i="3"/>
  <c r="G173" i="3"/>
  <c r="BA175" i="3"/>
  <c r="AZ175" i="3"/>
  <c r="BL176" i="3"/>
  <c r="AZ176" i="3" s="1"/>
  <c r="G177" i="3"/>
  <c r="BA179" i="3"/>
  <c r="AZ179" i="3"/>
  <c r="BL180" i="3"/>
  <c r="AZ180" i="3" s="1"/>
  <c r="G181" i="3"/>
  <c r="BA183" i="3"/>
  <c r="AZ183" i="3"/>
  <c r="BL184" i="3"/>
  <c r="G185" i="3"/>
  <c r="BA187" i="3"/>
  <c r="AZ187" i="3"/>
  <c r="BL188" i="3"/>
  <c r="AZ188" i="3" s="1"/>
  <c r="G189" i="3"/>
  <c r="BA191" i="3"/>
  <c r="AZ191" i="3" s="1"/>
  <c r="BL192" i="3"/>
  <c r="G193" i="3"/>
  <c r="BA195" i="3"/>
  <c r="AZ195" i="3" s="1"/>
  <c r="BL196" i="3"/>
  <c r="AZ196" i="3"/>
  <c r="G197" i="3"/>
  <c r="BA199" i="3"/>
  <c r="AZ199" i="3" s="1"/>
  <c r="BL200" i="3"/>
  <c r="AZ200" i="3" s="1"/>
  <c r="G201" i="3"/>
  <c r="BA203" i="3"/>
  <c r="AZ203" i="3" s="1"/>
  <c r="BL204" i="3"/>
  <c r="AZ204" i="3"/>
  <c r="AZ39" i="3"/>
  <c r="AZ43" i="3"/>
  <c r="AZ51" i="3"/>
  <c r="AZ55" i="3"/>
  <c r="AZ63" i="3"/>
  <c r="AZ152" i="3"/>
  <c r="AZ160" i="3"/>
  <c r="AZ184" i="3"/>
  <c r="AZ192" i="3"/>
  <c r="AZ97" i="3"/>
  <c r="AZ105" i="3"/>
  <c r="AZ109" i="3"/>
  <c r="AZ120" i="3"/>
  <c r="G534" i="3"/>
  <c r="G530" i="3"/>
  <c r="G522" i="3"/>
  <c r="G516" i="3"/>
  <c r="G512" i="3"/>
  <c r="G506" i="3"/>
  <c r="G498" i="3"/>
  <c r="G494" i="3"/>
  <c r="G16" i="3"/>
  <c r="G15" i="3"/>
  <c r="BA304" i="3"/>
  <c r="AZ304" i="3" s="1"/>
  <c r="BA305" i="3"/>
  <c r="AZ305" i="3"/>
  <c r="BL305" i="3"/>
  <c r="G306" i="3"/>
  <c r="G309" i="3"/>
  <c r="BL310" i="3"/>
  <c r="BA312" i="3"/>
  <c r="AZ312" i="3" s="1"/>
  <c r="BA313" i="3"/>
  <c r="AZ313" i="3" s="1"/>
  <c r="BL313" i="3"/>
  <c r="G314" i="3"/>
  <c r="G317" i="3"/>
  <c r="BL318" i="3"/>
  <c r="AZ318" i="3" s="1"/>
  <c r="BA320" i="3"/>
  <c r="AZ320" i="3" s="1"/>
  <c r="BA321" i="3"/>
  <c r="AZ321" i="3"/>
  <c r="BL321" i="3"/>
  <c r="G322" i="3"/>
  <c r="G325" i="3"/>
  <c r="BL326" i="3"/>
  <c r="BA328" i="3"/>
  <c r="AZ328" i="3" s="1"/>
  <c r="BA329" i="3"/>
  <c r="BL329" i="3"/>
  <c r="G330" i="3"/>
  <c r="G333" i="3"/>
  <c r="BL334" i="3"/>
  <c r="AZ334" i="3" s="1"/>
  <c r="BA336" i="3"/>
  <c r="BA337" i="3"/>
  <c r="AZ337" i="3"/>
  <c r="BL337" i="3"/>
  <c r="G338" i="3"/>
  <c r="G341" i="3"/>
  <c r="BA342" i="3"/>
  <c r="AZ342" i="3" s="1"/>
  <c r="BL342" i="3"/>
  <c r="BA344" i="3"/>
  <c r="BL344" i="3"/>
  <c r="BA346" i="3"/>
  <c r="AZ346" i="3"/>
  <c r="BA347" i="3"/>
  <c r="AZ347" i="3" s="1"/>
  <c r="BL347" i="3"/>
  <c r="G350" i="3"/>
  <c r="BA351" i="3"/>
  <c r="AZ351" i="3" s="1"/>
  <c r="BL351" i="3"/>
  <c r="G352" i="3"/>
  <c r="G354" i="3"/>
  <c r="BA355" i="3"/>
  <c r="AZ355" i="3" s="1"/>
  <c r="BA356" i="3"/>
  <c r="BL356" i="3"/>
  <c r="AZ356" i="3" s="1"/>
  <c r="G357" i="3"/>
  <c r="G360" i="3"/>
  <c r="BL361" i="3"/>
  <c r="BA363" i="3"/>
  <c r="AZ363" i="3" s="1"/>
  <c r="BA364" i="3"/>
  <c r="BL364" i="3"/>
  <c r="AZ364" i="3" s="1"/>
  <c r="G365" i="3"/>
  <c r="G368" i="3"/>
  <c r="BL369" i="3"/>
  <c r="BA371" i="3"/>
  <c r="AZ371" i="3"/>
  <c r="BA372" i="3"/>
  <c r="AZ372" i="3" s="1"/>
  <c r="BL372" i="3"/>
  <c r="G373" i="3"/>
  <c r="G376" i="3"/>
  <c r="BL377" i="3"/>
  <c r="BL379" i="3"/>
  <c r="BA381" i="3"/>
  <c r="AZ381" i="3" s="1"/>
  <c r="BA382" i="3"/>
  <c r="BL382" i="3"/>
  <c r="G383" i="3"/>
  <c r="G386" i="3"/>
  <c r="BL387" i="3"/>
  <c r="BA389" i="3"/>
  <c r="AZ389" i="3"/>
  <c r="BA390" i="3"/>
  <c r="BL390" i="3"/>
  <c r="G391" i="3"/>
  <c r="G394" i="3"/>
  <c r="AZ146" i="3"/>
  <c r="AZ154" i="3"/>
  <c r="AZ158" i="3"/>
  <c r="AZ162" i="3"/>
  <c r="AZ166" i="3"/>
  <c r="AZ170" i="3"/>
  <c r="AZ174" i="3"/>
  <c r="AZ178" i="3"/>
  <c r="AZ182" i="3"/>
  <c r="AZ186" i="3"/>
  <c r="AZ190" i="3"/>
  <c r="AZ194" i="3"/>
  <c r="AZ198" i="3"/>
  <c r="AZ202" i="3"/>
  <c r="AZ206" i="3"/>
  <c r="AZ500" i="3"/>
  <c r="BA16" i="3"/>
  <c r="AZ16" i="3" s="1"/>
  <c r="BL303" i="3"/>
  <c r="G304" i="3"/>
  <c r="BA306" i="3"/>
  <c r="AZ306" i="3" s="1"/>
  <c r="BL307" i="3"/>
  <c r="AZ307" i="3"/>
  <c r="G308" i="3"/>
  <c r="BA310" i="3"/>
  <c r="BL311" i="3"/>
  <c r="AZ311" i="3"/>
  <c r="G312" i="3"/>
  <c r="BA314" i="3"/>
  <c r="AZ314" i="3"/>
  <c r="BL315" i="3"/>
  <c r="AZ315" i="3" s="1"/>
  <c r="G316" i="3"/>
  <c r="BA318" i="3"/>
  <c r="BL319" i="3"/>
  <c r="G320" i="3"/>
  <c r="BA322" i="3"/>
  <c r="BL323" i="3"/>
  <c r="AZ323" i="3" s="1"/>
  <c r="G324" i="3"/>
  <c r="BA326" i="3"/>
  <c r="BL327" i="3"/>
  <c r="AZ327" i="3"/>
  <c r="G328" i="3"/>
  <c r="BA330" i="3"/>
  <c r="AZ330" i="3" s="1"/>
  <c r="BL331" i="3"/>
  <c r="AZ331" i="3"/>
  <c r="G332" i="3"/>
  <c r="BA334" i="3"/>
  <c r="BL335" i="3"/>
  <c r="AZ335" i="3" s="1"/>
  <c r="G336" i="3"/>
  <c r="BA338" i="3"/>
  <c r="AZ338" i="3"/>
  <c r="BL339" i="3"/>
  <c r="AZ339" i="3" s="1"/>
  <c r="G340" i="3"/>
  <c r="BL343" i="3"/>
  <c r="G344" i="3"/>
  <c r="G348" i="3"/>
  <c r="G355" i="3"/>
  <c r="AZ218" i="3"/>
  <c r="AZ222" i="3"/>
  <c r="AZ303" i="3"/>
  <c r="AZ319" i="3"/>
  <c r="G342" i="3"/>
  <c r="BL345" i="3"/>
  <c r="AZ345" i="3"/>
  <c r="G346" i="3"/>
  <c r="AZ348" i="3"/>
  <c r="BL349" i="3"/>
  <c r="AZ349" i="3"/>
  <c r="BL352" i="3"/>
  <c r="AZ352" i="3" s="1"/>
  <c r="G353" i="3"/>
  <c r="BA357" i="3"/>
  <c r="AZ357" i="3"/>
  <c r="BL358" i="3"/>
  <c r="AZ358" i="3" s="1"/>
  <c r="G359" i="3"/>
  <c r="BA361" i="3"/>
  <c r="AZ361" i="3" s="1"/>
  <c r="BL362" i="3"/>
  <c r="G363" i="3"/>
  <c r="BA365" i="3"/>
  <c r="AZ365" i="3" s="1"/>
  <c r="BL366" i="3"/>
  <c r="AZ366" i="3"/>
  <c r="G367" i="3"/>
  <c r="BA369" i="3"/>
  <c r="AZ369" i="3" s="1"/>
  <c r="BL370" i="3"/>
  <c r="G371" i="3"/>
  <c r="BA373" i="3"/>
  <c r="AZ373" i="3" s="1"/>
  <c r="BL374" i="3"/>
  <c r="AZ374" i="3"/>
  <c r="G375" i="3"/>
  <c r="BA377" i="3"/>
  <c r="AZ377" i="3"/>
  <c r="AZ229" i="3"/>
  <c r="AZ233" i="3"/>
  <c r="AZ237" i="3"/>
  <c r="AZ241" i="3"/>
  <c r="AZ249" i="3"/>
  <c r="AZ253" i="3"/>
  <c r="AZ257" i="3"/>
  <c r="AZ261" i="3"/>
  <c r="AZ273" i="3"/>
  <c r="AZ370" i="3"/>
  <c r="BA379" i="3"/>
  <c r="AZ379" i="3" s="1"/>
  <c r="BL380" i="3"/>
  <c r="G381" i="3"/>
  <c r="BA383" i="3"/>
  <c r="AZ383" i="3" s="1"/>
  <c r="BL384" i="3"/>
  <c r="G385" i="3"/>
  <c r="BA387" i="3"/>
  <c r="AZ387" i="3" s="1"/>
  <c r="BL388" i="3"/>
  <c r="AZ388" i="3" s="1"/>
  <c r="G389" i="3"/>
  <c r="BA391" i="3"/>
  <c r="BL392" i="3"/>
  <c r="AZ392" i="3" s="1"/>
  <c r="G393" i="3"/>
  <c r="AZ263" i="3"/>
  <c r="AZ279" i="3"/>
  <c r="AZ287" i="3"/>
  <c r="AZ291" i="3"/>
  <c r="AZ295" i="3"/>
  <c r="AZ309" i="3"/>
  <c r="AZ317" i="3"/>
  <c r="AZ333" i="3"/>
  <c r="AZ341" i="3"/>
  <c r="AZ549" i="3"/>
  <c r="AZ506" i="3"/>
  <c r="AZ496" i="3"/>
  <c r="G548" i="3"/>
  <c r="G538" i="3"/>
  <c r="G520" i="3"/>
  <c r="G502" i="3"/>
  <c r="AZ343" i="3"/>
  <c r="G17" i="3"/>
  <c r="BA17" i="3"/>
  <c r="AZ350" i="3"/>
  <c r="AZ360" i="3"/>
  <c r="AZ368" i="3"/>
  <c r="BA15" i="3"/>
  <c r="AZ15" i="3"/>
  <c r="AZ509" i="3"/>
  <c r="G509" i="3"/>
  <c r="BL493" i="3"/>
  <c r="AZ493" i="3" s="1"/>
  <c r="AZ491" i="3"/>
  <c r="AZ390" i="3"/>
  <c r="AZ382" i="3"/>
  <c r="U36" i="40"/>
  <c r="F83" i="43"/>
  <c r="H85" i="43" s="1"/>
  <c r="F50" i="43"/>
  <c r="H54" i="43" s="1"/>
  <c r="F72" i="43"/>
  <c r="H75" i="43" s="1"/>
  <c r="U17" i="39"/>
  <c r="S14" i="35"/>
  <c r="U43" i="21"/>
  <c r="AC35" i="21"/>
  <c r="G8" i="1"/>
  <c r="G10" i="1"/>
  <c r="W37" i="37"/>
  <c r="W44" i="34"/>
  <c r="S15" i="37"/>
  <c r="U13" i="37"/>
  <c r="U12" i="40"/>
  <c r="AA12" i="40"/>
  <c r="J37" i="33"/>
  <c r="W37" i="33" s="1"/>
  <c r="F106" i="33"/>
  <c r="G106" i="33" s="1"/>
  <c r="H106" i="33" s="1"/>
  <c r="I106" i="33" s="1"/>
  <c r="J106" i="33" s="1"/>
  <c r="K106" i="33" s="1"/>
  <c r="L106" i="33" s="1"/>
  <c r="M106" i="33" s="1"/>
  <c r="J34" i="33"/>
  <c r="W34" i="33" s="1"/>
  <c r="F33" i="34"/>
  <c r="S33" i="34" s="1"/>
  <c r="W12" i="36"/>
  <c r="AC12" i="36"/>
  <c r="H20" i="36"/>
  <c r="J20" i="36"/>
  <c r="W20" i="36"/>
  <c r="W24" i="36"/>
  <c r="J27" i="36"/>
  <c r="W27" i="36" s="1"/>
  <c r="AB25" i="37"/>
  <c r="AC33" i="40"/>
  <c r="F111" i="40"/>
  <c r="G111" i="40" s="1"/>
  <c r="H111" i="40" s="1"/>
  <c r="I111" i="40" s="1"/>
  <c r="J111" i="40" s="1"/>
  <c r="K111" i="40" s="1"/>
  <c r="L111" i="40" s="1"/>
  <c r="M111" i="40" s="1"/>
  <c r="H35" i="40"/>
  <c r="AC29" i="35"/>
  <c r="W29" i="35"/>
  <c r="H35" i="37"/>
  <c r="AC14" i="35"/>
  <c r="H20" i="35"/>
  <c r="U20" i="35"/>
  <c r="F20" i="35"/>
  <c r="AA20" i="35" s="1"/>
  <c r="AB23" i="35"/>
  <c r="AB29" i="36"/>
  <c r="U29" i="36"/>
  <c r="H32" i="37"/>
  <c r="AB32" i="37"/>
  <c r="F96" i="37"/>
  <c r="G96" i="37" s="1"/>
  <c r="H96" i="37" s="1"/>
  <c r="I96" i="37" s="1"/>
  <c r="H27" i="40"/>
  <c r="U27" i="40" s="1"/>
  <c r="J27" i="40"/>
  <c r="W27" i="40" s="1"/>
  <c r="AC27" i="40"/>
  <c r="F27" i="40"/>
  <c r="S27" i="40" s="1"/>
  <c r="J30" i="40"/>
  <c r="AC30" i="40"/>
  <c r="F30" i="40"/>
  <c r="AA30" i="40" s="1"/>
  <c r="AC21" i="40"/>
  <c r="S31" i="39"/>
  <c r="S11" i="40"/>
  <c r="E98" i="40"/>
  <c r="F98" i="40"/>
  <c r="G98" i="40"/>
  <c r="H98" i="40" s="1"/>
  <c r="I98" i="40" s="1"/>
  <c r="J98" i="40" s="1"/>
  <c r="K98" i="40" s="1"/>
  <c r="L98" i="40" s="1"/>
  <c r="M98" i="40" s="1"/>
  <c r="F10" i="33"/>
  <c r="S10" i="33" s="1"/>
  <c r="F34" i="33"/>
  <c r="H34" i="33"/>
  <c r="U34" i="33" s="1"/>
  <c r="F35" i="33"/>
  <c r="F39" i="34"/>
  <c r="AA39" i="34" s="1"/>
  <c r="J39" i="34"/>
  <c r="F40" i="34"/>
  <c r="S40" i="34" s="1"/>
  <c r="F43" i="34"/>
  <c r="AA43" i="34" s="1"/>
  <c r="H44" i="34"/>
  <c r="AB44" i="34" s="1"/>
  <c r="AC38" i="39"/>
  <c r="F39" i="39"/>
  <c r="S39" i="39" s="1"/>
  <c r="J39" i="39"/>
  <c r="AC39" i="39" s="1"/>
  <c r="E96" i="39"/>
  <c r="F96" i="39" s="1"/>
  <c r="G96" i="39" s="1"/>
  <c r="AZ353" i="3"/>
  <c r="AZ354" i="3"/>
  <c r="AZ386" i="3"/>
  <c r="C40" i="11"/>
  <c r="AZ215" i="3"/>
  <c r="AZ223" i="3"/>
  <c r="AZ227" i="3"/>
  <c r="AZ232" i="3"/>
  <c r="AZ243" i="3"/>
  <c r="AZ251" i="3"/>
  <c r="AZ256" i="3"/>
  <c r="AZ268" i="3"/>
  <c r="AZ271" i="3"/>
  <c r="AZ280" i="3"/>
  <c r="AZ117" i="3"/>
  <c r="AZ133" i="3"/>
  <c r="AZ21" i="3"/>
  <c r="AZ29" i="3"/>
  <c r="AZ31" i="3"/>
  <c r="AZ33" i="3"/>
  <c r="AZ42" i="3"/>
  <c r="AZ45" i="3"/>
  <c r="AZ50" i="3"/>
  <c r="AZ53" i="3"/>
  <c r="AZ94" i="3"/>
  <c r="AZ102" i="3"/>
  <c r="AZ110" i="3"/>
  <c r="F23" i="39"/>
  <c r="AA23" i="39" s="1"/>
  <c r="H27" i="36"/>
  <c r="U27" i="36" s="1"/>
  <c r="F27" i="36"/>
  <c r="AA27" i="36" s="1"/>
  <c r="H33" i="34"/>
  <c r="U33" i="34" s="1"/>
  <c r="F32" i="37"/>
  <c r="AA32" i="37"/>
  <c r="J96" i="37"/>
  <c r="K96" i="37" s="1"/>
  <c r="L96" i="37" s="1"/>
  <c r="M96" i="37" s="1"/>
  <c r="F20" i="36"/>
  <c r="AA20" i="36" s="1"/>
  <c r="J33" i="34"/>
  <c r="AC33" i="34"/>
  <c r="H23" i="39"/>
  <c r="U23" i="39" s="1"/>
  <c r="D48" i="9"/>
  <c r="M52" i="9" s="1"/>
  <c r="K9" i="1"/>
  <c r="M9" i="1" s="1"/>
  <c r="D93" i="9"/>
  <c r="K6" i="1"/>
  <c r="AP6" i="1" s="1"/>
  <c r="W27" i="34"/>
  <c r="AC27" i="34"/>
  <c r="AB34" i="36"/>
  <c r="U34" i="36"/>
  <c r="AB33" i="36"/>
  <c r="U33" i="36"/>
  <c r="AC39" i="40"/>
  <c r="W39" i="40"/>
  <c r="AZ401" i="3"/>
  <c r="AZ412" i="3"/>
  <c r="AZ417" i="3"/>
  <c r="AZ428" i="3"/>
  <c r="AZ433" i="3"/>
  <c r="AZ465" i="3"/>
  <c r="W12" i="33"/>
  <c r="AC12" i="33"/>
  <c r="AA32" i="36"/>
  <c r="S32" i="36"/>
  <c r="AZ550" i="3"/>
  <c r="AZ408" i="3"/>
  <c r="AZ437" i="3"/>
  <c r="AZ441" i="3"/>
  <c r="AZ457" i="3"/>
  <c r="AZ473" i="3"/>
  <c r="AZ490" i="3"/>
  <c r="BL14" i="3"/>
  <c r="AZ266" i="3"/>
  <c r="U30" i="33"/>
  <c r="AC13" i="34"/>
  <c r="W28" i="37"/>
  <c r="S19" i="39"/>
  <c r="F12" i="33"/>
  <c r="F39" i="40"/>
  <c r="BA14" i="3"/>
  <c r="AZ14" i="3"/>
  <c r="AZ367" i="3"/>
  <c r="AZ213" i="3"/>
  <c r="AZ224" i="3"/>
  <c r="AZ234" i="3"/>
  <c r="AZ238" i="3"/>
  <c r="AZ254" i="3"/>
  <c r="AZ281" i="3"/>
  <c r="AZ286" i="3"/>
  <c r="AZ149" i="3"/>
  <c r="AZ165" i="3"/>
  <c r="AZ173" i="3"/>
  <c r="AZ181" i="3"/>
  <c r="AZ189" i="3"/>
  <c r="AZ197" i="3"/>
  <c r="AZ19" i="3"/>
  <c r="AZ26" i="3"/>
  <c r="AZ35" i="3"/>
  <c r="AZ41" i="3"/>
  <c r="B12" i="1"/>
  <c r="E12" i="1" s="1"/>
  <c r="B10" i="1"/>
  <c r="E10" i="1" s="1"/>
  <c r="K12" i="1"/>
  <c r="M12" i="1" s="1"/>
  <c r="S13" i="1"/>
  <c r="AR13" i="1" s="1"/>
  <c r="R13" i="1"/>
  <c r="J51" i="67"/>
  <c r="C42" i="1"/>
  <c r="C24" i="12" s="1"/>
  <c r="B41" i="1"/>
  <c r="F48" i="9" s="1"/>
  <c r="O52" i="9" s="1"/>
  <c r="AB37" i="40"/>
  <c r="AC36" i="40"/>
  <c r="W38" i="40"/>
  <c r="AA32" i="40"/>
  <c r="S17" i="40"/>
  <c r="S23" i="40"/>
  <c r="AC17" i="40"/>
  <c r="AC15" i="40"/>
  <c r="S30" i="40"/>
  <c r="AA19" i="40"/>
  <c r="S28" i="40"/>
  <c r="U21" i="40"/>
  <c r="AB19" i="40"/>
  <c r="U37" i="39"/>
  <c r="S43" i="39"/>
  <c r="S37" i="39"/>
  <c r="U35" i="39"/>
  <c r="F32" i="39"/>
  <c r="F106" i="39"/>
  <c r="G106" i="39" s="1"/>
  <c r="H106" i="39" s="1"/>
  <c r="I106" i="39" s="1"/>
  <c r="J106" i="39" s="1"/>
  <c r="K106" i="39" s="1"/>
  <c r="L106" i="39" s="1"/>
  <c r="M106" i="39" s="1"/>
  <c r="U25" i="39"/>
  <c r="AB27" i="39"/>
  <c r="U31" i="39"/>
  <c r="J21" i="39"/>
  <c r="W21" i="39" s="1"/>
  <c r="F21" i="39"/>
  <c r="AA21" i="39" s="1"/>
  <c r="G94" i="39"/>
  <c r="H21" i="39"/>
  <c r="W19" i="39"/>
  <c r="U19" i="39"/>
  <c r="S17" i="39"/>
  <c r="S15" i="39"/>
  <c r="S9" i="39"/>
  <c r="U14" i="39"/>
  <c r="AC13" i="39"/>
  <c r="S23" i="36"/>
  <c r="U13" i="36"/>
  <c r="S33" i="36"/>
  <c r="AA26" i="36"/>
  <c r="AA34" i="36"/>
  <c r="AC26" i="36"/>
  <c r="AA22" i="36"/>
  <c r="W14" i="36"/>
  <c r="AB14" i="36"/>
  <c r="U22" i="36"/>
  <c r="S16" i="36"/>
  <c r="AA25" i="36"/>
  <c r="S24" i="36"/>
  <c r="U24" i="36"/>
  <c r="U23" i="36"/>
  <c r="U16" i="36"/>
  <c r="S14" i="36"/>
  <c r="S23" i="35"/>
  <c r="W24" i="35"/>
  <c r="AB13" i="35"/>
  <c r="U29" i="35"/>
  <c r="U28" i="35"/>
  <c r="AB27" i="35"/>
  <c r="U32" i="35"/>
  <c r="AA33" i="35"/>
  <c r="AC30" i="35"/>
  <c r="S32" i="35"/>
  <c r="AA36" i="35"/>
  <c r="S28" i="35"/>
  <c r="AB16" i="35"/>
  <c r="U22" i="35"/>
  <c r="U14" i="35"/>
  <c r="W9" i="35"/>
  <c r="AC12" i="35"/>
  <c r="W13" i="35"/>
  <c r="F9" i="35"/>
  <c r="S9" i="35" s="1"/>
  <c r="H9" i="35"/>
  <c r="U9" i="35" s="1"/>
  <c r="AB40" i="37"/>
  <c r="S25" i="37"/>
  <c r="W27" i="37"/>
  <c r="U29" i="37"/>
  <c r="S32" i="37"/>
  <c r="AB31" i="37"/>
  <c r="W30" i="37"/>
  <c r="S36" i="37"/>
  <c r="AA38" i="37"/>
  <c r="U32" i="37"/>
  <c r="AC35" i="37"/>
  <c r="W39" i="37"/>
  <c r="S30" i="37"/>
  <c r="J17" i="37"/>
  <c r="W17" i="37"/>
  <c r="G73" i="37"/>
  <c r="F17" i="37"/>
  <c r="AA17" i="37"/>
  <c r="AB17" i="37"/>
  <c r="F75" i="37"/>
  <c r="F19" i="37"/>
  <c r="F79" i="37"/>
  <c r="F23" i="37"/>
  <c r="U23" i="37"/>
  <c r="U15" i="37"/>
  <c r="AC13" i="37"/>
  <c r="AA13" i="37"/>
  <c r="H10" i="37"/>
  <c r="AB10" i="37" s="1"/>
  <c r="F63" i="37"/>
  <c r="G63" i="37" s="1"/>
  <c r="F11" i="37"/>
  <c r="S11" i="37" s="1"/>
  <c r="S27" i="34"/>
  <c r="AB8" i="34"/>
  <c r="AA33" i="34"/>
  <c r="U43" i="34"/>
  <c r="W41" i="34"/>
  <c r="AB41" i="34"/>
  <c r="U28" i="34"/>
  <c r="U27" i="34"/>
  <c r="S13" i="34"/>
  <c r="H10" i="34"/>
  <c r="AB10" i="34" s="1"/>
  <c r="F11" i="34"/>
  <c r="S11" i="34" s="1"/>
  <c r="F70" i="34"/>
  <c r="W42" i="33"/>
  <c r="W38" i="33"/>
  <c r="H41" i="33"/>
  <c r="AB41" i="33" s="1"/>
  <c r="F121" i="33"/>
  <c r="G121" i="33"/>
  <c r="H121" i="33" s="1"/>
  <c r="I121" i="33" s="1"/>
  <c r="J121" i="33" s="1"/>
  <c r="K121" i="33" s="1"/>
  <c r="L121" i="33" s="1"/>
  <c r="M121" i="33" s="1"/>
  <c r="U42" i="33"/>
  <c r="S42" i="33"/>
  <c r="F36" i="33"/>
  <c r="J35" i="33"/>
  <c r="W35" i="33" s="1"/>
  <c r="S46" i="33"/>
  <c r="H27" i="33"/>
  <c r="U27" i="33" s="1"/>
  <c r="J23" i="33"/>
  <c r="W23" i="33" s="1"/>
  <c r="F85" i="33"/>
  <c r="H23" i="33"/>
  <c r="U23" i="33" s="1"/>
  <c r="F19" i="33"/>
  <c r="AA19" i="33" s="1"/>
  <c r="J17" i="33"/>
  <c r="W17" i="33" s="1"/>
  <c r="F79" i="33"/>
  <c r="J10" i="33"/>
  <c r="W10" i="33" s="1"/>
  <c r="H10" i="33"/>
  <c r="U10" i="33" s="1"/>
  <c r="AC11" i="33"/>
  <c r="W43" i="21"/>
  <c r="W36" i="21"/>
  <c r="W41" i="21"/>
  <c r="AB39" i="21"/>
  <c r="AA43" i="21"/>
  <c r="S39" i="21"/>
  <c r="AA36" i="21"/>
  <c r="AC40" i="21"/>
  <c r="J15" i="21"/>
  <c r="AC15" i="21" s="1"/>
  <c r="W15" i="21"/>
  <c r="F77" i="21"/>
  <c r="G77" i="21" s="1"/>
  <c r="F23" i="21"/>
  <c r="S23" i="21"/>
  <c r="E85" i="21"/>
  <c r="AA14" i="21"/>
  <c r="C18" i="9"/>
  <c r="D18" i="9" s="1"/>
  <c r="F34" i="67"/>
  <c r="F62" i="67" s="1"/>
  <c r="M20" i="67"/>
  <c r="F34" i="15"/>
  <c r="F62" i="15" s="1"/>
  <c r="BA13" i="3"/>
  <c r="BL17" i="3"/>
  <c r="AZ17" i="3"/>
  <c r="BL13" i="3"/>
  <c r="J56" i="9"/>
  <c r="J57" i="9" s="1"/>
  <c r="J59" i="9" s="1"/>
  <c r="J61" i="9" s="1"/>
  <c r="A24" i="51"/>
  <c r="B18" i="72"/>
  <c r="U29" i="34"/>
  <c r="E32" i="6"/>
  <c r="G1" i="68"/>
  <c r="K1" i="12"/>
  <c r="E19" i="69"/>
  <c r="E19" i="68"/>
  <c r="E19" i="11"/>
  <c r="E1" i="73"/>
  <c r="G22" i="69"/>
  <c r="G22" i="68"/>
  <c r="G26" i="12"/>
  <c r="G22" i="11"/>
  <c r="C6" i="43"/>
  <c r="B19" i="53"/>
  <c r="B37" i="72" s="1"/>
  <c r="C7" i="39"/>
  <c r="C67" i="39" s="1"/>
  <c r="C7" i="35"/>
  <c r="C7" i="33"/>
  <c r="C7" i="21"/>
  <c r="C7" i="40"/>
  <c r="C63" i="40" s="1"/>
  <c r="M47" i="9"/>
  <c r="G23" i="43"/>
  <c r="C23" i="43" s="1"/>
  <c r="A4" i="51"/>
  <c r="B6" i="72" s="1"/>
  <c r="C48" i="35"/>
  <c r="D48" i="35" s="1"/>
  <c r="L20" i="6"/>
  <c r="B6" i="1"/>
  <c r="E6" i="1" s="1"/>
  <c r="K11" i="1"/>
  <c r="M11" i="1" s="1"/>
  <c r="O11" i="1" s="1"/>
  <c r="B9" i="1"/>
  <c r="E9" i="1" s="1"/>
  <c r="K7" i="1"/>
  <c r="M7" i="1" s="1"/>
  <c r="O7" i="1" s="1"/>
  <c r="P7" i="1" s="1"/>
  <c r="G1" i="15"/>
  <c r="G1" i="69"/>
  <c r="G1" i="67"/>
  <c r="W23" i="40"/>
  <c r="AB31" i="40"/>
  <c r="S37" i="40"/>
  <c r="AB28" i="40"/>
  <c r="W28" i="40"/>
  <c r="W34" i="40"/>
  <c r="W19" i="40"/>
  <c r="S36" i="40"/>
  <c r="W37" i="40"/>
  <c r="S13" i="40"/>
  <c r="S33" i="40"/>
  <c r="AA15" i="40"/>
  <c r="U11" i="40"/>
  <c r="S31" i="40"/>
  <c r="AB13" i="40"/>
  <c r="U15" i="40"/>
  <c r="AB17" i="40"/>
  <c r="U8" i="40"/>
  <c r="S8" i="40"/>
  <c r="AA39" i="39"/>
  <c r="AC41" i="39"/>
  <c r="U42" i="39"/>
  <c r="U41" i="39"/>
  <c r="W25" i="39"/>
  <c r="U13" i="39"/>
  <c r="AB13" i="39"/>
  <c r="AA13" i="39"/>
  <c r="S13" i="39"/>
  <c r="S14" i="39"/>
  <c r="AA14" i="39"/>
  <c r="U43" i="39"/>
  <c r="AB43" i="39"/>
  <c r="AB11" i="39"/>
  <c r="U11" i="39"/>
  <c r="AA27" i="39"/>
  <c r="S27" i="39"/>
  <c r="W17" i="39"/>
  <c r="AC17" i="39"/>
  <c r="W31" i="39"/>
  <c r="AC31" i="39"/>
  <c r="S23" i="39"/>
  <c r="AA45" i="39"/>
  <c r="AB39" i="39"/>
  <c r="W34" i="39"/>
  <c r="U38" i="39"/>
  <c r="S8" i="39"/>
  <c r="AC25" i="36"/>
  <c r="U32" i="36"/>
  <c r="W29" i="36"/>
  <c r="AC20" i="36"/>
  <c r="U25" i="36"/>
  <c r="AB28" i="36"/>
  <c r="AA13" i="36"/>
  <c r="W9" i="36"/>
  <c r="W22" i="36"/>
  <c r="W23" i="36"/>
  <c r="S9" i="36"/>
  <c r="AB20" i="35"/>
  <c r="AC25" i="35"/>
  <c r="U25" i="35"/>
  <c r="S24" i="35"/>
  <c r="U24" i="35"/>
  <c r="AA16" i="35"/>
  <c r="AA35" i="37"/>
  <c r="W36" i="37"/>
  <c r="S27" i="37"/>
  <c r="W32" i="37"/>
  <c r="U36" i="37"/>
  <c r="S40" i="37"/>
  <c r="U38" i="37"/>
  <c r="AB37" i="37"/>
  <c r="AC34" i="37"/>
  <c r="AA31" i="37"/>
  <c r="U19" i="37"/>
  <c r="AA29" i="37"/>
  <c r="U8" i="37"/>
  <c r="AB33" i="34"/>
  <c r="AC45" i="34"/>
  <c r="AA30" i="34"/>
  <c r="AB47" i="34"/>
  <c r="U25" i="34"/>
  <c r="W33" i="34"/>
  <c r="AC14" i="34"/>
  <c r="AC32" i="34"/>
  <c r="W46" i="34"/>
  <c r="S32" i="34"/>
  <c r="AA32" i="34"/>
  <c r="U30" i="34"/>
  <c r="AB30" i="34"/>
  <c r="S37" i="34"/>
  <c r="AA8" i="34"/>
  <c r="S8" i="34"/>
  <c r="AB9" i="34"/>
  <c r="U9" i="34"/>
  <c r="AC43" i="34"/>
  <c r="W43" i="34"/>
  <c r="W46" i="33"/>
  <c r="U38" i="33"/>
  <c r="U44" i="33"/>
  <c r="AB44" i="33"/>
  <c r="S30" i="33"/>
  <c r="AA30" i="33"/>
  <c r="AC14" i="33"/>
  <c r="W14" i="33"/>
  <c r="AC30" i="33"/>
  <c r="S31" i="33"/>
  <c r="AA31" i="33"/>
  <c r="W8" i="33"/>
  <c r="AB42" i="21"/>
  <c r="U28" i="21"/>
  <c r="S45" i="21"/>
  <c r="I101" i="21"/>
  <c r="J101" i="21"/>
  <c r="K101" i="21"/>
  <c r="L101" i="21" s="1"/>
  <c r="M101" i="21" s="1"/>
  <c r="F33" i="21"/>
  <c r="AA33" i="21" s="1"/>
  <c r="J33" i="21"/>
  <c r="AC33" i="21" s="1"/>
  <c r="H33" i="21"/>
  <c r="AB33" i="21" s="1"/>
  <c r="F37" i="21"/>
  <c r="AA37" i="21"/>
  <c r="AA26" i="21"/>
  <c r="AB14" i="21"/>
  <c r="AB46" i="21"/>
  <c r="U40" i="21"/>
  <c r="AB31" i="21"/>
  <c r="U31" i="21"/>
  <c r="U13" i="21"/>
  <c r="AB13" i="21"/>
  <c r="S35" i="21"/>
  <c r="J37" i="21"/>
  <c r="W37" i="21" s="1"/>
  <c r="H15" i="21"/>
  <c r="U15" i="21"/>
  <c r="J17" i="21"/>
  <c r="AC17" i="21" s="1"/>
  <c r="AC19" i="21"/>
  <c r="W39" i="21"/>
  <c r="AC14" i="21"/>
  <c r="W30" i="21"/>
  <c r="S46" i="21"/>
  <c r="H45" i="21"/>
  <c r="U45" i="21" s="1"/>
  <c r="F29" i="21"/>
  <c r="S29" i="21"/>
  <c r="F13" i="21"/>
  <c r="AC38" i="21"/>
  <c r="H32" i="21"/>
  <c r="AB32" i="21" s="1"/>
  <c r="H9" i="21"/>
  <c r="U9" i="21" s="1"/>
  <c r="J9" i="21"/>
  <c r="J32" i="21"/>
  <c r="W32" i="21" s="1"/>
  <c r="F32" i="21"/>
  <c r="AA32" i="21" s="1"/>
  <c r="AA31" i="21"/>
  <c r="W29" i="21"/>
  <c r="S19" i="21"/>
  <c r="S9" i="21"/>
  <c r="AA9" i="21"/>
  <c r="K141" i="21"/>
  <c r="K144" i="21"/>
  <c r="K143" i="21"/>
  <c r="U27" i="21"/>
  <c r="AB25" i="21"/>
  <c r="AB44" i="21"/>
  <c r="AA30" i="21"/>
  <c r="W42" i="21"/>
  <c r="AC45" i="21"/>
  <c r="F10" i="21"/>
  <c r="AA10" i="21" s="1"/>
  <c r="K145" i="21"/>
  <c r="W25" i="21"/>
  <c r="AA29" i="21"/>
  <c r="S27" i="21"/>
  <c r="S17" i="21"/>
  <c r="AA15" i="21"/>
  <c r="AC26" i="21"/>
  <c r="AB29" i="21"/>
  <c r="S28" i="21"/>
  <c r="AC34" i="21"/>
  <c r="W12" i="21"/>
  <c r="AB36" i="21"/>
  <c r="W30" i="40"/>
  <c r="C19" i="39"/>
  <c r="C15" i="40"/>
  <c r="C17" i="40"/>
  <c r="C23" i="40"/>
  <c r="C21" i="40"/>
  <c r="U30" i="40"/>
  <c r="B56" i="43"/>
  <c r="B67" i="43"/>
  <c r="B51" i="43"/>
  <c r="B54" i="43"/>
  <c r="B62" i="43"/>
  <c r="B65" i="43"/>
  <c r="E4" i="4"/>
  <c r="B5" i="62" s="1"/>
  <c r="B73" i="72" s="1"/>
  <c r="C4" i="4"/>
  <c r="F30" i="68"/>
  <c r="F48" i="68" s="1"/>
  <c r="AA39" i="40"/>
  <c r="S39" i="40"/>
  <c r="S12" i="33"/>
  <c r="AA12" i="33"/>
  <c r="J32" i="39"/>
  <c r="AC32" i="39" s="1"/>
  <c r="H32" i="39"/>
  <c r="AB32" i="39" s="1"/>
  <c r="AA32" i="39"/>
  <c r="S32" i="39"/>
  <c r="AB21" i="39"/>
  <c r="U21" i="39"/>
  <c r="S21" i="39"/>
  <c r="AC17" i="37"/>
  <c r="S17" i="37"/>
  <c r="J19" i="37"/>
  <c r="G75" i="37"/>
  <c r="S19" i="37"/>
  <c r="AA19" i="37"/>
  <c r="J23" i="37"/>
  <c r="W23" i="37" s="1"/>
  <c r="G79" i="37"/>
  <c r="J10" i="37"/>
  <c r="W10" i="37" s="1"/>
  <c r="H11" i="37"/>
  <c r="AB11" i="37" s="1"/>
  <c r="G70" i="34"/>
  <c r="H70" i="34" s="1"/>
  <c r="I70" i="34" s="1"/>
  <c r="J70" i="34" s="1"/>
  <c r="K70" i="34" s="1"/>
  <c r="L70" i="34" s="1"/>
  <c r="M70" i="34" s="1"/>
  <c r="H11" i="34"/>
  <c r="U11" i="34" s="1"/>
  <c r="J10" i="34"/>
  <c r="AC10" i="34" s="1"/>
  <c r="I111" i="33"/>
  <c r="J111" i="33" s="1"/>
  <c r="K111" i="33" s="1"/>
  <c r="L111" i="33" s="1"/>
  <c r="M111" i="33"/>
  <c r="J36" i="33"/>
  <c r="W36" i="33" s="1"/>
  <c r="H36" i="33"/>
  <c r="U36" i="33" s="1"/>
  <c r="G91" i="33"/>
  <c r="H91" i="33" s="1"/>
  <c r="I91" i="33" s="1"/>
  <c r="J91" i="33" s="1"/>
  <c r="K91" i="33"/>
  <c r="L91" i="33" s="1"/>
  <c r="M91" i="33" s="1"/>
  <c r="J27" i="33"/>
  <c r="AC27" i="33" s="1"/>
  <c r="F23" i="33"/>
  <c r="S23" i="33" s="1"/>
  <c r="G85" i="33"/>
  <c r="H19" i="33"/>
  <c r="AB19" i="33" s="1"/>
  <c r="G79" i="33"/>
  <c r="H17" i="33"/>
  <c r="U17" i="33" s="1"/>
  <c r="F17" i="33"/>
  <c r="AA17" i="33" s="1"/>
  <c r="S37" i="21"/>
  <c r="AA23" i="21"/>
  <c r="AB15" i="21"/>
  <c r="J23" i="21"/>
  <c r="W23" i="21" s="1"/>
  <c r="F85" i="21"/>
  <c r="G85" i="21"/>
  <c r="H23" i="21"/>
  <c r="U23" i="21" s="1"/>
  <c r="AP7" i="1"/>
  <c r="AB45" i="21"/>
  <c r="AB9" i="21"/>
  <c r="S32" i="21"/>
  <c r="W9" i="21"/>
  <c r="AC9" i="21"/>
  <c r="U32" i="21"/>
  <c r="A18" i="62"/>
  <c r="B64" i="72" s="1"/>
  <c r="U32" i="39"/>
  <c r="W32" i="39"/>
  <c r="W19" i="37"/>
  <c r="AC19" i="37"/>
  <c r="AC23" i="37"/>
  <c r="H63" i="37"/>
  <c r="I63" i="37" s="1"/>
  <c r="J63" i="37" s="1"/>
  <c r="K63" i="37"/>
  <c r="L63" i="37" s="1"/>
  <c r="M63" i="37" s="1"/>
  <c r="J11" i="37"/>
  <c r="AC11" i="37" s="1"/>
  <c r="J11" i="34"/>
  <c r="W11" i="34" s="1"/>
  <c r="AC23" i="21"/>
  <c r="H109" i="9"/>
  <c r="M49" i="9" s="1"/>
  <c r="H112" i="9"/>
  <c r="D21" i="53" s="1"/>
  <c r="B39" i="72" s="1"/>
  <c r="H111" i="9"/>
  <c r="D126" i="9" s="1"/>
  <c r="D19" i="53"/>
  <c r="B38" i="72" s="1"/>
  <c r="AD3" i="71"/>
  <c r="J1" i="73"/>
  <c r="H69" i="43"/>
  <c r="C22" i="71"/>
  <c r="D23" i="71"/>
  <c r="D24" i="71"/>
  <c r="U24" i="71"/>
  <c r="T24" i="71"/>
  <c r="AB22" i="71"/>
  <c r="X20" i="71"/>
  <c r="X19" i="71"/>
  <c r="AA20" i="71"/>
  <c r="AA19" i="71"/>
  <c r="X23" i="71"/>
  <c r="Y19" i="71"/>
  <c r="Z19" i="71" s="1"/>
  <c r="AB20" i="71"/>
  <c r="AB19" i="71"/>
  <c r="F21" i="71"/>
  <c r="F20" i="71"/>
  <c r="F19" i="71" s="1"/>
  <c r="F18" i="71" s="1"/>
  <c r="F17" i="71" s="1"/>
  <c r="Y20" i="71"/>
  <c r="Z20" i="71" s="1"/>
  <c r="X3" i="71"/>
  <c r="F13" i="67"/>
  <c r="D3" i="73"/>
  <c r="M6" i="67"/>
  <c r="F3" i="73"/>
  <c r="M28" i="67"/>
  <c r="F40" i="67"/>
  <c r="F6" i="15"/>
  <c r="F9" i="67"/>
  <c r="B10" i="76"/>
  <c r="J15" i="15"/>
  <c r="B7" i="76"/>
  <c r="F16" i="15"/>
  <c r="F20" i="31"/>
  <c r="B8" i="76"/>
  <c r="E8" i="76"/>
  <c r="E9" i="76"/>
  <c r="L47" i="67"/>
  <c r="D34" i="9"/>
  <c r="D4" i="73"/>
  <c r="M8" i="15"/>
  <c r="M22" i="67"/>
  <c r="E10" i="76"/>
  <c r="F43" i="67"/>
  <c r="E7" i="76"/>
  <c r="M9" i="67"/>
  <c r="D7" i="73"/>
  <c r="F42" i="67"/>
  <c r="M29" i="15"/>
  <c r="E13" i="76"/>
  <c r="M8" i="67"/>
  <c r="B9" i="76"/>
  <c r="F6" i="67"/>
  <c r="D35" i="9"/>
  <c r="D6" i="73"/>
  <c r="F37" i="15"/>
  <c r="F16" i="67"/>
  <c r="B13" i="76"/>
  <c r="M9" i="15"/>
  <c r="M26" i="15"/>
  <c r="E2" i="69"/>
  <c r="F37" i="67"/>
  <c r="E2" i="68"/>
  <c r="F8" i="67"/>
  <c r="E11" i="76"/>
  <c r="B11" i="76"/>
  <c r="F38" i="67"/>
  <c r="L48" i="15"/>
  <c r="D20" i="9"/>
  <c r="M23" i="15"/>
  <c r="M24" i="67"/>
  <c r="F26" i="67"/>
  <c r="M26" i="67"/>
  <c r="J15" i="67"/>
  <c r="D5" i="73"/>
  <c r="L48" i="67"/>
  <c r="C19" i="9"/>
  <c r="M6" i="15"/>
  <c r="F5" i="73"/>
  <c r="B12" i="76"/>
  <c r="M24" i="15"/>
  <c r="M23" i="67"/>
  <c r="C76" i="67"/>
  <c r="F7" i="73"/>
  <c r="E12" i="76"/>
  <c r="F4" i="73"/>
  <c r="M29" i="67"/>
  <c r="F36" i="67"/>
  <c r="F6" i="73"/>
  <c r="D19" i="9"/>
  <c r="C20" i="9"/>
  <c r="F7" i="67"/>
  <c r="AO13" i="1"/>
  <c r="D3" i="87" l="1"/>
  <c r="F37" i="33"/>
  <c r="S37" i="33" s="1"/>
  <c r="W39" i="33"/>
  <c r="W40" i="33"/>
  <c r="U41" i="33"/>
  <c r="AA37" i="33"/>
  <c r="U37" i="33"/>
  <c r="AC37" i="33"/>
  <c r="S38" i="33"/>
  <c r="S39" i="33"/>
  <c r="AB39" i="33"/>
  <c r="S41" i="33"/>
  <c r="AC41" i="33"/>
  <c r="U43" i="33"/>
  <c r="AC43" i="33"/>
  <c r="S43" i="33"/>
  <c r="AB36" i="33"/>
  <c r="AC35" i="33"/>
  <c r="H32" i="33"/>
  <c r="AB32" i="33" s="1"/>
  <c r="F32" i="33"/>
  <c r="S32" i="33" s="1"/>
  <c r="F101" i="33"/>
  <c r="G101" i="33" s="1"/>
  <c r="H101" i="33" s="1"/>
  <c r="I101" i="33" s="1"/>
  <c r="J101" i="33" s="1"/>
  <c r="K101" i="33" s="1"/>
  <c r="L101" i="33" s="1"/>
  <c r="M101" i="33" s="1"/>
  <c r="J32" i="33"/>
  <c r="AC32" i="33" s="1"/>
  <c r="AB34" i="33"/>
  <c r="U35" i="33"/>
  <c r="AC34" i="33"/>
  <c r="W32" i="33"/>
  <c r="U29" i="33"/>
  <c r="AB29" i="33"/>
  <c r="J31" i="33"/>
  <c r="U31" i="33"/>
  <c r="F29" i="33"/>
  <c r="AB27" i="33"/>
  <c r="F25" i="33"/>
  <c r="S25" i="33" s="1"/>
  <c r="J25" i="33"/>
  <c r="W25" i="33" s="1"/>
  <c r="F87" i="33"/>
  <c r="G87" i="33" s="1"/>
  <c r="H87" i="33" s="1"/>
  <c r="I87" i="33" s="1"/>
  <c r="J87" i="33" s="1"/>
  <c r="K87" i="33" s="1"/>
  <c r="L87" i="33" s="1"/>
  <c r="M87" i="33" s="1"/>
  <c r="H25" i="33"/>
  <c r="AB25" i="33" s="1"/>
  <c r="W26" i="33"/>
  <c r="S28" i="33"/>
  <c r="W28" i="33"/>
  <c r="U28" i="33"/>
  <c r="W27" i="33"/>
  <c r="S27" i="33"/>
  <c r="AA26" i="33"/>
  <c r="AB26" i="33"/>
  <c r="AA25" i="33"/>
  <c r="AC23" i="33"/>
  <c r="AA23" i="33"/>
  <c r="W21" i="33"/>
  <c r="S19" i="33"/>
  <c r="W19" i="33"/>
  <c r="AB17" i="33"/>
  <c r="AC17" i="33"/>
  <c r="S17" i="33"/>
  <c r="U15" i="33"/>
  <c r="AC15" i="33"/>
  <c r="AA15" i="33"/>
  <c r="U44" i="34"/>
  <c r="S44" i="34"/>
  <c r="AA47" i="34"/>
  <c r="F46" i="34"/>
  <c r="AB45" i="34"/>
  <c r="H46" i="34"/>
  <c r="AC42" i="34"/>
  <c r="AA25" i="34"/>
  <c r="W25" i="34"/>
  <c r="AB32" i="34"/>
  <c r="F31" i="34"/>
  <c r="U39" i="34"/>
  <c r="S39" i="34"/>
  <c r="AC38" i="34"/>
  <c r="S36" i="34"/>
  <c r="AB36" i="34"/>
  <c r="W35" i="34"/>
  <c r="W40" i="34"/>
  <c r="AB40" i="34"/>
  <c r="AA40" i="34"/>
  <c r="AA38" i="34"/>
  <c r="U38" i="34"/>
  <c r="AC36" i="34"/>
  <c r="AB35" i="34"/>
  <c r="S35" i="34"/>
  <c r="AA29" i="34"/>
  <c r="AC29" i="34"/>
  <c r="AC23" i="34"/>
  <c r="S23" i="34"/>
  <c r="AC21" i="34"/>
  <c r="U21" i="34"/>
  <c r="AA19" i="34"/>
  <c r="W19" i="34"/>
  <c r="U19" i="34"/>
  <c r="AC17" i="34"/>
  <c r="AB17" i="34"/>
  <c r="U15" i="34"/>
  <c r="S15" i="34"/>
  <c r="W8" i="34"/>
  <c r="AA14" i="33"/>
  <c r="S11" i="33"/>
  <c r="F28" i="15"/>
  <c r="F32" i="15"/>
  <c r="F60" i="15" s="1"/>
  <c r="M18" i="67"/>
  <c r="F28" i="67"/>
  <c r="C28" i="67" s="1"/>
  <c r="M18" i="15"/>
  <c r="F52" i="9"/>
  <c r="F54" i="9"/>
  <c r="F32" i="67"/>
  <c r="F60" i="67" s="1"/>
  <c r="F30" i="11"/>
  <c r="C48" i="11" s="1"/>
  <c r="C40" i="68"/>
  <c r="C40" i="69"/>
  <c r="C21" i="68"/>
  <c r="D23" i="15"/>
  <c r="D22" i="15"/>
  <c r="AB35" i="35"/>
  <c r="U35" i="35"/>
  <c r="D22" i="71"/>
  <c r="C21" i="71"/>
  <c r="S23" i="37"/>
  <c r="AA23" i="37"/>
  <c r="W15" i="37"/>
  <c r="AC15" i="37"/>
  <c r="W11" i="40"/>
  <c r="AC11" i="40"/>
  <c r="AB35" i="21"/>
  <c r="U35" i="21"/>
  <c r="BA587" i="3"/>
  <c r="AZ587" i="3" s="1"/>
  <c r="W27" i="21"/>
  <c r="AC27" i="21"/>
  <c r="BL569" i="3"/>
  <c r="AZ569" i="3" s="1"/>
  <c r="BA567" i="3"/>
  <c r="AZ567" i="3" s="1"/>
  <c r="BL566" i="3"/>
  <c r="BP5" i="3"/>
  <c r="BK5" i="3"/>
  <c r="BG5" i="3"/>
  <c r="BA566" i="3"/>
  <c r="AZ566" i="3" s="1"/>
  <c r="BC5" i="3"/>
  <c r="BL565" i="3"/>
  <c r="BA565" i="3"/>
  <c r="AZ565" i="3" s="1"/>
  <c r="BL564" i="3"/>
  <c r="BO5" i="3"/>
  <c r="BJ5" i="3"/>
  <c r="BF5" i="3"/>
  <c r="BB5" i="3"/>
  <c r="E15" i="6" s="1"/>
  <c r="E64" i="39" s="1"/>
  <c r="BA564" i="3"/>
  <c r="BL563" i="3"/>
  <c r="BL562" i="3"/>
  <c r="AZ562" i="3" s="1"/>
  <c r="BS5" i="3"/>
  <c r="F28" i="6" s="1"/>
  <c r="BL561" i="3"/>
  <c r="BA561" i="3"/>
  <c r="BL560" i="3"/>
  <c r="BN5" i="3"/>
  <c r="G29" i="6" s="1"/>
  <c r="BI5" i="3"/>
  <c r="BA560" i="3"/>
  <c r="BR5" i="3"/>
  <c r="G28" i="6" s="1"/>
  <c r="BL559" i="3"/>
  <c r="AZ559" i="3" s="1"/>
  <c r="G559" i="3"/>
  <c r="H5" i="3"/>
  <c r="BL558" i="3"/>
  <c r="BM5" i="3"/>
  <c r="F29" i="6" s="1"/>
  <c r="E29" i="6" s="1"/>
  <c r="K15" i="1" s="1"/>
  <c r="BA558" i="3"/>
  <c r="AZ558" i="3" s="1"/>
  <c r="BD5" i="3"/>
  <c r="AB23" i="33"/>
  <c r="AA37" i="37"/>
  <c r="S37" i="37"/>
  <c r="AA35" i="40"/>
  <c r="S35" i="40"/>
  <c r="BL568" i="3"/>
  <c r="AZ563" i="3"/>
  <c r="AB23" i="21"/>
  <c r="AA13" i="21"/>
  <c r="S13" i="21"/>
  <c r="S20" i="36"/>
  <c r="AA38" i="21"/>
  <c r="AA36" i="33"/>
  <c r="S36" i="33"/>
  <c r="S43" i="34"/>
  <c r="S22" i="35"/>
  <c r="S34" i="33"/>
  <c r="AA34" i="33"/>
  <c r="BE5" i="3"/>
  <c r="AZ391" i="3"/>
  <c r="AZ344" i="3"/>
  <c r="AZ336" i="3"/>
  <c r="AZ325" i="3"/>
  <c r="AB17" i="21"/>
  <c r="U17" i="21"/>
  <c r="W14" i="40"/>
  <c r="AC14" i="40"/>
  <c r="AC38" i="37"/>
  <c r="W38" i="37"/>
  <c r="AA28" i="37"/>
  <c r="S28" i="37"/>
  <c r="G521" i="3"/>
  <c r="AC5" i="3"/>
  <c r="AZ568" i="3"/>
  <c r="AC13" i="36"/>
  <c r="W13" i="36"/>
  <c r="AC44" i="39"/>
  <c r="W44" i="39"/>
  <c r="AB34" i="21"/>
  <c r="U34" i="21"/>
  <c r="BL586" i="3"/>
  <c r="AZ586" i="3" s="1"/>
  <c r="B101" i="43"/>
  <c r="B79" i="43"/>
  <c r="C25" i="39"/>
  <c r="B69" i="43"/>
  <c r="B58" i="43"/>
  <c r="D16" i="53"/>
  <c r="B34" i="72" s="1"/>
  <c r="S35" i="33"/>
  <c r="AA35" i="33"/>
  <c r="AB35" i="40"/>
  <c r="U35" i="40"/>
  <c r="AZ326" i="3"/>
  <c r="AZ310" i="3"/>
  <c r="AZ329" i="3"/>
  <c r="W11" i="39"/>
  <c r="AC11" i="39"/>
  <c r="D8" i="53"/>
  <c r="D120" i="9"/>
  <c r="AB32" i="40"/>
  <c r="U32" i="40"/>
  <c r="AZ513" i="3"/>
  <c r="AZ523" i="3"/>
  <c r="AZ539" i="3"/>
  <c r="S35" i="39"/>
  <c r="W20" i="35"/>
  <c r="AC20" i="35"/>
  <c r="J35" i="35"/>
  <c r="F35" i="35"/>
  <c r="AA27" i="35"/>
  <c r="S27" i="35"/>
  <c r="AB9" i="36"/>
  <c r="U9" i="36"/>
  <c r="AB26" i="36"/>
  <c r="U26" i="36"/>
  <c r="W39" i="34"/>
  <c r="AC39" i="34"/>
  <c r="U35" i="37"/>
  <c r="AB35" i="37"/>
  <c r="U20" i="36"/>
  <c r="AB20" i="36"/>
  <c r="S25" i="35"/>
  <c r="AA25" i="35"/>
  <c r="S13" i="35"/>
  <c r="AA13" i="35"/>
  <c r="S45" i="34"/>
  <c r="AA45" i="34"/>
  <c r="AB31" i="34"/>
  <c r="U31" i="34"/>
  <c r="AB46" i="33"/>
  <c r="U46" i="33"/>
  <c r="U14" i="33"/>
  <c r="AB14" i="33"/>
  <c r="AC40" i="37"/>
  <c r="W40" i="37"/>
  <c r="W29" i="37"/>
  <c r="AC29" i="37"/>
  <c r="U14" i="34"/>
  <c r="AB14" i="34"/>
  <c r="W45" i="33"/>
  <c r="AC45" i="33"/>
  <c r="S29" i="33"/>
  <c r="AA29" i="33"/>
  <c r="W13" i="33"/>
  <c r="AC13" i="33"/>
  <c r="AC31" i="21"/>
  <c r="W31" i="21"/>
  <c r="AC13" i="21"/>
  <c r="W13" i="21"/>
  <c r="AA44" i="21"/>
  <c r="S44" i="21"/>
  <c r="AA17" i="34"/>
  <c r="S17" i="34"/>
  <c r="J12" i="37"/>
  <c r="H12" i="37"/>
  <c r="AB12" i="37" s="1"/>
  <c r="J12" i="39"/>
  <c r="F12" i="39"/>
  <c r="H12" i="39"/>
  <c r="AZ533" i="3"/>
  <c r="AZ571" i="3"/>
  <c r="AZ579" i="3"/>
  <c r="S29" i="35"/>
  <c r="AA29" i="35"/>
  <c r="U23" i="34"/>
  <c r="AB23" i="34"/>
  <c r="AA40" i="39"/>
  <c r="S40" i="39"/>
  <c r="U19" i="33"/>
  <c r="D68" i="9"/>
  <c r="F30" i="69"/>
  <c r="F48" i="69" s="1"/>
  <c r="F31" i="12"/>
  <c r="C31" i="12" s="1"/>
  <c r="W17" i="21"/>
  <c r="S20" i="35"/>
  <c r="AA27" i="40"/>
  <c r="AB27" i="40"/>
  <c r="W47" i="34"/>
  <c r="AZ581" i="3"/>
  <c r="AZ576" i="3"/>
  <c r="W30" i="34"/>
  <c r="AC30" i="34"/>
  <c r="W29" i="33"/>
  <c r="AC29" i="33"/>
  <c r="AB36" i="39"/>
  <c r="U36" i="39"/>
  <c r="G585" i="3"/>
  <c r="BA585" i="3"/>
  <c r="AZ585" i="3" s="1"/>
  <c r="F12" i="34"/>
  <c r="H12" i="34"/>
  <c r="J11" i="35"/>
  <c r="F11" i="35"/>
  <c r="J11" i="36"/>
  <c r="AC11" i="36" s="1"/>
  <c r="F11" i="36"/>
  <c r="F38" i="40"/>
  <c r="H38" i="40"/>
  <c r="AZ572" i="3"/>
  <c r="AB45" i="33"/>
  <c r="W31" i="34"/>
  <c r="AA45" i="33"/>
  <c r="S45" i="33"/>
  <c r="H44" i="39"/>
  <c r="F44" i="39"/>
  <c r="H36" i="35"/>
  <c r="J36" i="35"/>
  <c r="J9" i="33"/>
  <c r="H9" i="33"/>
  <c r="G582" i="3"/>
  <c r="B97" i="43"/>
  <c r="B75" i="43"/>
  <c r="AZ399" i="3"/>
  <c r="AZ414" i="3"/>
  <c r="AZ460" i="3"/>
  <c r="AZ476" i="3"/>
  <c r="AZ210" i="3"/>
  <c r="J23" i="35"/>
  <c r="F26" i="37"/>
  <c r="AZ400" i="3"/>
  <c r="AZ409" i="3"/>
  <c r="AZ411" i="3"/>
  <c r="AZ413" i="3"/>
  <c r="AZ453" i="3"/>
  <c r="AZ455" i="3"/>
  <c r="AZ458" i="3"/>
  <c r="AZ459" i="3"/>
  <c r="AZ467" i="3"/>
  <c r="AZ474" i="3"/>
  <c r="AZ477" i="3"/>
  <c r="AZ492" i="3"/>
  <c r="AZ397" i="3"/>
  <c r="AZ406" i="3"/>
  <c r="AZ407" i="3"/>
  <c r="AZ410" i="3"/>
  <c r="AZ434" i="3"/>
  <c r="AZ435" i="3"/>
  <c r="AZ451" i="3"/>
  <c r="AZ452" i="3"/>
  <c r="AZ456" i="3"/>
  <c r="AZ466" i="3"/>
  <c r="AZ486" i="3"/>
  <c r="BA396" i="3"/>
  <c r="AZ396" i="3" s="1"/>
  <c r="BA209" i="3"/>
  <c r="AZ209" i="3" s="1"/>
  <c r="BA212" i="3"/>
  <c r="AZ212" i="3" s="1"/>
  <c r="BL217" i="3"/>
  <c r="BL208" i="3"/>
  <c r="AZ208" i="3" s="1"/>
  <c r="BL211" i="3"/>
  <c r="AZ211" i="3" s="1"/>
  <c r="BL212" i="3"/>
  <c r="G213" i="3"/>
  <c r="AZ217" i="3"/>
  <c r="AZ219" i="3"/>
  <c r="AZ225" i="3"/>
  <c r="AZ246" i="3"/>
  <c r="AZ264" i="3"/>
  <c r="AZ293" i="3"/>
  <c r="BA384" i="3"/>
  <c r="AZ384" i="3" s="1"/>
  <c r="G397" i="3"/>
  <c r="G210" i="3"/>
  <c r="BL214" i="3"/>
  <c r="AZ214" i="3" s="1"/>
  <c r="AZ220" i="3"/>
  <c r="AZ247" i="3"/>
  <c r="G234" i="3"/>
  <c r="BA240" i="3"/>
  <c r="AZ240" i="3" s="1"/>
  <c r="BA245" i="3"/>
  <c r="AZ245" i="3" s="1"/>
  <c r="BA250" i="3"/>
  <c r="AZ250" i="3" s="1"/>
  <c r="G276" i="3"/>
  <c r="BA283" i="3"/>
  <c r="AZ283" i="3" s="1"/>
  <c r="BA288" i="3"/>
  <c r="AZ288" i="3" s="1"/>
  <c r="BL296" i="3"/>
  <c r="AZ296" i="3" s="1"/>
  <c r="BL299" i="3"/>
  <c r="AZ299" i="3" s="1"/>
  <c r="BL114" i="3"/>
  <c r="AZ114" i="3" s="1"/>
  <c r="G118" i="3"/>
  <c r="G120" i="3"/>
  <c r="BL129" i="3"/>
  <c r="AZ129" i="3" s="1"/>
  <c r="BL142" i="3"/>
  <c r="AZ142" i="3" s="1"/>
  <c r="G266" i="3"/>
  <c r="BA270" i="3"/>
  <c r="AZ270" i="3" s="1"/>
  <c r="BA275" i="3"/>
  <c r="AZ275" i="3" s="1"/>
  <c r="G287" i="3"/>
  <c r="G292" i="3"/>
  <c r="AZ185" i="3"/>
  <c r="AZ36" i="3"/>
  <c r="AZ48" i="3"/>
  <c r="AZ54" i="3"/>
  <c r="BA248" i="3"/>
  <c r="AZ248" i="3" s="1"/>
  <c r="BA260" i="3"/>
  <c r="AZ260" i="3" s="1"/>
  <c r="BA265" i="3"/>
  <c r="AZ265" i="3" s="1"/>
  <c r="BL269" i="3"/>
  <c r="AZ269" i="3" s="1"/>
  <c r="BA300" i="3"/>
  <c r="AZ300" i="3" s="1"/>
  <c r="BA128" i="3"/>
  <c r="AZ128" i="3" s="1"/>
  <c r="BL134" i="3"/>
  <c r="AZ134" i="3" s="1"/>
  <c r="BA138" i="3"/>
  <c r="AZ138" i="3" s="1"/>
  <c r="AZ145" i="3"/>
  <c r="G151" i="3"/>
  <c r="BA153" i="3"/>
  <c r="AZ153" i="3" s="1"/>
  <c r="BL157" i="3"/>
  <c r="AZ157" i="3" s="1"/>
  <c r="AZ161" i="3"/>
  <c r="AZ205" i="3"/>
  <c r="AZ23" i="3"/>
  <c r="BA235" i="3"/>
  <c r="AZ235" i="3" s="1"/>
  <c r="G241" i="3"/>
  <c r="G246" i="3"/>
  <c r="G251" i="3"/>
  <c r="BA255" i="3"/>
  <c r="AZ255" i="3" s="1"/>
  <c r="BL259" i="3"/>
  <c r="AZ259" i="3" s="1"/>
  <c r="BL262" i="3"/>
  <c r="AZ262" i="3" s="1"/>
  <c r="BL267" i="3"/>
  <c r="AZ267" i="3" s="1"/>
  <c r="G284" i="3"/>
  <c r="G289" i="3"/>
  <c r="BL294" i="3"/>
  <c r="AZ294" i="3" s="1"/>
  <c r="BA297" i="3"/>
  <c r="AZ297" i="3" s="1"/>
  <c r="G300" i="3"/>
  <c r="BL302" i="3"/>
  <c r="AZ302" i="3" s="1"/>
  <c r="BA116" i="3"/>
  <c r="AZ116" i="3" s="1"/>
  <c r="BA118" i="3"/>
  <c r="AZ118" i="3" s="1"/>
  <c r="BA121" i="3"/>
  <c r="AZ121" i="3" s="1"/>
  <c r="BL126" i="3"/>
  <c r="AZ126" i="3" s="1"/>
  <c r="BA130" i="3"/>
  <c r="AZ130" i="3" s="1"/>
  <c r="BL137" i="3"/>
  <c r="AZ137" i="3" s="1"/>
  <c r="G140" i="3"/>
  <c r="BA144" i="3"/>
  <c r="AZ144" i="3" s="1"/>
  <c r="BL150" i="3"/>
  <c r="AZ150" i="3" s="1"/>
  <c r="AZ193" i="3"/>
  <c r="AZ30" i="3"/>
  <c r="AZ38" i="3"/>
  <c r="AZ52" i="3"/>
  <c r="AZ64" i="3"/>
  <c r="AZ98" i="3"/>
  <c r="AA26" i="71"/>
  <c r="AA25" i="71"/>
  <c r="AA27" i="71"/>
  <c r="AA28" i="71"/>
  <c r="BA32" i="3"/>
  <c r="AZ32" i="3" s="1"/>
  <c r="BA37" i="3"/>
  <c r="AZ37" i="3" s="1"/>
  <c r="BL44" i="3"/>
  <c r="AZ44" i="3" s="1"/>
  <c r="BL48" i="3"/>
  <c r="BA57" i="3"/>
  <c r="AZ57" i="3" s="1"/>
  <c r="BA58" i="3"/>
  <c r="AZ58" i="3" s="1"/>
  <c r="BA59" i="3"/>
  <c r="AZ59" i="3" s="1"/>
  <c r="BL61" i="3"/>
  <c r="AZ61" i="3" s="1"/>
  <c r="BL68" i="3"/>
  <c r="AZ68" i="3" s="1"/>
  <c r="BA70" i="3"/>
  <c r="AZ70" i="3" s="1"/>
  <c r="BA71" i="3"/>
  <c r="AZ71" i="3" s="1"/>
  <c r="BA72" i="3"/>
  <c r="AZ72" i="3" s="1"/>
  <c r="BL74" i="3"/>
  <c r="AZ74" i="3" s="1"/>
  <c r="BA76" i="3"/>
  <c r="AZ76" i="3" s="1"/>
  <c r="BA77" i="3"/>
  <c r="AZ77" i="3" s="1"/>
  <c r="BL79" i="3"/>
  <c r="AZ79" i="3" s="1"/>
  <c r="BA81" i="3"/>
  <c r="AZ81" i="3" s="1"/>
  <c r="BA82" i="3"/>
  <c r="AZ82" i="3" s="1"/>
  <c r="BA83" i="3"/>
  <c r="AZ83" i="3" s="1"/>
  <c r="BA84" i="3"/>
  <c r="AZ84" i="3" s="1"/>
  <c r="BA85" i="3"/>
  <c r="AZ85" i="3" s="1"/>
  <c r="BA86" i="3"/>
  <c r="AZ86" i="3" s="1"/>
  <c r="BL88" i="3"/>
  <c r="AZ88" i="3" s="1"/>
  <c r="BA90" i="3"/>
  <c r="AZ90" i="3" s="1"/>
  <c r="AZ91" i="3"/>
  <c r="BA93" i="3"/>
  <c r="AZ93" i="3" s="1"/>
  <c r="BL98" i="3"/>
  <c r="AZ106" i="3"/>
  <c r="E27" i="71"/>
  <c r="E26" i="71" s="1"/>
  <c r="V28" i="71"/>
  <c r="X33" i="71"/>
  <c r="X34" i="71"/>
  <c r="X36" i="71"/>
  <c r="X32" i="71"/>
  <c r="X29" i="71"/>
  <c r="X31" i="71"/>
  <c r="X25" i="71"/>
  <c r="X35" i="71"/>
  <c r="S72" i="71"/>
  <c r="B71" i="71"/>
  <c r="B70" i="71" s="1"/>
  <c r="D88" i="71"/>
  <c r="C87" i="71"/>
  <c r="Y18" i="71"/>
  <c r="Z18" i="71" s="1"/>
  <c r="Y11" i="71"/>
  <c r="Z11" i="71" s="1"/>
  <c r="Y17" i="71"/>
  <c r="Z17" i="71" s="1"/>
  <c r="AB17" i="71"/>
  <c r="AB14" i="71"/>
  <c r="G31" i="3"/>
  <c r="G5" i="3" s="1"/>
  <c r="B3" i="3" s="1"/>
  <c r="BL34" i="3"/>
  <c r="BL5" i="3" s="1"/>
  <c r="BA40" i="3"/>
  <c r="AZ40" i="3" s="1"/>
  <c r="BA46" i="3"/>
  <c r="AZ46" i="3" s="1"/>
  <c r="BA47" i="3"/>
  <c r="AZ47" i="3" s="1"/>
  <c r="BL56" i="3"/>
  <c r="BA65" i="3"/>
  <c r="AZ65" i="3" s="1"/>
  <c r="BA66" i="3"/>
  <c r="AZ66" i="3" s="1"/>
  <c r="BA67" i="3"/>
  <c r="AZ67" i="3" s="1"/>
  <c r="BL69" i="3"/>
  <c r="AZ69" i="3" s="1"/>
  <c r="BL75" i="3"/>
  <c r="AZ75" i="3" s="1"/>
  <c r="BL80" i="3"/>
  <c r="AZ80" i="3" s="1"/>
  <c r="BL89" i="3"/>
  <c r="AZ89" i="3" s="1"/>
  <c r="AZ92" i="3"/>
  <c r="BL95" i="3"/>
  <c r="AZ95" i="3" s="1"/>
  <c r="AZ56" i="3"/>
  <c r="BL101" i="3"/>
  <c r="AZ101" i="3" s="1"/>
  <c r="G108" i="3"/>
  <c r="F3" i="35"/>
  <c r="AC18" i="35"/>
  <c r="AB32" i="71"/>
  <c r="AB30" i="71"/>
  <c r="AB31" i="71"/>
  <c r="AB28" i="71"/>
  <c r="E34" i="71"/>
  <c r="E35" i="71" s="1"/>
  <c r="E36" i="71" s="1"/>
  <c r="U36" i="71" s="1"/>
  <c r="AA33" i="71"/>
  <c r="S68" i="71"/>
  <c r="B67" i="71"/>
  <c r="X22" i="71"/>
  <c r="X21" i="71"/>
  <c r="AA18" i="71"/>
  <c r="BA107" i="3"/>
  <c r="AZ107" i="3" s="1"/>
  <c r="BA112" i="3"/>
  <c r="AZ112" i="3" s="1"/>
  <c r="AA21" i="34"/>
  <c r="S21" i="34"/>
  <c r="P27" i="6"/>
  <c r="T40" i="71"/>
  <c r="D40" i="71"/>
  <c r="AA31" i="71"/>
  <c r="AA29" i="71"/>
  <c r="AA30" i="71"/>
  <c r="C51" i="71"/>
  <c r="D50" i="71"/>
  <c r="B24" i="71"/>
  <c r="X24" i="71"/>
  <c r="BL104" i="3"/>
  <c r="AZ104" i="3" s="1"/>
  <c r="BL111" i="3"/>
  <c r="AZ111" i="3" s="1"/>
  <c r="B88" i="43"/>
  <c r="C25" i="40"/>
  <c r="AA18" i="35"/>
  <c r="S18" i="35"/>
  <c r="T60" i="71"/>
  <c r="D60" i="71"/>
  <c r="N68" i="71"/>
  <c r="AA38" i="71"/>
  <c r="E39" i="71"/>
  <c r="E40" i="71" s="1"/>
  <c r="U40" i="71" s="1"/>
  <c r="AA10" i="71"/>
  <c r="AA37" i="71"/>
  <c r="C43" i="71"/>
  <c r="D42" i="71"/>
  <c r="D46" i="71"/>
  <c r="C47" i="71"/>
  <c r="D47" i="71" s="1"/>
  <c r="X30" i="71"/>
  <c r="B38" i="71"/>
  <c r="B39" i="71" s="1"/>
  <c r="B40" i="71" s="1"/>
  <c r="S40" i="71" s="1"/>
  <c r="X37" i="71"/>
  <c r="AB26" i="71"/>
  <c r="F27" i="71"/>
  <c r="F26" i="71" s="1"/>
  <c r="AB27" i="71"/>
  <c r="AB21" i="71"/>
  <c r="AA22" i="71"/>
  <c r="AA23" i="71"/>
  <c r="AB18" i="71"/>
  <c r="Y13" i="71"/>
  <c r="Z13" i="71" s="1"/>
  <c r="S21" i="21"/>
  <c r="C70" i="71"/>
  <c r="D70" i="71" s="1"/>
  <c r="AB25" i="71"/>
  <c r="C27" i="71"/>
  <c r="Y28" i="71"/>
  <c r="Z28" i="71" s="1"/>
  <c r="B31" i="71"/>
  <c r="B32" i="71" s="1"/>
  <c r="S32" i="71" s="1"/>
  <c r="AB29" i="71"/>
  <c r="Y30" i="71"/>
  <c r="Z30" i="71" s="1"/>
  <c r="Y27" i="71"/>
  <c r="Z27" i="71" s="1"/>
  <c r="AA34" i="71"/>
  <c r="AA36" i="71"/>
  <c r="U72" i="71"/>
  <c r="E71" i="71"/>
  <c r="E70" i="71" s="1"/>
  <c r="AB24" i="71"/>
  <c r="AA24" i="71"/>
  <c r="E24" i="71"/>
  <c r="AA21" i="71"/>
  <c r="X18" i="71"/>
  <c r="AA12" i="71"/>
  <c r="D28" i="71"/>
  <c r="U28" i="71" s="1"/>
  <c r="AA3" i="71"/>
  <c r="C83" i="71"/>
  <c r="C79" i="71"/>
  <c r="C31" i="71"/>
  <c r="AA35" i="71"/>
  <c r="C35" i="71"/>
  <c r="D34" i="71"/>
  <c r="X26" i="71"/>
  <c r="X27" i="71"/>
  <c r="Y31" i="71"/>
  <c r="Z31" i="71" s="1"/>
  <c r="X39" i="71"/>
  <c r="X10" i="71"/>
  <c r="AB9" i="71"/>
  <c r="Y23" i="71"/>
  <c r="Z23" i="71" s="1"/>
  <c r="Y21" i="71"/>
  <c r="Z21" i="71" s="1"/>
  <c r="Y22" i="71"/>
  <c r="Z22" i="71" s="1"/>
  <c r="X17" i="71"/>
  <c r="AA17" i="71"/>
  <c r="AB15" i="71"/>
  <c r="AB12" i="71"/>
  <c r="AB10" i="71"/>
  <c r="AB11" i="71"/>
  <c r="AB13" i="71"/>
  <c r="X9" i="71"/>
  <c r="AB37" i="71"/>
  <c r="Y33" i="71"/>
  <c r="Z33" i="71" s="1"/>
  <c r="AB36" i="71"/>
  <c r="AA9" i="71"/>
  <c r="N56" i="9"/>
  <c r="AB23" i="71"/>
  <c r="X15" i="71"/>
  <c r="AA13" i="71"/>
  <c r="AA14" i="71"/>
  <c r="Y14" i="71"/>
  <c r="Z14" i="71" s="1"/>
  <c r="Y24" i="71"/>
  <c r="Z24" i="71" s="1"/>
  <c r="Y12" i="71"/>
  <c r="Z12" i="71" s="1"/>
  <c r="X11" i="71"/>
  <c r="X13" i="71"/>
  <c r="Y9" i="71"/>
  <c r="Z9" i="71" s="1"/>
  <c r="Y10" i="71"/>
  <c r="Z10" i="71" s="1"/>
  <c r="AA15" i="71"/>
  <c r="AA11" i="71"/>
  <c r="X12" i="71"/>
  <c r="X14" i="71"/>
  <c r="G6" i="1"/>
  <c r="I24" i="43"/>
  <c r="C24" i="43" s="1"/>
  <c r="H67" i="43"/>
  <c r="H50" i="43"/>
  <c r="H83" i="43"/>
  <c r="D102" i="9"/>
  <c r="C102" i="9"/>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F53" i="9"/>
  <c r="C5" i="11"/>
  <c r="C4" i="12"/>
  <c r="E14" i="6"/>
  <c r="E63" i="39" s="1"/>
  <c r="I4" i="6"/>
  <c r="G3" i="43" s="1"/>
  <c r="F26" i="43" s="1"/>
  <c r="L19" i="6"/>
  <c r="L27" i="6" s="1"/>
  <c r="M6" i="1"/>
  <c r="O6" i="1" s="1"/>
  <c r="T13" i="1"/>
  <c r="C58" i="21"/>
  <c r="D58" i="21" s="1"/>
  <c r="C58" i="33"/>
  <c r="C59" i="34"/>
  <c r="D59" i="34" s="1"/>
  <c r="E59" i="34" s="1"/>
  <c r="F59" i="34" s="1"/>
  <c r="G59" i="34" s="1"/>
  <c r="H59" i="34" s="1"/>
  <c r="I59" i="34" s="1"/>
  <c r="J59" i="34" s="1"/>
  <c r="K59" i="34" s="1"/>
  <c r="L59" i="34" s="1"/>
  <c r="M59" i="34" s="1"/>
  <c r="N59" i="34" s="1"/>
  <c r="O59" i="34" s="1"/>
  <c r="C28"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7" i="34"/>
  <c r="AB11" i="34"/>
  <c r="AA11" i="34"/>
  <c r="AC32" i="21"/>
  <c r="W33" i="21"/>
  <c r="AB8" i="21"/>
  <c r="P74" i="67"/>
  <c r="H62" i="43"/>
  <c r="H58" i="43"/>
  <c r="H51" i="43"/>
  <c r="H56" i="43"/>
  <c r="H65" i="43"/>
  <c r="D72" i="43"/>
  <c r="D76" i="43"/>
  <c r="D80" i="43"/>
  <c r="D61" i="43"/>
  <c r="P61" i="15"/>
  <c r="C94" i="9"/>
  <c r="C92" i="9"/>
  <c r="C48" i="68"/>
  <c r="C30" i="68"/>
  <c r="C77" i="9"/>
  <c r="C74" i="9" s="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H16" i="1"/>
  <c r="P11" i="1"/>
  <c r="D9" i="11"/>
  <c r="C9" i="11" s="1"/>
  <c r="D19" i="12"/>
  <c r="C19" i="12" s="1"/>
  <c r="AZ13" i="3"/>
  <c r="O9" i="1"/>
  <c r="P9" i="1" s="1"/>
  <c r="O12" i="1"/>
  <c r="P12" i="1" s="1"/>
  <c r="O8" i="1"/>
  <c r="P8" i="1" s="1"/>
  <c r="H73" i="43"/>
  <c r="H90" i="43"/>
  <c r="O23" i="43"/>
  <c r="I18" i="43"/>
  <c r="E17" i="43" s="1"/>
  <c r="C17" i="43" s="1"/>
  <c r="A1" i="79"/>
  <c r="H55" i="43"/>
  <c r="H86" i="43"/>
  <c r="H87" i="43"/>
  <c r="H89" i="43"/>
  <c r="H88" i="43"/>
  <c r="H84" i="43"/>
  <c r="C69" i="39"/>
  <c r="D67" i="39"/>
  <c r="D69" i="39" s="1"/>
  <c r="T35" i="4"/>
  <c r="A19" i="51" s="1"/>
  <c r="B14" i="72" s="1"/>
  <c r="H110" i="9"/>
  <c r="D18" i="53" s="1"/>
  <c r="B35" i="72" s="1"/>
  <c r="H52" i="43"/>
  <c r="K5" i="4"/>
  <c r="B47" i="48" s="1"/>
  <c r="Y8" i="71"/>
  <c r="Z8" i="71" s="1"/>
  <c r="X8" i="71"/>
  <c r="AB8" i="71"/>
  <c r="AA8" i="71"/>
  <c r="L68" i="9"/>
  <c r="M68" i="9" s="1"/>
  <c r="L65" i="9"/>
  <c r="M65" i="9" s="1"/>
  <c r="L66" i="9"/>
  <c r="M66" i="9" s="1"/>
  <c r="L64" i="9"/>
  <c r="M64" i="9" s="1"/>
  <c r="L63" i="9"/>
  <c r="M63" i="9" s="1"/>
  <c r="M69" i="9" s="1"/>
  <c r="N69" i="9" s="1"/>
  <c r="L67" i="9"/>
  <c r="M67" i="9" s="1"/>
  <c r="B8" i="74"/>
  <c r="C8" i="74" s="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Y16" i="71"/>
  <c r="Z16" i="71" s="1"/>
  <c r="Y15" i="71"/>
  <c r="Z15" i="71" s="1"/>
  <c r="AA16" i="71"/>
  <c r="AB3" i="71"/>
  <c r="X16" i="71"/>
  <c r="AB16" i="71"/>
  <c r="Y3" i="71"/>
  <c r="Z3" i="71" s="1"/>
  <c r="F16" i="71"/>
  <c r="F15" i="71" s="1"/>
  <c r="F14" i="71" s="1"/>
  <c r="F13" i="71" s="1"/>
  <c r="F12" i="71" s="1"/>
  <c r="F11" i="71" s="1"/>
  <c r="F10" i="71" s="1"/>
  <c r="F9" i="71" s="1"/>
  <c r="F8" i="71" s="1"/>
  <c r="F7" i="71" s="1"/>
  <c r="F6" i="71" s="1"/>
  <c r="F5" i="71" s="1"/>
  <c r="AF3" i="71"/>
  <c r="P26" i="43" s="1"/>
  <c r="C6" i="67"/>
  <c r="D22" i="9"/>
  <c r="G19" i="9"/>
  <c r="J53" i="15"/>
  <c r="L56" i="15" s="1"/>
  <c r="J57" i="15"/>
  <c r="J55" i="15" s="1"/>
  <c r="J58" i="15" s="1"/>
  <c r="Q50" i="15" s="1"/>
  <c r="I54" i="15"/>
  <c r="K1" i="73"/>
  <c r="B20" i="31"/>
  <c r="B21" i="31" s="1"/>
  <c r="I1" i="73"/>
  <c r="B39" i="1" s="1"/>
  <c r="F51" i="67"/>
  <c r="F65" i="67"/>
  <c r="J53" i="67"/>
  <c r="J57" i="67"/>
  <c r="J55" i="67" s="1"/>
  <c r="J58" i="67" s="1"/>
  <c r="Q50" i="67" s="1"/>
  <c r="L56" i="67"/>
  <c r="I54" i="67"/>
  <c r="F66" i="67"/>
  <c r="Q71" i="67"/>
  <c r="D103" i="9"/>
  <c r="C27" i="67"/>
  <c r="F71" i="67"/>
  <c r="F65" i="15"/>
  <c r="G20" i="9"/>
  <c r="C103" i="9"/>
  <c r="N59" i="67"/>
  <c r="L59" i="67"/>
  <c r="L58" i="67"/>
  <c r="M59" i="67"/>
  <c r="B13" i="70"/>
  <c r="M7" i="67"/>
  <c r="J6" i="67" s="1"/>
  <c r="F50" i="67"/>
  <c r="F68" i="67"/>
  <c r="F64" i="67"/>
  <c r="C36" i="68"/>
  <c r="D9" i="69"/>
  <c r="C36" i="69"/>
  <c r="D9" i="68"/>
  <c r="F13" i="15"/>
  <c r="M22" i="15"/>
  <c r="F36" i="15"/>
  <c r="C76" i="15"/>
  <c r="F7" i="15"/>
  <c r="F43" i="15"/>
  <c r="C16" i="15"/>
  <c r="F42" i="15"/>
  <c r="M28" i="15"/>
  <c r="L47" i="15"/>
  <c r="F9" i="15"/>
  <c r="G1" i="73"/>
  <c r="C16" i="67"/>
  <c r="F26" i="15"/>
  <c r="F40" i="15"/>
  <c r="F38" i="15"/>
  <c r="F8" i="15"/>
  <c r="AA32" i="33" l="1"/>
  <c r="AC25" i="33"/>
  <c r="U25" i="33"/>
  <c r="E12" i="6"/>
  <c r="E57" i="40" s="1"/>
  <c r="J34" i="34"/>
  <c r="H34" i="34"/>
  <c r="F34" i="34"/>
  <c r="C11" i="83"/>
  <c r="C8" i="83"/>
  <c r="C8" i="89"/>
  <c r="C11" i="89"/>
  <c r="F33" i="82"/>
  <c r="H33" i="82"/>
  <c r="J33" i="82"/>
  <c r="H33" i="33"/>
  <c r="F33" i="33"/>
  <c r="J33" i="33"/>
  <c r="F34" i="87"/>
  <c r="J34" i="87"/>
  <c r="H34" i="87"/>
  <c r="U32" i="33"/>
  <c r="W31" i="33"/>
  <c r="AC31" i="33"/>
  <c r="U46" i="34"/>
  <c r="AB46" i="34"/>
  <c r="S46" i="34"/>
  <c r="AA46" i="34"/>
  <c r="S31" i="34"/>
  <c r="AA31" i="34"/>
  <c r="C30" i="11"/>
  <c r="H26" i="43"/>
  <c r="P6" i="1"/>
  <c r="C13" i="12" s="1"/>
  <c r="E210" i="3"/>
  <c r="E11" i="6"/>
  <c r="E60" i="39" s="1"/>
  <c r="G30" i="6"/>
  <c r="G31" i="6" s="1"/>
  <c r="E26" i="43"/>
  <c r="G26" i="43"/>
  <c r="N94" i="46"/>
  <c r="J26" i="43"/>
  <c r="N370" i="46"/>
  <c r="J7" i="37"/>
  <c r="F31" i="15"/>
  <c r="M7" i="15"/>
  <c r="J6" i="15" s="1"/>
  <c r="J18" i="15" s="1"/>
  <c r="F50" i="15"/>
  <c r="F71" i="15"/>
  <c r="F66" i="15"/>
  <c r="C6" i="15"/>
  <c r="C32" i="15" s="1"/>
  <c r="F51" i="15"/>
  <c r="F64" i="15"/>
  <c r="F68" i="15"/>
  <c r="Q71" i="15"/>
  <c r="L58" i="15"/>
  <c r="Q73" i="15" s="1"/>
  <c r="M59" i="15"/>
  <c r="L59" i="15"/>
  <c r="Q61" i="15" s="1"/>
  <c r="N59" i="15"/>
  <c r="C27" i="15"/>
  <c r="E28" i="6"/>
  <c r="K14" i="1" s="1"/>
  <c r="K16" i="1" s="1"/>
  <c r="F30" i="6"/>
  <c r="E510" i="3"/>
  <c r="E205" i="3"/>
  <c r="E296" i="3"/>
  <c r="E173" i="3"/>
  <c r="E369" i="3"/>
  <c r="E525" i="3"/>
  <c r="E534" i="3"/>
  <c r="T6" i="3"/>
  <c r="E405" i="3"/>
  <c r="E456" i="3"/>
  <c r="E469" i="3"/>
  <c r="E512" i="3"/>
  <c r="E408" i="3"/>
  <c r="E451" i="3"/>
  <c r="E360" i="3"/>
  <c r="E556" i="3"/>
  <c r="E497" i="3"/>
  <c r="E13" i="3"/>
  <c r="E494" i="3"/>
  <c r="E452" i="3"/>
  <c r="E470" i="3"/>
  <c r="E420" i="3"/>
  <c r="E26" i="3"/>
  <c r="E104" i="3"/>
  <c r="E41" i="3"/>
  <c r="E115" i="3"/>
  <c r="E198" i="3"/>
  <c r="E139" i="3"/>
  <c r="E225" i="3"/>
  <c r="E281" i="3"/>
  <c r="E243" i="3"/>
  <c r="E332" i="3"/>
  <c r="E391" i="3"/>
  <c r="E356" i="3"/>
  <c r="AL6" i="3"/>
  <c r="E42" i="3"/>
  <c r="E94" i="3"/>
  <c r="E75" i="3"/>
  <c r="E428" i="3"/>
  <c r="E482" i="3"/>
  <c r="E412" i="3"/>
  <c r="E18" i="3"/>
  <c r="E96" i="3"/>
  <c r="E78" i="3"/>
  <c r="E129" i="3"/>
  <c r="E190" i="3"/>
  <c r="E174" i="3"/>
  <c r="E220" i="3"/>
  <c r="E275" i="3"/>
  <c r="E235" i="3"/>
  <c r="E324" i="3"/>
  <c r="E342" i="3"/>
  <c r="E522" i="3"/>
  <c r="E35" i="3"/>
  <c r="E86" i="3"/>
  <c r="E34" i="3"/>
  <c r="E49" i="3"/>
  <c r="E206" i="3"/>
  <c r="E232" i="3"/>
  <c r="E370" i="3"/>
  <c r="AF6" i="3"/>
  <c r="E102" i="3"/>
  <c r="E80" i="3"/>
  <c r="E113" i="3"/>
  <c r="E158" i="3"/>
  <c r="E326" i="3"/>
  <c r="E22" i="3"/>
  <c r="E83" i="3"/>
  <c r="E244" i="3"/>
  <c r="E149" i="3"/>
  <c r="E167" i="3"/>
  <c r="E141" i="3"/>
  <c r="E312" i="3"/>
  <c r="AD6" i="3"/>
  <c r="E542" i="3"/>
  <c r="E552" i="3"/>
  <c r="E421" i="3"/>
  <c r="E464" i="3"/>
  <c r="E487" i="3"/>
  <c r="E398" i="3"/>
  <c r="E416" i="3"/>
  <c r="E459" i="3"/>
  <c r="E374" i="3"/>
  <c r="E566" i="3"/>
  <c r="E500" i="3"/>
  <c r="E413" i="3"/>
  <c r="E460" i="3"/>
  <c r="E520" i="3"/>
  <c r="E436" i="3"/>
  <c r="E39" i="3"/>
  <c r="E90" i="3"/>
  <c r="E57" i="3"/>
  <c r="E131" i="3"/>
  <c r="E187" i="3"/>
  <c r="E155" i="3"/>
  <c r="E240" i="3"/>
  <c r="E297" i="3"/>
  <c r="E259" i="3"/>
  <c r="E348" i="3"/>
  <c r="E378" i="3"/>
  <c r="E375" i="3"/>
  <c r="E504" i="3"/>
  <c r="E58" i="3"/>
  <c r="E110" i="3"/>
  <c r="E488" i="3"/>
  <c r="E462" i="3"/>
  <c r="E446" i="3"/>
  <c r="E47" i="3"/>
  <c r="E98" i="3"/>
  <c r="E65" i="3"/>
  <c r="E138" i="3"/>
  <c r="E195" i="3"/>
  <c r="E163" i="3"/>
  <c r="E248" i="3"/>
  <c r="E209" i="3"/>
  <c r="E307" i="3"/>
  <c r="E386" i="3"/>
  <c r="E584" i="3"/>
  <c r="E66" i="3"/>
  <c r="E24" i="3"/>
  <c r="E48" i="3"/>
  <c r="E87" i="3"/>
  <c r="E127" i="3"/>
  <c r="E250" i="3"/>
  <c r="E341" i="3"/>
  <c r="Y6" i="3"/>
  <c r="E51" i="3"/>
  <c r="E19" i="3"/>
  <c r="E154" i="3"/>
  <c r="E179" i="3"/>
  <c r="E222" i="3"/>
  <c r="E323" i="3"/>
  <c r="E82" i="3"/>
  <c r="E329" i="3"/>
  <c r="E16" i="3"/>
  <c r="E188" i="3"/>
  <c r="E223" i="3"/>
  <c r="E116" i="3"/>
  <c r="E105" i="3"/>
  <c r="E493" i="3"/>
  <c r="E564" i="3"/>
  <c r="E543" i="3"/>
  <c r="E427" i="3"/>
  <c r="E486" i="3"/>
  <c r="E507" i="3"/>
  <c r="E422" i="3"/>
  <c r="E440" i="3"/>
  <c r="E490" i="3"/>
  <c r="E376" i="3"/>
  <c r="AH6" i="3"/>
  <c r="J6" i="3"/>
  <c r="E498" i="3"/>
  <c r="E419" i="3"/>
  <c r="E483" i="3"/>
  <c r="E401" i="3"/>
  <c r="E463" i="3"/>
  <c r="E40" i="3"/>
  <c r="E25" i="3"/>
  <c r="E178" i="3"/>
  <c r="E119" i="3"/>
  <c r="E202" i="3"/>
  <c r="E242" i="3"/>
  <c r="E226" i="3"/>
  <c r="E346" i="3"/>
  <c r="E333" i="3"/>
  <c r="E372" i="3"/>
  <c r="L6" i="3"/>
  <c r="E60" i="3"/>
  <c r="E43" i="3"/>
  <c r="E540" i="3"/>
  <c r="E473" i="3"/>
  <c r="E455" i="3"/>
  <c r="E79" i="3"/>
  <c r="E38" i="3"/>
  <c r="E100" i="3"/>
  <c r="E170" i="3"/>
  <c r="E46" i="3"/>
  <c r="E536" i="3"/>
  <c r="E286" i="3"/>
  <c r="E502" i="3"/>
  <c r="E430" i="3"/>
  <c r="AP6" i="3"/>
  <c r="E491" i="3"/>
  <c r="E37" i="3"/>
  <c r="E192" i="3"/>
  <c r="E363" i="3"/>
  <c r="E76" i="3"/>
  <c r="E425" i="3"/>
  <c r="E103" i="3"/>
  <c r="E200" i="3"/>
  <c r="E249" i="3"/>
  <c r="E492" i="3"/>
  <c r="E84" i="3"/>
  <c r="E33" i="3"/>
  <c r="E184" i="3"/>
  <c r="E355" i="3"/>
  <c r="E68" i="3"/>
  <c r="E81" i="3"/>
  <c r="E264" i="3"/>
  <c r="E309" i="3"/>
  <c r="E21" i="3"/>
  <c r="E212" i="3"/>
  <c r="E499" i="3"/>
  <c r="E466" i="3"/>
  <c r="E255" i="3"/>
  <c r="E479" i="3"/>
  <c r="E152" i="3"/>
  <c r="E389" i="3"/>
  <c r="E64" i="3"/>
  <c r="E142" i="3"/>
  <c r="E23" i="3"/>
  <c r="E144" i="3"/>
  <c r="E381" i="3"/>
  <c r="E513" i="3"/>
  <c r="E148" i="3"/>
  <c r="E575" i="3"/>
  <c r="E442" i="3"/>
  <c r="E449" i="3"/>
  <c r="E554" i="3"/>
  <c r="E417" i="3"/>
  <c r="E95" i="3"/>
  <c r="E258" i="3"/>
  <c r="E349" i="3"/>
  <c r="E59" i="3"/>
  <c r="E467" i="3"/>
  <c r="E160" i="3"/>
  <c r="E299" i="3"/>
  <c r="E325" i="3"/>
  <c r="AQ6" i="3"/>
  <c r="E36" i="3"/>
  <c r="E123" i="3"/>
  <c r="E364" i="3"/>
  <c r="E20" i="3"/>
  <c r="E176" i="3"/>
  <c r="E265" i="3"/>
  <c r="E524" i="3"/>
  <c r="E517" i="3"/>
  <c r="E409" i="3"/>
  <c r="E267" i="3"/>
  <c r="E310" i="3"/>
  <c r="E67" i="3"/>
  <c r="E233" i="3"/>
  <c r="E63" i="3"/>
  <c r="E283" i="3"/>
  <c r="E539" i="3"/>
  <c r="E199" i="3"/>
  <c r="R6" i="3"/>
  <c r="E541" i="3"/>
  <c r="I3" i="6"/>
  <c r="E435" i="3"/>
  <c r="E56" i="3"/>
  <c r="E132" i="3"/>
  <c r="E544" i="3"/>
  <c r="E484" i="3"/>
  <c r="E194" i="3"/>
  <c r="E219" i="3"/>
  <c r="E339" i="3"/>
  <c r="E392" i="3"/>
  <c r="E52" i="3"/>
  <c r="E112" i="3"/>
  <c r="E147" i="3"/>
  <c r="E340" i="3"/>
  <c r="E62" i="3"/>
  <c r="E218" i="3"/>
  <c r="E365" i="3"/>
  <c r="E101" i="3"/>
  <c r="E50" i="3"/>
  <c r="E197" i="3"/>
  <c r="E393"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322" i="3"/>
  <c r="E201" i="3"/>
  <c r="AB6" i="3"/>
  <c r="E215" i="3"/>
  <c r="E278" i="3"/>
  <c r="E172" i="3"/>
  <c r="E161" i="3"/>
  <c r="E191" i="3"/>
  <c r="AI6" i="3"/>
  <c r="X6" i="3"/>
  <c r="E137" i="3"/>
  <c r="E165" i="3"/>
  <c r="E308"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371" i="3"/>
  <c r="E568" i="3"/>
  <c r="E277" i="3"/>
  <c r="E560" i="3"/>
  <c r="E406" i="3"/>
  <c r="E587" i="3"/>
  <c r="E468" i="3"/>
  <c r="E106" i="3"/>
  <c r="E214" i="3"/>
  <c r="E362" i="3"/>
  <c r="E227" i="3"/>
  <c r="E89" i="3"/>
  <c r="E204" i="3"/>
  <c r="Z6" i="3"/>
  <c r="E485" i="3"/>
  <c r="E345" i="3"/>
  <c r="E531" i="3"/>
  <c r="E28" i="3"/>
  <c r="E211" i="3"/>
  <c r="E377" i="3"/>
  <c r="E109" i="3"/>
  <c r="E217" i="3"/>
  <c r="E268" i="3"/>
  <c r="E509" i="3"/>
  <c r="E431" i="3"/>
  <c r="E311" i="3"/>
  <c r="E570" i="3"/>
  <c r="E335" i="3"/>
  <c r="E69" i="3"/>
  <c r="E445" i="3"/>
  <c r="E135" i="3"/>
  <c r="E423" i="3"/>
  <c r="E246" i="3"/>
  <c r="E383" i="3"/>
  <c r="E253" i="3"/>
  <c r="E453" i="3"/>
  <c r="E85" i="3"/>
  <c r="E314" i="3"/>
  <c r="E511" i="3"/>
  <c r="E99" i="3"/>
  <c r="E45" i="3"/>
  <c r="E193" i="3"/>
  <c r="E519" i="3"/>
  <c r="E573" i="3"/>
  <c r="E458" i="3"/>
  <c r="E527" i="3"/>
  <c r="E457" i="3"/>
  <c r="E562" i="3"/>
  <c r="E571" i="3"/>
  <c r="E450" i="3"/>
  <c r="E433" i="3"/>
  <c r="E72" i="3"/>
  <c r="E111" i="3"/>
  <c r="E150" i="3"/>
  <c r="E279" i="3"/>
  <c r="E351" i="3"/>
  <c r="E318" i="3"/>
  <c r="E567" i="3"/>
  <c r="E549" i="3"/>
  <c r="E269" i="3"/>
  <c r="E271" i="3"/>
  <c r="E107" i="3"/>
  <c r="E515" i="3"/>
  <c r="E478" i="3"/>
  <c r="E414" i="3"/>
  <c r="E477" i="3"/>
  <c r="E505" i="3"/>
  <c r="AS6" i="3"/>
  <c r="E476" i="3"/>
  <c r="E447" i="3"/>
  <c r="E27" i="3"/>
  <c r="E162" i="3"/>
  <c r="E186"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15" i="3"/>
  <c r="E373" i="3"/>
  <c r="E354" i="3"/>
  <c r="E77" i="3"/>
  <c r="E181" i="3"/>
  <c r="E545" i="3"/>
  <c r="AK6" i="3"/>
  <c r="E228" i="3"/>
  <c r="E133" i="3"/>
  <c r="K6" i="3"/>
  <c r="E472" i="3"/>
  <c r="E465" i="3"/>
  <c r="E577" i="3"/>
  <c r="E454" i="3"/>
  <c r="E146" i="3"/>
  <c r="E171" i="3"/>
  <c r="E315" i="3"/>
  <c r="E74" i="3"/>
  <c r="E368" i="3"/>
  <c r="E327" i="3"/>
  <c r="AO6" i="3"/>
  <c r="E400" i="3"/>
  <c r="E557" i="3"/>
  <c r="E489" i="3"/>
  <c r="E70" i="3"/>
  <c r="E182" i="3"/>
  <c r="E273" i="3"/>
  <c r="E572" i="3"/>
  <c r="E526" i="3"/>
  <c r="AJ6" i="3"/>
  <c r="E579" i="3"/>
  <c r="E247" i="3"/>
  <c r="E514" i="3"/>
  <c r="M6" i="3"/>
  <c r="E387" i="3"/>
  <c r="E189" i="3"/>
  <c r="E563" i="3"/>
  <c r="E535" i="3"/>
  <c r="E263" i="3"/>
  <c r="E385" i="3"/>
  <c r="E585" i="3"/>
  <c r="D79" i="71"/>
  <c r="C78" i="71"/>
  <c r="D78" i="71" s="1"/>
  <c r="B23" i="71"/>
  <c r="B22" i="71" s="1"/>
  <c r="B21" i="71" s="1"/>
  <c r="B20" i="71" s="1"/>
  <c r="S24" i="71"/>
  <c r="E266" i="3"/>
  <c r="AA26" i="37"/>
  <c r="S26" i="37"/>
  <c r="AC36" i="35"/>
  <c r="W36" i="35"/>
  <c r="AA38" i="40"/>
  <c r="S38" i="40"/>
  <c r="W11" i="35"/>
  <c r="AC11" i="35"/>
  <c r="E59" i="40"/>
  <c r="E13" i="6"/>
  <c r="E58" i="40" s="1"/>
  <c r="C48" i="69"/>
  <c r="E31" i="3"/>
  <c r="C30" i="69"/>
  <c r="D35" i="71"/>
  <c r="C36" i="71"/>
  <c r="D83" i="71"/>
  <c r="C82" i="71"/>
  <c r="D82" i="71" s="1"/>
  <c r="D43" i="71"/>
  <c r="C44" i="71"/>
  <c r="AZ34" i="3"/>
  <c r="AZ5" i="3" s="1"/>
  <c r="E289" i="3"/>
  <c r="E241" i="3"/>
  <c r="E287" i="3"/>
  <c r="E276" i="3"/>
  <c r="AC23" i="35"/>
  <c r="W23" i="35"/>
  <c r="E582" i="3"/>
  <c r="AB36" i="35"/>
  <c r="U36" i="35"/>
  <c r="AA11" i="36"/>
  <c r="S11" i="36"/>
  <c r="U12" i="34"/>
  <c r="AB12" i="34"/>
  <c r="BA5" i="3"/>
  <c r="E27" i="6" s="1"/>
  <c r="K26" i="6" s="1"/>
  <c r="M26" i="6" s="1"/>
  <c r="I26" i="6" s="1"/>
  <c r="S26" i="6" s="1"/>
  <c r="AC12" i="39"/>
  <c r="W12" i="39"/>
  <c r="AC35" i="35"/>
  <c r="W35" i="35"/>
  <c r="B66" i="71"/>
  <c r="N67" i="71"/>
  <c r="E292" i="3"/>
  <c r="S12" i="39"/>
  <c r="AA12" i="39"/>
  <c r="AA35" i="35"/>
  <c r="S35" i="35"/>
  <c r="F7" i="36"/>
  <c r="S7" i="36" s="1"/>
  <c r="H7" i="36"/>
  <c r="AB7" i="36" s="1"/>
  <c r="T36" i="36" s="1"/>
  <c r="G36" i="36" s="1"/>
  <c r="E10" i="6"/>
  <c r="C52" i="71"/>
  <c r="D51" i="71"/>
  <c r="E108" i="3"/>
  <c r="D87" i="71"/>
  <c r="C86" i="71"/>
  <c r="D86" i="71" s="1"/>
  <c r="E140" i="3"/>
  <c r="E300" i="3"/>
  <c r="E284" i="3"/>
  <c r="AB9" i="33"/>
  <c r="U9" i="33"/>
  <c r="AA44" i="39"/>
  <c r="S44" i="39"/>
  <c r="S12" i="34"/>
  <c r="AA12" i="34"/>
  <c r="D121" i="9"/>
  <c r="D7" i="52" s="1"/>
  <c r="D6" i="52"/>
  <c r="E521" i="3"/>
  <c r="AZ560" i="3"/>
  <c r="AZ561" i="3"/>
  <c r="C20" i="71"/>
  <c r="D21" i="71"/>
  <c r="C32" i="71"/>
  <c r="D31" i="71"/>
  <c r="E23" i="71"/>
  <c r="E22" i="71" s="1"/>
  <c r="E21" i="71" s="1"/>
  <c r="E20" i="71" s="1"/>
  <c r="V24" i="71"/>
  <c r="D27" i="71"/>
  <c r="C26" i="71"/>
  <c r="D26" i="71" s="1"/>
  <c r="E251" i="3"/>
  <c r="E118" i="3"/>
  <c r="E234" i="3"/>
  <c r="AC9" i="33"/>
  <c r="W9" i="33"/>
  <c r="AB44" i="39"/>
  <c r="U44" i="39"/>
  <c r="AB38" i="40"/>
  <c r="U38" i="40"/>
  <c r="S11" i="35"/>
  <c r="AA11" i="35"/>
  <c r="U12" i="39"/>
  <c r="AB12" i="39"/>
  <c r="W12" i="37"/>
  <c r="AC12" i="37"/>
  <c r="AZ564" i="3"/>
  <c r="E61" i="43"/>
  <c r="B59" i="43" s="1"/>
  <c r="C28" i="43" s="1"/>
  <c r="B116" i="43"/>
  <c r="Z7" i="43"/>
  <c r="E56" i="39"/>
  <c r="H7" i="34"/>
  <c r="AB7" i="34" s="1"/>
  <c r="E67" i="39"/>
  <c r="F67"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F31" i="6"/>
  <c r="E51" i="40"/>
  <c r="D5" i="43"/>
  <c r="J10" i="40"/>
  <c r="AC10" i="40" s="1"/>
  <c r="H10" i="39"/>
  <c r="U10" i="39" s="1"/>
  <c r="F10" i="40"/>
  <c r="S10" i="40" s="1"/>
  <c r="J10" i="39"/>
  <c r="W10" i="39" s="1"/>
  <c r="H10" i="40"/>
  <c r="AB10" i="40" s="1"/>
  <c r="D26" i="43"/>
  <c r="C25" i="43" s="1"/>
  <c r="C7" i="43"/>
  <c r="C5" i="43" s="1"/>
  <c r="D10" i="52"/>
  <c r="D125" i="9"/>
  <c r="D11" i="52" s="1"/>
  <c r="B7" i="74"/>
  <c r="C7" i="74" s="1"/>
  <c r="F59" i="67"/>
  <c r="H7" i="37"/>
  <c r="AB7" i="37" s="1"/>
  <c r="T42" i="37" s="1"/>
  <c r="G42" i="37" s="1"/>
  <c r="B40" i="1"/>
  <c r="L36" i="43" s="1"/>
  <c r="S10" i="39"/>
  <c r="AA10" i="39"/>
  <c r="H7" i="33"/>
  <c r="J7" i="33"/>
  <c r="D65" i="40"/>
  <c r="E63" i="40"/>
  <c r="F48" i="35"/>
  <c r="AC7" i="37"/>
  <c r="V42" i="37" s="1"/>
  <c r="I42" i="37" s="1"/>
  <c r="W7" i="37"/>
  <c r="U7" i="36"/>
  <c r="F7" i="33"/>
  <c r="E58" i="21"/>
  <c r="AC7" i="36"/>
  <c r="V36" i="36" s="1"/>
  <c r="I36" i="36" s="1"/>
  <c r="W7" i="36"/>
  <c r="F7" i="37"/>
  <c r="M17" i="67"/>
  <c r="P28" i="43"/>
  <c r="B66" i="40" s="1"/>
  <c r="P25" i="43"/>
  <c r="C49" i="67"/>
  <c r="P29" i="43"/>
  <c r="P27" i="43"/>
  <c r="B70" i="39" s="1"/>
  <c r="C32" i="67"/>
  <c r="C32" i="9"/>
  <c r="Q60" i="67"/>
  <c r="Q73" i="67"/>
  <c r="M11" i="67"/>
  <c r="J10" i="67" s="1"/>
  <c r="J5" i="67" s="1"/>
  <c r="F11" i="15"/>
  <c r="M11" i="15"/>
  <c r="J10" i="15" s="1"/>
  <c r="F11" i="67"/>
  <c r="F1" i="15"/>
  <c r="Q52" i="15"/>
  <c r="J18" i="67"/>
  <c r="F1" i="67"/>
  <c r="Q52" i="67"/>
  <c r="Q61" i="67"/>
  <c r="Q74" i="67"/>
  <c r="AE11" i="1"/>
  <c r="AE6" i="1"/>
  <c r="AE9" i="1"/>
  <c r="F27" i="68"/>
  <c r="AE7" i="1"/>
  <c r="AE8" i="1"/>
  <c r="AE12" i="1"/>
  <c r="AE10" i="1"/>
  <c r="F41" i="67"/>
  <c r="AC6" i="3" l="1"/>
  <c r="U34" i="87"/>
  <c r="AB34" i="87"/>
  <c r="T49" i="87" s="1"/>
  <c r="G49" i="87" s="1"/>
  <c r="AA33" i="33"/>
  <c r="S33" i="33"/>
  <c r="S33" i="82"/>
  <c r="AA33" i="82"/>
  <c r="R48" i="82" s="1"/>
  <c r="AC34" i="87"/>
  <c r="V49" i="87" s="1"/>
  <c r="I49" i="87" s="1"/>
  <c r="W34" i="87"/>
  <c r="AB33" i="33"/>
  <c r="U33" i="33"/>
  <c r="AA34" i="34"/>
  <c r="S34" i="34"/>
  <c r="AA34" i="87"/>
  <c r="R49" i="87" s="1"/>
  <c r="S34" i="87"/>
  <c r="AC33" i="82"/>
  <c r="V48" i="82" s="1"/>
  <c r="I48" i="82" s="1"/>
  <c r="W33" i="82"/>
  <c r="C12" i="89"/>
  <c r="C10" i="89"/>
  <c r="C9" i="89"/>
  <c r="C13" i="89" s="1"/>
  <c r="AB34" i="34"/>
  <c r="U34" i="34"/>
  <c r="T49" i="34"/>
  <c r="G49" i="34" s="1"/>
  <c r="AC33" i="33"/>
  <c r="W33" i="33"/>
  <c r="AB33" i="82"/>
  <c r="T48" i="82" s="1"/>
  <c r="G48" i="82" s="1"/>
  <c r="U33" i="82"/>
  <c r="C12" i="83"/>
  <c r="C13" i="83" s="1"/>
  <c r="C9" i="83"/>
  <c r="C10" i="83"/>
  <c r="AC34" i="34"/>
  <c r="W34" i="34"/>
  <c r="H6" i="3"/>
  <c r="E6" i="3" s="1"/>
  <c r="M14" i="1"/>
  <c r="Q74" i="15"/>
  <c r="C49" i="15"/>
  <c r="F59" i="15"/>
  <c r="M17" i="15"/>
  <c r="Q60" i="15"/>
  <c r="J5" i="15"/>
  <c r="J24" i="15" s="1"/>
  <c r="E3" i="6"/>
  <c r="D3" i="82" s="1"/>
  <c r="B3" i="82" s="1"/>
  <c r="AY6" i="3"/>
  <c r="T32" i="71"/>
  <c r="D32" i="71"/>
  <c r="AA7" i="36"/>
  <c r="R36" i="36" s="1"/>
  <c r="E69" i="39"/>
  <c r="E62" i="39"/>
  <c r="E65" i="39" s="1"/>
  <c r="E16" i="6"/>
  <c r="T52" i="71"/>
  <c r="D52" i="71"/>
  <c r="B19" i="71"/>
  <c r="B18" i="71" s="1"/>
  <c r="B17" i="71" s="1"/>
  <c r="B16" i="71" s="1"/>
  <c r="S20" i="71"/>
  <c r="E19" i="71"/>
  <c r="E18" i="71" s="1"/>
  <c r="E17" i="71" s="1"/>
  <c r="E16" i="71" s="1"/>
  <c r="V20" i="71"/>
  <c r="C19" i="71"/>
  <c r="T20" i="71"/>
  <c r="D20" i="71"/>
  <c r="U20" i="71" s="1"/>
  <c r="E30" i="6"/>
  <c r="N65" i="71"/>
  <c r="N66" i="71"/>
  <c r="T44" i="71"/>
  <c r="D44" i="71"/>
  <c r="T36" i="71"/>
  <c r="D36" i="71"/>
  <c r="L37" i="43"/>
  <c r="P36" i="43"/>
  <c r="N36" i="43"/>
  <c r="Q36" i="43"/>
  <c r="O36" i="43"/>
  <c r="M36" i="43"/>
  <c r="AC7" i="34"/>
  <c r="V49" i="34" s="1"/>
  <c r="I49" i="34" s="1"/>
  <c r="I53" i="34" s="1"/>
  <c r="J53" i="34" s="1"/>
  <c r="U7" i="34"/>
  <c r="AA7" i="34"/>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176" i="3"/>
  <c r="AY144" i="3"/>
  <c r="AY188" i="3"/>
  <c r="AY152" i="3"/>
  <c r="AY297" i="3"/>
  <c r="AY253" i="3"/>
  <c r="AY335" i="3"/>
  <c r="AY303" i="3"/>
  <c r="AY289" i="3"/>
  <c r="AY74" i="3"/>
  <c r="AY209" i="3"/>
  <c r="AY363" i="3"/>
  <c r="AY441" i="3"/>
  <c r="AY409" i="3"/>
  <c r="AY245" i="3"/>
  <c r="AY260" i="3"/>
  <c r="AY372" i="3"/>
  <c r="AY358" i="3"/>
  <c r="AY465" i="3"/>
  <c r="AY452" i="3"/>
  <c r="AY513" i="3"/>
  <c r="AY549" i="3"/>
  <c r="AY533" i="3"/>
  <c r="AY541" i="3"/>
  <c r="AY108" i="3"/>
  <c r="AY77" i="3"/>
  <c r="AY60" i="3"/>
  <c r="AY44" i="3"/>
  <c r="AY190" i="3"/>
  <c r="AY201" i="3"/>
  <c r="AY138" i="3"/>
  <c r="AY149" i="3"/>
  <c r="AY299" i="3"/>
  <c r="AY283" i="3"/>
  <c r="AY247" i="3"/>
  <c r="AY231" i="3"/>
  <c r="AY214" i="3"/>
  <c r="AY392" i="3"/>
  <c r="AY357" i="3"/>
  <c r="AY360" i="3"/>
  <c r="AY109" i="3"/>
  <c r="AY104" i="3"/>
  <c r="AY24" i="3"/>
  <c r="AY197" i="3"/>
  <c r="AY114" i="3"/>
  <c r="AY295" i="3"/>
  <c r="AY242" i="3"/>
  <c r="AY210" i="3"/>
  <c r="AY349" i="3"/>
  <c r="AY317" i="3"/>
  <c r="AY491" i="3"/>
  <c r="AY475" i="3"/>
  <c r="AY462" i="3"/>
  <c r="AY446" i="3"/>
  <c r="AY427" i="3"/>
  <c r="AY581" i="3"/>
  <c r="AY561" i="3"/>
  <c r="AY534" i="3"/>
  <c r="AY495" i="3"/>
  <c r="AY510" i="3"/>
  <c r="AY98" i="3"/>
  <c r="AY171" i="3"/>
  <c r="AY237" i="3"/>
  <c r="AY387" i="3"/>
  <c r="AY425" i="3"/>
  <c r="AY526" i="3"/>
  <c r="AY390" i="3"/>
  <c r="AY311" i="3"/>
  <c r="AY535" i="3"/>
  <c r="AY562" i="3"/>
  <c r="AY89" i="3"/>
  <c r="AY85" i="3"/>
  <c r="AY25" i="3"/>
  <c r="AY178" i="3"/>
  <c r="AY117" i="3"/>
  <c r="AY302" i="3"/>
  <c r="AY222" i="3"/>
  <c r="AY211" i="3"/>
  <c r="BI6" i="3"/>
  <c r="AY57" i="3"/>
  <c r="AY130" i="3"/>
  <c r="AY279" i="3"/>
  <c r="AY356" i="3"/>
  <c r="AY325" i="3"/>
  <c r="AY464" i="3"/>
  <c r="AY422" i="3"/>
  <c r="AY516" i="3"/>
  <c r="BN6" i="3"/>
  <c r="AY508" i="3"/>
  <c r="AY532" i="3"/>
  <c r="AY523" i="3"/>
  <c r="AY81" i="3"/>
  <c r="AY132" i="3"/>
  <c r="AY31" i="3"/>
  <c r="AY350" i="3"/>
  <c r="AY489" i="3"/>
  <c r="AY43" i="3"/>
  <c r="AY229" i="3"/>
  <c r="AY326" i="3"/>
  <c r="AY478" i="3"/>
  <c r="AY573" i="3"/>
  <c r="AY540" i="3"/>
  <c r="AY69" i="3"/>
  <c r="AY52" i="3"/>
  <c r="AY162" i="3"/>
  <c r="AY173" i="3"/>
  <c r="AY286" i="3"/>
  <c r="AY255" i="3"/>
  <c r="AY384" i="3"/>
  <c r="AY368" i="3"/>
  <c r="AY72" i="3"/>
  <c r="AY29" i="3"/>
  <c r="AY275" i="3"/>
  <c r="AY258" i="3"/>
  <c r="AY309" i="3"/>
  <c r="AY483" i="3"/>
  <c r="AY406" i="3"/>
  <c r="AY419" i="3"/>
  <c r="AY536" i="3"/>
  <c r="AY520" i="3"/>
  <c r="AY584" i="3"/>
  <c r="AY494" i="3"/>
  <c r="AY519" i="3"/>
  <c r="AY101" i="3"/>
  <c r="AY80" i="3"/>
  <c r="AY48" i="3"/>
  <c r="AY189" i="3"/>
  <c r="AY158" i="3"/>
  <c r="AY129" i="3"/>
  <c r="AY287" i="3"/>
  <c r="AY266" i="3"/>
  <c r="AY234" i="3"/>
  <c r="AY369" i="3"/>
  <c r="AY364" i="3"/>
  <c r="AY313" i="3"/>
  <c r="AY344" i="3"/>
  <c r="AY487" i="3"/>
  <c r="AY471" i="3"/>
  <c r="AY453" i="3"/>
  <c r="AY458" i="3"/>
  <c r="AY410" i="3"/>
  <c r="AY439" i="3"/>
  <c r="AY579" i="3"/>
  <c r="AY506" i="3"/>
  <c r="D3" i="6"/>
  <c r="AY524" i="3"/>
  <c r="AY509" i="3"/>
  <c r="AY542" i="3"/>
  <c r="AY531" i="3"/>
  <c r="AY578" i="3"/>
  <c r="AY94" i="3"/>
  <c r="AY63" i="3"/>
  <c r="AY35" i="3"/>
  <c r="AY192" i="3"/>
  <c r="AY167" i="3"/>
  <c r="AY135" i="3"/>
  <c r="AY280" i="3"/>
  <c r="AY249" i="3"/>
  <c r="AY221" i="3"/>
  <c r="AY378" i="3"/>
  <c r="AY331" i="3"/>
  <c r="AY346" i="3"/>
  <c r="AY466" i="3"/>
  <c r="AY456" i="3"/>
  <c r="AY405" i="3"/>
  <c r="AY558" i="3"/>
  <c r="AY512" i="3"/>
  <c r="BL6" i="3"/>
  <c r="AY86" i="3"/>
  <c r="AY55"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53" i="34"/>
  <c r="H53" i="34" s="1"/>
  <c r="G40" i="36"/>
  <c r="H40" i="36" s="1"/>
  <c r="G41" i="36"/>
  <c r="H41" i="36" s="1"/>
  <c r="G46" i="37"/>
  <c r="H46" i="37" s="1"/>
  <c r="G47" i="37"/>
  <c r="H47" i="37" s="1"/>
  <c r="I46" i="37"/>
  <c r="J46" i="37" s="1"/>
  <c r="G48" i="35"/>
  <c r="U7" i="33"/>
  <c r="AB7" i="33"/>
  <c r="T48" i="33" s="1"/>
  <c r="G48" i="33" s="1"/>
  <c r="J24" i="67"/>
  <c r="C53" i="67"/>
  <c r="C48" i="67" s="1"/>
  <c r="C10" i="67"/>
  <c r="C5" i="67" s="1"/>
  <c r="C38" i="67" s="1"/>
  <c r="C53" i="15"/>
  <c r="C10" i="15"/>
  <c r="C5" i="15" s="1"/>
  <c r="C38" i="15" s="1"/>
  <c r="F25" i="12"/>
  <c r="F22" i="69"/>
  <c r="F41" i="69" s="1"/>
  <c r="F24" i="67"/>
  <c r="C24" i="67" s="1"/>
  <c r="F22" i="11"/>
  <c r="F22" i="68"/>
  <c r="F24" i="15"/>
  <c r="C24" i="15" s="1"/>
  <c r="C35" i="9"/>
  <c r="M27" i="15"/>
  <c r="F41" i="15"/>
  <c r="M27" i="67"/>
  <c r="AY83" i="3" l="1"/>
  <c r="AY23" i="3"/>
  <c r="AY155" i="3"/>
  <c r="AY59" i="3"/>
  <c r="AY131" i="3"/>
  <c r="AY58" i="3"/>
  <c r="AY268" i="3"/>
  <c r="AY371" i="3"/>
  <c r="AY103" i="3"/>
  <c r="AY160" i="3"/>
  <c r="AY183" i="3"/>
  <c r="AY284" i="3"/>
  <c r="AY319" i="3"/>
  <c r="AY460" i="3"/>
  <c r="AY529"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18" i="3"/>
  <c r="AY75" i="3"/>
  <c r="AY486" i="3"/>
  <c r="AY199" i="3"/>
  <c r="AY355" i="3"/>
  <c r="AY404" i="3"/>
  <c r="BO6" i="3"/>
  <c r="AY53" i="3"/>
  <c r="AY182" i="3"/>
  <c r="AY126" i="3"/>
  <c r="AY239" i="3"/>
  <c r="AY389" i="3"/>
  <c r="AY93" i="3"/>
  <c r="AY150" i="3"/>
  <c r="AY226" i="3"/>
  <c r="AY340" i="3"/>
  <c r="AY454" i="3"/>
  <c r="AY525" i="3"/>
  <c r="AY518" i="3"/>
  <c r="AY556" i="3"/>
  <c r="AY112" i="3"/>
  <c r="AY191" i="3"/>
  <c r="AY147" i="3"/>
  <c r="AY455" i="3"/>
  <c r="AY116" i="3"/>
  <c r="AY343" i="3"/>
  <c r="AY417" i="3"/>
  <c r="AY539" i="3"/>
  <c r="AY84" i="3"/>
  <c r="AY193" i="3"/>
  <c r="AY134" i="3"/>
  <c r="AY270" i="3"/>
  <c r="AY373" i="3"/>
  <c r="AY88" i="3"/>
  <c r="AY161" i="3"/>
  <c r="AY215" i="3"/>
  <c r="AY324" i="3"/>
  <c r="AY438" i="3"/>
  <c r="AY580" i="3"/>
  <c r="AY51" i="3"/>
  <c r="AY207" i="3"/>
  <c r="AY124" i="3"/>
  <c r="AY42" i="3"/>
  <c r="AY281" i="3"/>
  <c r="AY168" i="3"/>
  <c r="AY236" i="3"/>
  <c r="AY366" i="3"/>
  <c r="AY67" i="3"/>
  <c r="AY139" i="3"/>
  <c r="AY123" i="3"/>
  <c r="AY252" i="3"/>
  <c r="AY318" i="3"/>
  <c r="AY428" i="3"/>
  <c r="AY106" i="3"/>
  <c r="AY91" i="3"/>
  <c r="AY560" i="3"/>
  <c r="AY437" i="3"/>
  <c r="AY469" i="3"/>
  <c r="AY362" i="3"/>
  <c r="AY232" i="3"/>
  <c r="AY285" i="3"/>
  <c r="AY156" i="3"/>
  <c r="AY46" i="3"/>
  <c r="AY99" i="3"/>
  <c r="AY570" i="3"/>
  <c r="AY565" i="3"/>
  <c r="AY14" i="3"/>
  <c r="AY407" i="3"/>
  <c r="AY426" i="3"/>
  <c r="AY468" i="3"/>
  <c r="AY312" i="3"/>
  <c r="AY329" i="3"/>
  <c r="AY380" i="3"/>
  <c r="AY251" i="3"/>
  <c r="AY137" i="3"/>
  <c r="AY194" i="3"/>
  <c r="AY65" i="3"/>
  <c r="AY582" i="3"/>
  <c r="AY543" i="3"/>
  <c r="AY572" i="3"/>
  <c r="AY449" i="3"/>
  <c r="AY341" i="3"/>
  <c r="AY121" i="3"/>
  <c r="BB6" i="3"/>
  <c r="AY227" i="3"/>
  <c r="AY291" i="3"/>
  <c r="AY198" i="3"/>
  <c r="AY100" i="3"/>
  <c r="AY557" i="3"/>
  <c r="AY379" i="3"/>
  <c r="AY497" i="3"/>
  <c r="AY220" i="3"/>
  <c r="AY82" i="3"/>
  <c r="AY577" i="3"/>
  <c r="AY559" i="3"/>
  <c r="AY403" i="3"/>
  <c r="AY467" i="3"/>
  <c r="AY393" i="3"/>
  <c r="AY186" i="3"/>
  <c r="BS6" i="3"/>
  <c r="AY254" i="3"/>
  <c r="AY157" i="3"/>
  <c r="AY36" i="3"/>
  <c r="AY555" i="3"/>
  <c r="AY447" i="3"/>
  <c r="AY244" i="3"/>
  <c r="AY444" i="3"/>
  <c r="AY163" i="3"/>
  <c r="AY501" i="3"/>
  <c r="AY546" i="3"/>
  <c r="BM6" i="3"/>
  <c r="AY398" i="3"/>
  <c r="AY457" i="3"/>
  <c r="AY332" i="3"/>
  <c r="AY353" i="3"/>
  <c r="AY274" i="3"/>
  <c r="AY177" i="3"/>
  <c r="AY56" i="3"/>
  <c r="BJ6" i="3"/>
  <c r="AY381" i="3"/>
  <c r="AY230" i="3"/>
  <c r="AY263" i="3"/>
  <c r="AY118" i="3"/>
  <c r="AY154" i="3"/>
  <c r="AY206" i="3"/>
  <c r="AY45" i="3"/>
  <c r="AY97" i="3"/>
  <c r="AY569" i="3"/>
  <c r="AY433" i="3"/>
  <c r="AY310" i="3"/>
  <c r="AY395" i="3"/>
  <c r="AY180" i="3"/>
  <c r="AY470" i="3"/>
  <c r="AY204" i="3"/>
  <c r="AY196" i="3"/>
  <c r="AY382" i="3"/>
  <c r="AY111" i="3"/>
  <c r="AY95" i="3"/>
  <c r="AY34" i="3"/>
  <c r="AY70" i="3"/>
  <c r="AY587" i="3"/>
  <c r="AY517" i="3"/>
  <c r="AY424" i="3"/>
  <c r="AY314" i="3"/>
  <c r="AY376" i="3"/>
  <c r="AY264" i="3"/>
  <c r="AY127" i="3"/>
  <c r="AY187" i="3"/>
  <c r="AY78" i="3"/>
  <c r="BA6" i="3"/>
  <c r="BR6" i="3"/>
  <c r="AY502" i="3"/>
  <c r="AY499" i="3"/>
  <c r="AY423" i="3"/>
  <c r="AY442" i="3"/>
  <c r="AY484" i="3"/>
  <c r="AY328" i="3"/>
  <c r="AY345" i="3"/>
  <c r="AY223" i="3"/>
  <c r="AY282" i="3"/>
  <c r="AY169" i="3"/>
  <c r="AY37" i="3"/>
  <c r="AY96" i="3"/>
  <c r="AY514" i="3"/>
  <c r="AY552" i="3"/>
  <c r="AY503" i="3"/>
  <c r="AY480" i="3"/>
  <c r="AY370" i="3"/>
  <c r="AY181" i="3"/>
  <c r="AY507" i="3"/>
  <c r="AY238" i="3"/>
  <c r="AY141" i="3"/>
  <c r="AY20" i="3"/>
  <c r="AY105" i="3"/>
  <c r="AY436" i="3"/>
  <c r="AY212" i="3"/>
  <c r="AY412" i="3"/>
  <c r="AY292" i="3"/>
  <c r="AY49" i="3"/>
  <c r="AY496" i="3"/>
  <c r="AY527" i="3"/>
  <c r="AY435" i="3"/>
  <c r="AY308" i="3"/>
  <c r="AY243" i="3"/>
  <c r="AY40" i="3"/>
  <c r="AY365" i="3"/>
  <c r="AY271" i="3"/>
  <c r="AY146" i="3"/>
  <c r="AY68" i="3"/>
  <c r="AY574" i="3"/>
  <c r="AY481" i="3"/>
  <c r="AY269" i="3"/>
  <c r="AY334" i="3"/>
  <c r="AY90" i="3"/>
  <c r="AY16" i="3"/>
  <c r="BF6" i="3"/>
  <c r="BQ6" i="3"/>
  <c r="AY414" i="3"/>
  <c r="AY488" i="3"/>
  <c r="AY348" i="3"/>
  <c r="AY377" i="3"/>
  <c r="AY290" i="3"/>
  <c r="AY166" i="3"/>
  <c r="AY41" i="3"/>
  <c r="AY554" i="3"/>
  <c r="AY397" i="3"/>
  <c r="AY246" i="3"/>
  <c r="AY294" i="3"/>
  <c r="AY133" i="3"/>
  <c r="AY170" i="3"/>
  <c r="AY28" i="3"/>
  <c r="AY61" i="3"/>
  <c r="AY553" i="3"/>
  <c r="BK6" i="3"/>
  <c r="AY420" i="3"/>
  <c r="AY342" i="3"/>
  <c r="AY228" i="3"/>
  <c r="AY26" i="3"/>
  <c r="AY473" i="3"/>
  <c r="AY261" i="3"/>
  <c r="AY50" i="3"/>
  <c r="AY225" i="3"/>
  <c r="AY276" i="3"/>
  <c r="AY115" i="3"/>
  <c r="AY66" i="3"/>
  <c r="R49" i="34"/>
  <c r="E49" i="34" s="1"/>
  <c r="E53" i="34" s="1"/>
  <c r="F53" i="34" s="1"/>
  <c r="C14" i="89"/>
  <c r="C17" i="89" s="1"/>
  <c r="C16" i="89" s="1"/>
  <c r="C14" i="83"/>
  <c r="C20" i="83" s="1"/>
  <c r="C19" i="83" s="1"/>
  <c r="I52" i="82"/>
  <c r="J52" i="82" s="1"/>
  <c r="I53" i="87"/>
  <c r="J53" i="87" s="1"/>
  <c r="G53" i="82"/>
  <c r="H53" i="82" s="1"/>
  <c r="G52" i="82"/>
  <c r="H52" i="82" s="1"/>
  <c r="E48" i="82"/>
  <c r="I53" i="82" s="1"/>
  <c r="J53" i="82" s="1"/>
  <c r="R49" i="82"/>
  <c r="G53" i="87"/>
  <c r="H53" i="87" s="1"/>
  <c r="G54" i="87"/>
  <c r="H54" i="87" s="1"/>
  <c r="R50" i="87"/>
  <c r="E49" i="87"/>
  <c r="G54" i="34"/>
  <c r="H54" i="34" s="1"/>
  <c r="C48" i="15"/>
  <c r="C66" i="15" s="1"/>
  <c r="D116" i="43"/>
  <c r="C18" i="71"/>
  <c r="D19" i="71"/>
  <c r="B15" i="71"/>
  <c r="B14" i="71" s="1"/>
  <c r="B13" i="71" s="1"/>
  <c r="B12" i="71" s="1"/>
  <c r="S16" i="71"/>
  <c r="E15" i="71"/>
  <c r="E14" i="71" s="1"/>
  <c r="E13" i="71" s="1"/>
  <c r="E12" i="71" s="1"/>
  <c r="V16" i="71"/>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1" i="6"/>
  <c r="D19" i="6"/>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F41" i="68"/>
  <c r="C26" i="69"/>
  <c r="D22" i="69" s="1"/>
  <c r="C44" i="69"/>
  <c r="D41" i="69" s="1"/>
  <c r="C44" i="68"/>
  <c r="D41" i="68" s="1"/>
  <c r="C23" i="68"/>
  <c r="C26" i="68"/>
  <c r="D22" i="68" s="1"/>
  <c r="C26" i="12"/>
  <c r="D25" i="12" s="1"/>
  <c r="C44" i="11"/>
  <c r="D41" i="11" s="1"/>
  <c r="C23" i="11"/>
  <c r="C24" i="11"/>
  <c r="C25" i="11"/>
  <c r="C26" i="11"/>
  <c r="D22" i="11" s="1"/>
  <c r="C34" i="9"/>
  <c r="C66" i="67"/>
  <c r="C60" i="67"/>
  <c r="D10" i="69"/>
  <c r="C34" i="69"/>
  <c r="D10" i="68"/>
  <c r="C14" i="67"/>
  <c r="C17" i="15"/>
  <c r="C17" i="67"/>
  <c r="I54" i="34" l="1"/>
  <c r="J54" i="34" s="1"/>
  <c r="E54" i="34"/>
  <c r="F54" i="34" s="1"/>
  <c r="R50" i="34"/>
  <c r="E54" i="87"/>
  <c r="F54" i="87" s="1"/>
  <c r="E53" i="87"/>
  <c r="F53" i="87" s="1"/>
  <c r="C48" i="82"/>
  <c r="C4" i="83" s="1"/>
  <c r="C49" i="82"/>
  <c r="I54" i="87"/>
  <c r="J54" i="87" s="1"/>
  <c r="H24" i="6"/>
  <c r="C49" i="87"/>
  <c r="C4" i="89" s="1"/>
  <c r="C50" i="87"/>
  <c r="B3" i="87" s="1"/>
  <c r="E53" i="82"/>
  <c r="F53" i="82" s="1"/>
  <c r="E52" i="82"/>
  <c r="F52" i="82" s="1"/>
  <c r="C17" i="83"/>
  <c r="C16" i="83" s="1"/>
  <c r="C20" i="89"/>
  <c r="C60" i="15"/>
  <c r="D30" i="6"/>
  <c r="H22" i="6"/>
  <c r="H25" i="6"/>
  <c r="B11" i="71"/>
  <c r="B10" i="71" s="1"/>
  <c r="B9" i="71" s="1"/>
  <c r="B8" i="71" s="1"/>
  <c r="B7" i="71" s="1"/>
  <c r="B6" i="71" s="1"/>
  <c r="B5" i="71" s="1"/>
  <c r="S12" i="71"/>
  <c r="E11" i="71"/>
  <c r="E10" i="71" s="1"/>
  <c r="E9" i="71" s="1"/>
  <c r="E8" i="71" s="1"/>
  <c r="E7" i="71" s="1"/>
  <c r="E6" i="71" s="1"/>
  <c r="E5" i="71" s="1"/>
  <c r="V12" i="71"/>
  <c r="C17" i="71"/>
  <c r="D18" i="71"/>
  <c r="C18" i="67"/>
  <c r="C15" i="67"/>
  <c r="H23" i="6"/>
  <c r="R23" i="6" s="1"/>
  <c r="R10" i="1" s="1"/>
  <c r="C30" i="43"/>
  <c r="C31" i="43"/>
  <c r="H20" i="6"/>
  <c r="R20" i="6" s="1"/>
  <c r="R7" i="1" s="1"/>
  <c r="C38" i="69"/>
  <c r="C35" i="69"/>
  <c r="E12" i="70"/>
  <c r="F34" i="11"/>
  <c r="F11" i="12"/>
  <c r="S16" i="1"/>
  <c r="E9" i="70"/>
  <c r="AR9" i="1"/>
  <c r="AQ9" i="1"/>
  <c r="T9" i="1"/>
  <c r="AQ11" i="1"/>
  <c r="AR11" i="1"/>
  <c r="T11" i="1"/>
  <c r="AR12" i="1"/>
  <c r="T12" i="1"/>
  <c r="AQ12" i="1"/>
  <c r="AQ10" i="1"/>
  <c r="T10" i="1"/>
  <c r="AR10" i="1"/>
  <c r="AR7" i="1"/>
  <c r="AQ7" i="1"/>
  <c r="T7" i="1"/>
  <c r="M27" i="6"/>
  <c r="I19" i="6"/>
  <c r="D16" i="6"/>
  <c r="R26" i="6"/>
  <c r="R24" i="6"/>
  <c r="R11" i="1" s="1"/>
  <c r="R22" i="6"/>
  <c r="R9" i="1" s="1"/>
  <c r="C15" i="12"/>
  <c r="C12" i="12"/>
  <c r="D27" i="6"/>
  <c r="D31" i="6" s="1"/>
  <c r="D8" i="74"/>
  <c r="D7" i="74"/>
  <c r="R21" i="6"/>
  <c r="R8" i="1" s="1"/>
  <c r="C10" i="69"/>
  <c r="C8" i="69" s="1"/>
  <c r="C5" i="69" s="1"/>
  <c r="D19" i="69"/>
  <c r="F50" i="69"/>
  <c r="F50" i="11"/>
  <c r="F50" i="68"/>
  <c r="C4" i="52"/>
  <c r="B45" i="72" s="1"/>
  <c r="A10" i="51"/>
  <c r="B9" i="72" s="1"/>
  <c r="A7" i="51"/>
  <c r="B7" i="72" s="1"/>
  <c r="C21" i="9"/>
  <c r="D21" i="9"/>
  <c r="G21" i="9"/>
  <c r="R25" i="6"/>
  <c r="R12" i="1" s="1"/>
  <c r="C10" i="68"/>
  <c r="D19" i="68"/>
  <c r="B2" i="43"/>
  <c r="B3" i="43" s="1"/>
  <c r="H69" i="39"/>
  <c r="I67" i="39"/>
  <c r="G65" i="40"/>
  <c r="H63" i="40"/>
  <c r="C43" i="37"/>
  <c r="C42" i="37"/>
  <c r="I48" i="35"/>
  <c r="C48" i="33"/>
  <c r="D36" i="83" s="1"/>
  <c r="C49" i="33"/>
  <c r="H58" i="21"/>
  <c r="E47" i="37"/>
  <c r="F47" i="37" s="1"/>
  <c r="E46" i="37"/>
  <c r="F46" i="37" s="1"/>
  <c r="I47" i="37"/>
  <c r="J47" i="37" s="1"/>
  <c r="E53" i="33"/>
  <c r="F53" i="33" s="1"/>
  <c r="E52" i="33"/>
  <c r="F52" i="33" s="1"/>
  <c r="C33" i="15"/>
  <c r="C22" i="11"/>
  <c r="C31" i="11" s="1"/>
  <c r="C33" i="67"/>
  <c r="J19" i="67"/>
  <c r="C34" i="68"/>
  <c r="B6" i="76"/>
  <c r="E6" i="76"/>
  <c r="C14" i="15"/>
  <c r="C50" i="34" l="1"/>
  <c r="C49" i="34"/>
  <c r="D36" i="89" s="1"/>
  <c r="J8" i="89" s="1"/>
  <c r="C23" i="83"/>
  <c r="C7" i="83" s="1"/>
  <c r="C28" i="83" s="1"/>
  <c r="C19" i="89"/>
  <c r="C23" i="89"/>
  <c r="J8" i="83"/>
  <c r="E2" i="70"/>
  <c r="D17" i="71"/>
  <c r="C16"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I63" i="40"/>
  <c r="H65" i="40"/>
  <c r="I58" i="21"/>
  <c r="J58" i="21" s="1"/>
  <c r="K58" i="21" s="1"/>
  <c r="L58" i="21" s="1"/>
  <c r="M58" i="21" s="1"/>
  <c r="N58" i="21" s="1"/>
  <c r="O58" i="21" s="1"/>
  <c r="H7" i="21" s="1"/>
  <c r="J48" i="35"/>
  <c r="C27" i="83" l="1"/>
  <c r="C27" i="89"/>
  <c r="C7" i="89"/>
  <c r="C28" i="89" s="1"/>
  <c r="C24" i="83"/>
  <c r="C30" i="83" s="1"/>
  <c r="C31" i="83" s="1"/>
  <c r="C15" i="71"/>
  <c r="T16" i="71"/>
  <c r="D16" i="71"/>
  <c r="U16" i="71" s="1"/>
  <c r="F7" i="21"/>
  <c r="S7" i="21" s="1"/>
  <c r="J7" i="21"/>
  <c r="AC7" i="21" s="1"/>
  <c r="V48" i="21" s="1"/>
  <c r="I48" i="21" s="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J34" i="83" l="1"/>
  <c r="J35" i="83"/>
  <c r="D37" i="83"/>
  <c r="C24" i="89"/>
  <c r="C30" i="89" s="1"/>
  <c r="C31" i="89" s="1"/>
  <c r="C14" i="71"/>
  <c r="D15" i="71"/>
  <c r="W7" i="21"/>
  <c r="AA7" i="21"/>
  <c r="R48" i="21" s="1"/>
  <c r="R49" i="21" s="1"/>
  <c r="J7" i="35"/>
  <c r="W7" i="35" s="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AC7" i="35"/>
  <c r="V38" i="35" s="1"/>
  <c r="I38" i="35" s="1"/>
  <c r="J65" i="40"/>
  <c r="K63" i="40"/>
  <c r="I52" i="21"/>
  <c r="J52" i="21" s="1"/>
  <c r="U7" i="35"/>
  <c r="AB7" i="35"/>
  <c r="T38" i="35" s="1"/>
  <c r="G38" i="35" s="1"/>
  <c r="G52" i="21"/>
  <c r="H52" i="21" s="1"/>
  <c r="G53" i="21"/>
  <c r="H53" i="21" s="1"/>
  <c r="F7" i="35"/>
  <c r="M21" i="15"/>
  <c r="F35" i="67"/>
  <c r="M21" i="67"/>
  <c r="F35" i="15"/>
  <c r="J35" i="89" l="1"/>
  <c r="J34" i="89"/>
  <c r="D37" i="89"/>
  <c r="J9" i="83"/>
  <c r="D38" i="83"/>
  <c r="G36" i="83"/>
  <c r="E48" i="21"/>
  <c r="D14" i="71"/>
  <c r="C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G36" i="89" l="1"/>
  <c r="J9" i="89"/>
  <c r="D38" i="89"/>
  <c r="D6" i="90"/>
  <c r="D7" i="90" s="1"/>
  <c r="C39" i="83"/>
  <c r="C40" i="83" s="1"/>
  <c r="J10" i="83"/>
  <c r="E39" i="83"/>
  <c r="E40" i="83" s="1"/>
  <c r="C12" i="71"/>
  <c r="D13" i="7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H12" i="90" l="1"/>
  <c r="G14" i="90"/>
  <c r="H14" i="90" s="1"/>
  <c r="D5" i="90"/>
  <c r="D3" i="90"/>
  <c r="J10" i="89"/>
  <c r="C39" i="89"/>
  <c r="C40" i="89" s="1"/>
  <c r="E39" i="89"/>
  <c r="E40" i="89" s="1"/>
  <c r="C11" i="71"/>
  <c r="T12" i="71"/>
  <c r="D12" i="71"/>
  <c r="U12" i="71" s="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L51" i="67"/>
  <c r="F5" i="90" l="1"/>
  <c r="H13" i="90"/>
  <c r="I12" i="90"/>
  <c r="C10" i="71"/>
  <c r="D11"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5"/>
  <c r="D2" i="36"/>
  <c r="L51" i="15"/>
  <c r="D2" i="34"/>
  <c r="D2" i="37"/>
  <c r="D10" i="71" l="1"/>
  <c r="C9" i="7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7" i="1"/>
  <c r="AO8" i="1"/>
  <c r="AO6" i="1"/>
  <c r="AO9" i="1"/>
  <c r="AO11" i="1"/>
  <c r="AO12" i="1"/>
  <c r="AO10" i="1"/>
  <c r="C8" i="71" l="1"/>
  <c r="D9" i="71"/>
  <c r="L46" i="15"/>
  <c r="B2" i="15" s="1"/>
  <c r="B3" i="15" s="1"/>
  <c r="Q66" i="15"/>
  <c r="Q75" i="15" s="1"/>
  <c r="Q62" i="15"/>
  <c r="B9" i="70"/>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7" i="71" l="1"/>
  <c r="D8" i="7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7" i="71" l="1"/>
  <c r="C6" i="71"/>
  <c r="C42" i="40"/>
  <c r="C43" i="40"/>
  <c r="E47" i="40"/>
  <c r="F47" i="40" s="1"/>
  <c r="E46" i="40"/>
  <c r="F46" i="40" s="1"/>
  <c r="I47" i="40"/>
  <c r="J47" i="40" s="1"/>
  <c r="D6" i="71" l="1"/>
  <c r="C5" i="71"/>
  <c r="D5" i="71" s="1"/>
  <c r="M24" i="43" s="1"/>
  <c r="B58" i="40"/>
  <c r="F58" i="40" s="1"/>
  <c r="B54" i="40"/>
  <c r="F54" i="40" s="1"/>
  <c r="B53" i="40"/>
  <c r="F53" i="40" s="1"/>
  <c r="B59" i="40"/>
  <c r="F59" i="40" s="1"/>
  <c r="B52" i="40"/>
  <c r="F52" i="40" s="1"/>
  <c r="B56" i="40"/>
  <c r="F56" i="40" s="1"/>
  <c r="B60" i="40"/>
  <c r="F60" i="40" s="1"/>
  <c r="B57" i="40"/>
  <c r="F57" i="40" s="1"/>
  <c r="B51" i="40"/>
  <c r="F51" i="40" s="1"/>
  <c r="F61" i="40"/>
  <c r="B2" i="40" s="1"/>
  <c r="B3" i="40" s="1"/>
  <c r="E14" i="74" l="1"/>
  <c r="F14" i="74"/>
  <c r="B5" i="74"/>
  <c r="D5" i="74" s="1"/>
  <c r="B6" i="74" l="1"/>
  <c r="D6" i="74" s="1"/>
  <c r="M55" i="9" l="1"/>
  <c r="N60" i="9"/>
  <c r="N61" i="9"/>
  <c r="P57" i="9"/>
  <c r="N59" i="9"/>
  <c r="N58" i="9"/>
  <c r="B52" i="72"/>
  <c r="H5" i="52"/>
  <c r="G4" i="52"/>
  <c r="B32" i="72"/>
  <c r="D59" i="9"/>
  <c r="D8" i="52"/>
  <c r="D14" i="53"/>
  <c r="B30" i="72"/>
  <c r="C5" i="74"/>
  <c r="I4" i="52"/>
  <c r="C105" i="9"/>
  <c r="E4" i="52"/>
  <c r="B48" i="72"/>
  <c r="M48" i="9"/>
  <c r="C6" i="74"/>
  <c r="C81" i="9"/>
  <c r="H4" i="52"/>
  <c r="C104" i="9"/>
  <c r="H119" i="9"/>
  <c r="B47" i="72"/>
  <c r="C73" i="9"/>
  <c r="B22" i="72"/>
  <c r="D13" i="53"/>
  <c r="D52" i="9"/>
  <c r="C78" i="9"/>
  <c r="D53" i="9"/>
  <c r="D4" i="52"/>
  <c r="M54" i="9"/>
  <c r="C96" i="9"/>
  <c r="E96" i="9"/>
  <c r="E97" i="9"/>
  <c r="F119" i="9"/>
  <c r="F5" i="52"/>
  <c r="B53" i="72"/>
  <c r="D122" i="9"/>
  <c r="D123" i="9"/>
  <c r="D9" i="52"/>
  <c r="E81" i="9"/>
  <c r="G118" i="9"/>
  <c r="F118" i="9"/>
  <c r="F4" i="52"/>
  <c r="B51" i="72"/>
  <c r="D6" i="53"/>
  <c r="D5" i="53"/>
  <c r="B20" i="72"/>
  <c r="C85" i="9"/>
  <c r="C95" i="9"/>
  <c r="C97" i="9"/>
  <c r="D58" i="9"/>
  <c r="D56" i="9"/>
  <c r="H107" i="9"/>
  <c r="H108" i="9"/>
  <c r="D15" i="53"/>
  <c r="B31" i="72"/>
  <c r="C72" i="9"/>
  <c r="C79" i="9"/>
  <c r="C80" i="9"/>
  <c r="E80" i="9"/>
  <c r="H102" i="9"/>
  <c r="D7" i="53"/>
  <c r="B21" i="72"/>
  <c r="C93" i="9"/>
  <c r="C86" i="9"/>
  <c r="E118" i="9"/>
  <c r="D118" i="9"/>
  <c r="D119" i="9"/>
  <c r="D5" i="52"/>
  <c r="B49" i="72"/>
  <c r="C64" i="9"/>
  <c r="C63" i="9"/>
  <c r="C67" i="9"/>
  <c r="C68" i="9"/>
  <c r="D54" i="9"/>
  <c r="I118" i="9"/>
  <c r="H118" i="9"/>
  <c r="H101" i="9"/>
  <c r="D45" i="9"/>
  <c r="D55" i="9"/>
  <c r="M53" i="9"/>
  <c r="N57" i="9"/>
</calcChain>
</file>

<file path=xl/comments1.xml><?xml version="1.0" encoding="utf-8"?>
<comments xmlns="http://schemas.openxmlformats.org/spreadsheetml/2006/main">
  <authors>
    <author>USER</author>
  </authors>
  <commentList>
    <comment ref="A13" authorId="0" shape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shapeId="0">
      <text>
        <r>
          <rPr>
            <sz val="12"/>
            <color indexed="81"/>
            <rFont val="仿宋_GB2312"/>
            <family val="3"/>
            <charset val="134"/>
          </rPr>
          <t>没有时，请选择"——"</t>
        </r>
        <r>
          <rPr>
            <sz val="9"/>
            <color indexed="81"/>
            <rFont val="宋体"/>
            <family val="3"/>
            <charset val="134"/>
          </rPr>
          <t xml:space="preserve">
</t>
        </r>
      </text>
    </comment>
    <comment ref="H4" authorId="0" shapeId="0">
      <text>
        <r>
          <rPr>
            <sz val="12"/>
            <color indexed="81"/>
            <rFont val="仿宋_GB2312"/>
            <family val="3"/>
            <charset val="134"/>
          </rPr>
          <t>没有时，请选择"——"</t>
        </r>
        <r>
          <rPr>
            <sz val="9"/>
            <color indexed="81"/>
            <rFont val="宋体"/>
            <family val="3"/>
            <charset val="134"/>
          </rPr>
          <t xml:space="preserve">
</t>
        </r>
      </text>
    </comment>
    <comment ref="B10" authorId="1" shapeId="0">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shapeId="0">
      <text>
        <r>
          <rPr>
            <sz val="12"/>
            <color indexed="81"/>
            <rFont val="楷体_GB2312"/>
            <family val="3"/>
            <charset val="134"/>
          </rPr>
          <t>如果有推广名请自行加入</t>
        </r>
        <r>
          <rPr>
            <sz val="9"/>
            <color indexed="81"/>
            <rFont val="宋体"/>
            <family val="3"/>
            <charset val="134"/>
          </rPr>
          <t xml:space="preserve">
</t>
        </r>
      </text>
    </comment>
    <comment ref="B11" authorId="0" shapeId="0">
      <text>
        <r>
          <rPr>
            <sz val="12"/>
            <color indexed="81"/>
            <rFont val="宋体"/>
            <family val="3"/>
            <charset val="134"/>
          </rPr>
          <t xml:space="preserve">名称在右侧单元格录入
</t>
        </r>
      </text>
    </comment>
    <comment ref="B16" authorId="0" shapeId="0">
      <text>
        <r>
          <rPr>
            <sz val="12"/>
            <color indexed="81"/>
            <rFont val="宋体"/>
            <family val="3"/>
            <charset val="134"/>
          </rPr>
          <t>如：住宅、办公、地下车库</t>
        </r>
        <r>
          <rPr>
            <sz val="9"/>
            <color indexed="81"/>
            <rFont val="宋体"/>
            <family val="3"/>
            <charset val="134"/>
          </rPr>
          <t xml:space="preserve">
</t>
        </r>
      </text>
    </comment>
    <comment ref="F16" authorId="0" shapeId="0">
      <text>
        <r>
          <rPr>
            <sz val="12"/>
            <color indexed="81"/>
            <rFont val="宋体"/>
            <family val="3"/>
            <charset val="134"/>
          </rPr>
          <t>如：住宅67.6年、办公及车库37.6年</t>
        </r>
        <r>
          <rPr>
            <sz val="9"/>
            <color indexed="81"/>
            <rFont val="宋体"/>
            <family val="3"/>
            <charset val="134"/>
          </rPr>
          <t xml:space="preserve">
</t>
        </r>
      </text>
    </comment>
    <comment ref="E18" authorId="0" shapeId="0">
      <text>
        <r>
          <rPr>
            <sz val="11"/>
            <color indexed="81"/>
            <rFont val="宋体"/>
            <family val="3"/>
            <charset val="134"/>
          </rPr>
          <t xml:space="preserve">有相同面积依据时，仅在土地面积依据处录入。
</t>
        </r>
      </text>
    </comment>
    <comment ref="C28" authorId="1" shapeId="0">
      <text>
        <r>
          <rPr>
            <sz val="11"/>
            <color indexed="81"/>
            <rFont val="楷体_GB2312"/>
            <family val="3"/>
            <charset val="134"/>
          </rPr>
          <t>其他特殊项请在右侧录入</t>
        </r>
      </text>
    </comment>
    <comment ref="C30" authorId="1" shapeId="0">
      <text>
        <r>
          <rPr>
            <sz val="11"/>
            <color indexed="81"/>
            <rFont val="宋体"/>
            <family val="3"/>
            <charset val="134"/>
          </rPr>
          <t>廉租房、公租房、限价房、自住房</t>
        </r>
        <r>
          <rPr>
            <sz val="9"/>
            <color indexed="81"/>
            <rFont val="宋体"/>
            <family val="3"/>
            <charset val="134"/>
          </rPr>
          <t xml:space="preserve">
</t>
        </r>
      </text>
    </comment>
    <comment ref="E31" authorId="1" shapeId="0">
      <text>
        <r>
          <rPr>
            <sz val="11"/>
            <color indexed="81"/>
            <rFont val="宋体"/>
            <family val="3"/>
            <charset val="134"/>
          </rPr>
          <t xml:space="preserve">工程停工、土地闲置、年久失修等
</t>
        </r>
      </text>
    </comment>
    <comment ref="E32" authorId="1" shapeId="0">
      <text>
        <r>
          <rPr>
            <sz val="11"/>
            <color indexed="81"/>
            <rFont val="宋体"/>
            <family val="3"/>
            <charset val="134"/>
          </rPr>
          <t xml:space="preserve">工程停工、土地闲置、年久失修等
</t>
        </r>
      </text>
    </comment>
    <comment ref="E33" authorId="1" shapeId="0">
      <text>
        <r>
          <rPr>
            <sz val="11"/>
            <color indexed="81"/>
            <rFont val="宋体"/>
            <family val="3"/>
            <charset val="134"/>
          </rPr>
          <t xml:space="preserve">工程停工、土地闲置、年久失修等
</t>
        </r>
      </text>
    </comment>
    <comment ref="K42" authorId="1" shapeId="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shape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text>
        <r>
          <rPr>
            <sz val="10"/>
            <color indexed="81"/>
            <rFont val="宋体"/>
            <family val="3"/>
            <charset val="134"/>
          </rPr>
          <t>依《国土证》或《不动产证》录入</t>
        </r>
        <r>
          <rPr>
            <sz val="9"/>
            <color indexed="81"/>
            <rFont val="宋体"/>
            <family val="3"/>
            <charset val="134"/>
          </rPr>
          <t xml:space="preserve">
</t>
        </r>
      </text>
    </comment>
    <comment ref="AC8" authorId="0" shape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shape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shapeId="0">
      <text>
        <r>
          <rPr>
            <sz val="12"/>
            <color indexed="81"/>
            <rFont val="宋体"/>
            <family val="3"/>
            <charset val="134"/>
          </rPr>
          <t xml:space="preserve">按套计取，在AF列录入套数；
按每车位计取，在AF列录入车位数；
按收益面积计取，在AF列录入收益面积
</t>
        </r>
      </text>
    </comment>
    <comment ref="W5" authorId="0" shape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text>
        <r>
          <rPr>
            <sz val="10"/>
            <color indexed="81"/>
            <rFont val="宋体"/>
            <family val="3"/>
            <charset val="134"/>
          </rPr>
          <t>取值范围：
1.5%-2.5%</t>
        </r>
        <r>
          <rPr>
            <sz val="9"/>
            <color indexed="81"/>
            <rFont val="宋体"/>
            <family val="3"/>
            <charset val="134"/>
          </rPr>
          <t xml:space="preserve">
</t>
        </r>
      </text>
    </comment>
    <comment ref="AL5" authorId="0" shape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shapeId="0">
      <text>
        <r>
          <rPr>
            <sz val="10"/>
            <color indexed="81"/>
            <rFont val="宋体"/>
            <family val="3"/>
            <charset val="134"/>
          </rPr>
          <t>取值范围：
1%-3%</t>
        </r>
        <r>
          <rPr>
            <sz val="9"/>
            <color indexed="81"/>
            <rFont val="宋体"/>
            <family val="3"/>
            <charset val="134"/>
          </rPr>
          <t xml:space="preserve">
</t>
        </r>
      </text>
    </comment>
    <comment ref="B44" authorId="1" shapeId="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shapeId="0">
      <text>
        <r>
          <rPr>
            <sz val="12"/>
            <color indexed="81"/>
            <rFont val="宋体"/>
            <family val="3"/>
            <charset val="134"/>
          </rPr>
          <t xml:space="preserve">指区域居住用地比例、居住小区规模和社区发展完善程度
</t>
        </r>
      </text>
    </comment>
    <comment ref="F3" authorId="0" shapeId="0">
      <text>
        <r>
          <rPr>
            <sz val="12"/>
            <color indexed="81"/>
            <rFont val="宋体"/>
            <family val="3"/>
            <charset val="134"/>
          </rPr>
          <t xml:space="preserve">也指工业区成熟度，工业区性质、相关产业的配套及集聚状况
</t>
        </r>
      </text>
    </comment>
    <comment ref="B4" authorId="0" shape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text>
        <r>
          <rPr>
            <sz val="12"/>
            <color indexed="81"/>
            <rFont val="宋体"/>
            <family val="3"/>
            <charset val="134"/>
          </rPr>
          <t>侧重对外交通、货运交通状况</t>
        </r>
        <r>
          <rPr>
            <sz val="9"/>
            <color indexed="81"/>
            <rFont val="宋体"/>
            <family val="3"/>
            <charset val="134"/>
          </rPr>
          <t xml:space="preserve">
</t>
        </r>
      </text>
    </comment>
    <comment ref="B5" authorId="0" shape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text>
        <r>
          <rPr>
            <sz val="12"/>
            <color indexed="81"/>
            <rFont val="宋体"/>
            <family val="3"/>
            <charset val="134"/>
          </rPr>
          <t>侧重公共交通通达、停车便捷程度</t>
        </r>
        <r>
          <rPr>
            <sz val="9"/>
            <color indexed="81"/>
            <rFont val="宋体"/>
            <family val="3"/>
            <charset val="134"/>
          </rPr>
          <t xml:space="preserve">
</t>
        </r>
      </text>
    </comment>
    <comment ref="F7" authorId="0" shapeId="0">
      <text>
        <r>
          <rPr>
            <sz val="12"/>
            <color indexed="81"/>
            <rFont val="宋体"/>
            <family val="3"/>
            <charset val="134"/>
          </rPr>
          <t>主要指污染排放状况及治理状况、距离危险设施或污染源的临近程度、自然条件等</t>
        </r>
      </text>
    </comment>
    <comment ref="B9" authorId="0" shape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shapeId="0">
      <text>
        <r>
          <rPr>
            <sz val="12"/>
            <color indexed="81"/>
            <rFont val="楷体_GB2312"/>
            <family val="3"/>
            <charset val="134"/>
          </rPr>
          <t>不分项目类型时为空即可</t>
        </r>
        <r>
          <rPr>
            <sz val="9"/>
            <color indexed="81"/>
            <rFont val="宋体"/>
            <family val="3"/>
            <charset val="134"/>
          </rPr>
          <t xml:space="preserve">
</t>
        </r>
      </text>
    </comment>
    <comment ref="L18" authorId="0" shapeId="0">
      <text>
        <r>
          <rPr>
            <sz val="12"/>
            <color indexed="81"/>
            <rFont val="宋体"/>
            <family val="3"/>
            <charset val="134"/>
          </rPr>
          <t>C1单元格选空即为估价对象全部</t>
        </r>
        <r>
          <rPr>
            <sz val="9"/>
            <color indexed="81"/>
            <rFont val="宋体"/>
            <family val="3"/>
            <charset val="134"/>
          </rPr>
          <t xml:space="preserve">
</t>
        </r>
      </text>
    </comment>
    <comment ref="A24" authorId="1" shapeId="0">
      <text>
        <r>
          <rPr>
            <sz val="11"/>
            <color indexed="81"/>
            <rFont val="宋体"/>
            <family val="3"/>
            <charset val="134"/>
          </rPr>
          <t>需在下方列示计算过程</t>
        </r>
        <r>
          <rPr>
            <sz val="9"/>
            <color indexed="81"/>
            <rFont val="宋体"/>
            <family val="3"/>
            <charset val="134"/>
          </rPr>
          <t xml:space="preserve">
</t>
        </r>
      </text>
    </comment>
    <comment ref="H75" authorId="2" shapeId="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9" authorId="0" shape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s>
  <commentList>
    <comment ref="G18" authorId="0" shape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崔锴</author>
    <author>USER</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在建项目均选择“是”</t>
        </r>
      </text>
    </comment>
    <comment ref="F59" authorId="1" shape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text>
        <r>
          <rPr>
            <sz val="10"/>
            <color indexed="81"/>
            <rFont val="宋体"/>
            <family val="3"/>
            <charset val="134"/>
          </rPr>
          <t xml:space="preserve">在建
</t>
        </r>
      </text>
    </comment>
    <comment ref="N59" authorId="0" shapeId="0">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崔锴</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0"/>
            <color indexed="81"/>
            <rFont val="宋体"/>
            <family val="3"/>
            <charset val="134"/>
          </rPr>
          <t xml:space="preserve">需注意，采用基准地价系数修正法中土地结果计算时，土地报酬率应采用该方法中报酬率（还原率）。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shapeId="0">
      <text>
        <r>
          <rPr>
            <b/>
            <sz val="9"/>
            <color indexed="81"/>
            <rFont val="宋体"/>
            <family val="3"/>
            <charset val="134"/>
          </rPr>
          <t>权重验证</t>
        </r>
        <r>
          <rPr>
            <sz val="9"/>
            <color indexed="81"/>
            <rFont val="宋体"/>
            <family val="3"/>
            <charset val="134"/>
          </rPr>
          <t xml:space="preserve">
</t>
        </r>
      </text>
    </comment>
    <comment ref="C59" authorId="1" shapeId="0">
      <text>
        <r>
          <rPr>
            <b/>
            <sz val="12"/>
            <color indexed="81"/>
            <rFont val="宋体"/>
            <family val="3"/>
            <charset val="134"/>
          </rPr>
          <t>价值时点所在月度</t>
        </r>
        <r>
          <rPr>
            <sz val="12"/>
            <color indexed="81"/>
            <rFont val="宋体"/>
            <family val="3"/>
            <charset val="134"/>
          </rPr>
          <t xml:space="preserve">
</t>
        </r>
      </text>
    </comment>
    <comment ref="B103"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shapeId="0">
      <text>
        <r>
          <rPr>
            <b/>
            <sz val="9"/>
            <color indexed="81"/>
            <rFont val="宋体"/>
            <family val="3"/>
            <charset val="134"/>
          </rPr>
          <t>权重验证</t>
        </r>
        <r>
          <rPr>
            <sz val="9"/>
            <color indexed="81"/>
            <rFont val="宋体"/>
            <family val="3"/>
            <charset val="134"/>
          </rPr>
          <t xml:space="preserve">
</t>
        </r>
      </text>
    </comment>
    <comment ref="C59" authorId="1" shapeId="0">
      <text>
        <r>
          <rPr>
            <b/>
            <sz val="12"/>
            <color indexed="81"/>
            <rFont val="宋体"/>
            <family val="3"/>
            <charset val="134"/>
          </rPr>
          <t>价值时点所在月度</t>
        </r>
        <r>
          <rPr>
            <sz val="12"/>
            <color indexed="81"/>
            <rFont val="宋体"/>
            <family val="3"/>
            <charset val="134"/>
          </rPr>
          <t xml:space="preserve">
</t>
        </r>
      </text>
    </comment>
    <comment ref="B103"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shapeId="0">
      <text>
        <r>
          <rPr>
            <b/>
            <sz val="9"/>
            <color indexed="81"/>
            <rFont val="宋体"/>
            <family val="3"/>
            <charset val="134"/>
          </rPr>
          <t>权重验证</t>
        </r>
        <r>
          <rPr>
            <sz val="9"/>
            <color indexed="81"/>
            <rFont val="宋体"/>
            <family val="3"/>
            <charset val="134"/>
          </rPr>
          <t xml:space="preserve">
</t>
        </r>
      </text>
    </comment>
    <comment ref="C52" authorId="1" shapeId="0">
      <text>
        <r>
          <rPr>
            <b/>
            <sz val="12"/>
            <color indexed="81"/>
            <rFont val="宋体"/>
            <family val="3"/>
            <charset val="134"/>
          </rPr>
          <t>价值时点所在月度</t>
        </r>
        <r>
          <rPr>
            <sz val="12"/>
            <color indexed="81"/>
            <rFont val="宋体"/>
            <family val="3"/>
            <charset val="134"/>
          </rPr>
          <t xml:space="preserve">
</t>
        </r>
      </text>
    </comment>
    <comment ref="B90"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sz val="12"/>
            <color indexed="81"/>
            <rFont val="宋体"/>
            <family val="3"/>
            <charset val="134"/>
          </rPr>
          <t xml:space="preserve">
</t>
        </r>
      </text>
    </comment>
    <comment ref="K38" authorId="1" shapeId="0">
      <text>
        <r>
          <rPr>
            <b/>
            <sz val="9"/>
            <color indexed="81"/>
            <rFont val="宋体"/>
            <family val="3"/>
            <charset val="134"/>
          </rPr>
          <t>权重验证</t>
        </r>
        <r>
          <rPr>
            <sz val="9"/>
            <color indexed="81"/>
            <rFont val="宋体"/>
            <family val="3"/>
            <charset val="134"/>
          </rPr>
          <t xml:space="preserve">
</t>
        </r>
      </text>
    </comment>
    <comment ref="C48" authorId="0" shapeId="0">
      <text>
        <r>
          <rPr>
            <b/>
            <sz val="12"/>
            <color indexed="81"/>
            <rFont val="宋体"/>
            <family val="3"/>
            <charset val="134"/>
          </rPr>
          <t>价值时点所在月度</t>
        </r>
        <r>
          <rPr>
            <sz val="12"/>
            <color indexed="81"/>
            <rFont val="宋体"/>
            <family val="3"/>
            <charset val="134"/>
          </rPr>
          <t xml:space="preserve">
</t>
        </r>
      </text>
    </comment>
    <comment ref="B88" authorId="0" shapeId="0">
      <text>
        <r>
          <rPr>
            <b/>
            <sz val="12"/>
            <color indexed="81"/>
            <rFont val="宋体"/>
            <family val="3"/>
            <charset val="134"/>
          </rPr>
          <t>所属项目品质或
物业管理</t>
        </r>
      </text>
    </comment>
    <comment ref="B90"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text>
        <r>
          <rPr>
            <b/>
            <sz val="9"/>
            <color indexed="81"/>
            <rFont val="宋体"/>
            <family val="3"/>
            <charset val="134"/>
          </rPr>
          <t>权重验证</t>
        </r>
        <r>
          <rPr>
            <sz val="9"/>
            <color indexed="81"/>
            <rFont val="宋体"/>
            <family val="3"/>
            <charset val="134"/>
          </rPr>
          <t xml:space="preserve">
</t>
        </r>
      </text>
    </comment>
    <comment ref="C46" authorId="0" shapeId="0">
      <text>
        <r>
          <rPr>
            <b/>
            <sz val="12"/>
            <color indexed="81"/>
            <rFont val="宋体"/>
            <family val="3"/>
            <charset val="134"/>
          </rPr>
          <t>价值时点所在月度</t>
        </r>
        <r>
          <rPr>
            <sz val="12"/>
            <color indexed="81"/>
            <rFont val="宋体"/>
            <family val="3"/>
            <charset val="134"/>
          </rPr>
          <t xml:space="preserve">
</t>
        </r>
      </text>
    </comment>
    <comment ref="B82" authorId="0" shapeId="0">
      <text>
        <r>
          <rPr>
            <b/>
            <sz val="12"/>
            <color indexed="81"/>
            <rFont val="宋体"/>
            <family val="3"/>
            <charset val="134"/>
          </rPr>
          <t>所属项目品质或
物业管理</t>
        </r>
      </text>
    </comment>
    <comment ref="B86" authorId="0" shapeId="0">
      <text>
        <r>
          <rPr>
            <b/>
            <sz val="12"/>
            <color indexed="81"/>
            <rFont val="宋体"/>
            <family val="3"/>
            <charset val="134"/>
          </rPr>
          <t>所属项目品质</t>
        </r>
      </text>
    </comment>
    <comment ref="B89"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7" authorId="0" shapeId="0">
      <text>
        <r>
          <rPr>
            <b/>
            <sz val="9"/>
            <color indexed="81"/>
            <rFont val="宋体"/>
            <family val="3"/>
            <charset val="134"/>
          </rPr>
          <t>权重验证</t>
        </r>
        <r>
          <rPr>
            <sz val="9"/>
            <color indexed="81"/>
            <rFont val="宋体"/>
            <family val="3"/>
            <charset val="134"/>
          </rPr>
          <t xml:space="preserve">
</t>
        </r>
      </text>
    </comment>
    <comment ref="C69" authorId="1" shapeId="0">
      <text>
        <r>
          <rPr>
            <b/>
            <sz val="12"/>
            <color indexed="81"/>
            <rFont val="宋体"/>
            <family val="3"/>
            <charset val="134"/>
          </rPr>
          <t>价值时点所在季度</t>
        </r>
        <r>
          <rPr>
            <sz val="12"/>
            <color indexed="81"/>
            <rFont val="宋体"/>
            <family val="3"/>
            <charset val="134"/>
          </rPr>
          <t xml:space="preserve">
</t>
        </r>
      </text>
    </comment>
    <comment ref="B70" authorId="0" shapeId="0">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authors>
    <author>崔锴</author>
    <author>USER</author>
  </authors>
  <commentList>
    <comment ref="K42" authorId="0" shapeId="0">
      <text>
        <r>
          <rPr>
            <b/>
            <sz val="9"/>
            <color indexed="81"/>
            <rFont val="宋体"/>
            <family val="3"/>
            <charset val="134"/>
          </rPr>
          <t>权重验证</t>
        </r>
        <r>
          <rPr>
            <sz val="9"/>
            <color indexed="81"/>
            <rFont val="宋体"/>
            <family val="3"/>
            <charset val="134"/>
          </rPr>
          <t xml:space="preserve">
</t>
        </r>
      </text>
    </comment>
    <comment ref="C65" authorId="1" shapeId="0">
      <text>
        <r>
          <rPr>
            <b/>
            <sz val="12"/>
            <color indexed="81"/>
            <rFont val="宋体"/>
            <family val="3"/>
            <charset val="134"/>
          </rPr>
          <t>价值时点所在季度</t>
        </r>
        <r>
          <rPr>
            <sz val="12"/>
            <color indexed="81"/>
            <rFont val="宋体"/>
            <family val="3"/>
            <charset val="134"/>
          </rPr>
          <t xml:space="preserve">
</t>
        </r>
      </text>
    </comment>
    <comment ref="B66" authorId="0" shape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Sky123.Org</author>
    <author>崔锴</author>
    <author>USER</author>
    <author>moqikay</author>
    <author>1-cuikai</author>
  </authors>
  <commentList>
    <comment ref="C6" authorId="0" shapeId="0">
      <text>
        <r>
          <rPr>
            <b/>
            <sz val="9"/>
            <color indexed="81"/>
            <rFont val="宋体"/>
            <family val="3"/>
            <charset val="134"/>
          </rPr>
          <t>对应区片地价表</t>
        </r>
        <r>
          <rPr>
            <sz val="9"/>
            <color indexed="81"/>
            <rFont val="宋体"/>
            <family val="3"/>
            <charset val="134"/>
          </rPr>
          <t xml:space="preserve">
</t>
        </r>
      </text>
    </comment>
    <comment ref="Y9" authorId="1" shapeId="0">
      <text>
        <r>
          <rPr>
            <sz val="11"/>
            <color indexed="81"/>
            <rFont val="宋体"/>
            <family val="3"/>
            <charset val="134"/>
          </rPr>
          <t xml:space="preserve">录入层数，将对应的结果录入至左侧相应层的楼层修正系数单元格中
</t>
        </r>
      </text>
    </comment>
    <comment ref="C16" authorId="1" shapeId="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text>
        <r>
          <rPr>
            <sz val="12"/>
            <color indexed="81"/>
            <rFont val="宋体"/>
            <family val="3"/>
            <charset val="134"/>
          </rPr>
          <t>1.05~1.1</t>
        </r>
        <r>
          <rPr>
            <sz val="9"/>
            <color indexed="81"/>
            <rFont val="宋体"/>
            <family val="3"/>
            <charset val="134"/>
          </rPr>
          <t xml:space="preserve">
</t>
        </r>
      </text>
    </comment>
    <comment ref="E16" authorId="1" shapeId="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shapeId="0">
      <text>
        <r>
          <rPr>
            <b/>
            <sz val="14"/>
            <color indexed="81"/>
            <rFont val="宋体"/>
            <family val="3"/>
            <charset val="134"/>
          </rPr>
          <t>工业选“中心城区”</t>
        </r>
        <r>
          <rPr>
            <sz val="9"/>
            <color indexed="81"/>
            <rFont val="宋体"/>
            <family val="3"/>
            <charset val="134"/>
          </rPr>
          <t xml:space="preserve">
</t>
        </r>
      </text>
    </comment>
    <comment ref="B35" authorId="4" shapeId="0">
      <text>
        <r>
          <rPr>
            <sz val="9"/>
            <color indexed="81"/>
            <rFont val="宋体"/>
            <family val="3"/>
            <charset val="134"/>
          </rPr>
          <t xml:space="preserve">地下商业：地上主用途需选商业
地下办公：地上主用途需选办公
地下仓储及车库：按地上主用途计算
</t>
        </r>
      </text>
    </comment>
    <comment ref="G44" authorId="4" shapeId="0">
      <text>
        <r>
          <rPr>
            <sz val="9"/>
            <color indexed="81"/>
            <rFont val="宋体"/>
            <family val="3"/>
            <charset val="134"/>
          </rPr>
          <t xml:space="preserve">需在此处填写剩余土地年限
</t>
        </r>
      </text>
    </comment>
    <comment ref="C111" authorId="0" shapeId="0">
      <text>
        <r>
          <rPr>
            <b/>
            <sz val="9"/>
            <color indexed="81"/>
            <rFont val="宋体"/>
            <family val="3"/>
            <charset val="134"/>
          </rPr>
          <t xml:space="preserve">所在楼层
</t>
        </r>
        <r>
          <rPr>
            <sz val="9"/>
            <color indexed="81"/>
            <rFont val="宋体"/>
            <family val="3"/>
            <charset val="134"/>
          </rPr>
          <t xml:space="preserve">
</t>
        </r>
      </text>
    </comment>
    <comment ref="D111" authorId="0" shapeId="0">
      <text>
        <r>
          <rPr>
            <b/>
            <sz val="9"/>
            <color indexed="81"/>
            <rFont val="宋体"/>
            <family val="3"/>
            <charset val="134"/>
          </rPr>
          <t xml:space="preserve">所在楼层
</t>
        </r>
        <r>
          <rPr>
            <sz val="9"/>
            <color indexed="81"/>
            <rFont val="宋体"/>
            <family val="3"/>
            <charset val="134"/>
          </rPr>
          <t xml:space="preserve">
</t>
        </r>
      </text>
    </comment>
    <comment ref="E111" authorId="0" shapeId="0">
      <text>
        <r>
          <rPr>
            <b/>
            <sz val="9"/>
            <color indexed="81"/>
            <rFont val="宋体"/>
            <family val="3"/>
            <charset val="134"/>
          </rPr>
          <t xml:space="preserve">所在楼层
</t>
        </r>
        <r>
          <rPr>
            <sz val="9"/>
            <color indexed="81"/>
            <rFont val="宋体"/>
            <family val="3"/>
            <charset val="134"/>
          </rPr>
          <t xml:space="preserve">
</t>
        </r>
      </text>
    </comment>
    <comment ref="F111" authorId="0" shapeId="0">
      <text>
        <r>
          <rPr>
            <b/>
            <sz val="9"/>
            <color indexed="81"/>
            <rFont val="宋体"/>
            <family val="3"/>
            <charset val="134"/>
          </rPr>
          <t xml:space="preserve">所在楼层
</t>
        </r>
        <r>
          <rPr>
            <sz val="9"/>
            <color indexed="81"/>
            <rFont val="宋体"/>
            <family val="3"/>
            <charset val="134"/>
          </rPr>
          <t xml:space="preserve">
</t>
        </r>
      </text>
    </comment>
    <comment ref="G111" authorId="0" shapeId="0">
      <text>
        <r>
          <rPr>
            <b/>
            <sz val="9"/>
            <color indexed="81"/>
            <rFont val="宋体"/>
            <family val="3"/>
            <charset val="134"/>
          </rPr>
          <t xml:space="preserve">所在楼层
</t>
        </r>
        <r>
          <rPr>
            <sz val="9"/>
            <color indexed="81"/>
            <rFont val="宋体"/>
            <family val="3"/>
            <charset val="134"/>
          </rPr>
          <t xml:space="preserve">
</t>
        </r>
      </text>
    </comment>
    <comment ref="H111" authorId="0" shapeId="0">
      <text>
        <r>
          <rPr>
            <b/>
            <sz val="9"/>
            <color indexed="81"/>
            <rFont val="宋体"/>
            <family val="3"/>
            <charset val="134"/>
          </rPr>
          <t xml:space="preserve">所在楼层
</t>
        </r>
        <r>
          <rPr>
            <sz val="9"/>
            <color indexed="81"/>
            <rFont val="宋体"/>
            <family val="3"/>
            <charset val="134"/>
          </rPr>
          <t xml:space="preserve">
</t>
        </r>
      </text>
    </comment>
    <comment ref="I111" authorId="0" shapeId="0">
      <text>
        <r>
          <rPr>
            <b/>
            <sz val="9"/>
            <color indexed="81"/>
            <rFont val="宋体"/>
            <family val="3"/>
            <charset val="134"/>
          </rPr>
          <t xml:space="preserve">所在楼层
</t>
        </r>
        <r>
          <rPr>
            <sz val="9"/>
            <color indexed="81"/>
            <rFont val="宋体"/>
            <family val="3"/>
            <charset val="134"/>
          </rPr>
          <t xml:space="preserve">
</t>
        </r>
      </text>
    </comment>
    <comment ref="J111" authorId="0" shapeId="0">
      <text>
        <r>
          <rPr>
            <b/>
            <sz val="9"/>
            <color indexed="81"/>
            <rFont val="宋体"/>
            <family val="3"/>
            <charset val="134"/>
          </rPr>
          <t xml:space="preserve">所在楼层
</t>
        </r>
        <r>
          <rPr>
            <sz val="9"/>
            <color indexed="81"/>
            <rFont val="宋体"/>
            <family val="3"/>
            <charset val="134"/>
          </rPr>
          <t xml:space="preserve">
</t>
        </r>
      </text>
    </comment>
    <comment ref="K111" authorId="0" shapeId="0">
      <text>
        <r>
          <rPr>
            <b/>
            <sz val="9"/>
            <color indexed="81"/>
            <rFont val="宋体"/>
            <family val="3"/>
            <charset val="134"/>
          </rPr>
          <t xml:space="preserve">所在楼层
</t>
        </r>
        <r>
          <rPr>
            <sz val="9"/>
            <color indexed="81"/>
            <rFont val="宋体"/>
            <family val="3"/>
            <charset val="134"/>
          </rPr>
          <t xml:space="preserve">
</t>
        </r>
      </text>
    </comment>
    <comment ref="L111" authorId="0" shapeId="0">
      <text>
        <r>
          <rPr>
            <b/>
            <sz val="9"/>
            <color indexed="81"/>
            <rFont val="宋体"/>
            <family val="3"/>
            <charset val="134"/>
          </rPr>
          <t xml:space="preserve">所在楼层
</t>
        </r>
        <r>
          <rPr>
            <sz val="9"/>
            <color indexed="81"/>
            <rFont val="宋体"/>
            <family val="3"/>
            <charset val="134"/>
          </rPr>
          <t xml:space="preserve">
</t>
        </r>
      </text>
    </comment>
    <comment ref="M111" authorId="0" shapeId="0">
      <text>
        <r>
          <rPr>
            <b/>
            <sz val="9"/>
            <color indexed="81"/>
            <rFont val="宋体"/>
            <family val="3"/>
            <charset val="134"/>
          </rPr>
          <t xml:space="preserve">所在楼层
</t>
        </r>
        <r>
          <rPr>
            <sz val="9"/>
            <color indexed="81"/>
            <rFont val="宋体"/>
            <family val="3"/>
            <charset val="134"/>
          </rPr>
          <t xml:space="preserve">
</t>
        </r>
      </text>
    </comment>
    <comment ref="N111" authorId="0" shapeId="0">
      <text>
        <r>
          <rPr>
            <b/>
            <sz val="9"/>
            <color indexed="81"/>
            <rFont val="宋体"/>
            <family val="3"/>
            <charset val="134"/>
          </rPr>
          <t xml:space="preserve">所在楼层
</t>
        </r>
        <r>
          <rPr>
            <sz val="9"/>
            <color indexed="81"/>
            <rFont val="宋体"/>
            <family val="3"/>
            <charset val="134"/>
          </rPr>
          <t xml:space="preserve">
</t>
        </r>
      </text>
    </comment>
    <comment ref="D116" authorId="0" shape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<sst xmlns="http://schemas.openxmlformats.org/spreadsheetml/2006/main" count="9343" uniqueCount="3879">
  <si>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</si>
  <si>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</si>
  <si>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</si>
  <si>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</si>
  <si>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</si>
  <si>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</si>
  <si>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</si>
  <si>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</si>
  <si>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</si>
  <si>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</si>
  <si>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</si>
  <si>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</si>
  <si>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</si>
  <si>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</si>
  <si>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</si>
  <si>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</si>
  <si>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</si>
  <si>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</si>
  <si>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</si>
  <si>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</si>
  <si>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</si>
  <si>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</si>
  <si>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</si>
  <si>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</si>
  <si>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</si>
  <si>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</si>
  <si>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</si>
  <si>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</si>
  <si>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</si>
  <si>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</si>
  <si>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</si>
  <si>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</si>
  <si>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</si>
  <si>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</si>
  <si>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</si>
  <si>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</si>
  <si>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</si>
  <si>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</si>
  <si>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</si>
  <si>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</si>
  <si>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</si>
  <si>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</si>
  <si>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</si>
  <si>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</si>
  <si>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</si>
  <si>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</si>
  <si>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</si>
  <si>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</si>
  <si>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</si>
  <si>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</si>
  <si>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</si>
  <si>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</si>
  <si>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</si>
  <si>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</si>
  <si>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</si>
  <si>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</si>
  <si>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</si>
  <si>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</si>
  <si>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</si>
  <si>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</si>
  <si>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</si>
  <si>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</si>
  <si>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</si>
  <si>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</si>
  <si>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</si>
  <si>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</si>
  <si>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</si>
  <si>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</si>
  <si>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</si>
  <si>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</si>
  <si>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</si>
  <si>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</si>
  <si>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</si>
  <si>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</si>
  <si>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</si>
  <si>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</si>
  <si>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</si>
  <si>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</si>
  <si>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</si>
  <si>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</si>
  <si>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</si>
  <si>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</si>
  <si>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</si>
  <si>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</si>
  <si>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</si>
  <si>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</si>
  <si>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</si>
  <si>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</si>
  <si>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</si>
  <si>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</si>
  <si>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</si>
  <si>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</si>
  <si>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</si>
  <si>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</si>
  <si>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</si>
  <si>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</si>
  <si>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</si>
  <si>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</si>
  <si>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</si>
  <si>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</si>
  <si>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</si>
  <si>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</si>
  <si>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</si>
  <si>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</si>
  <si>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</si>
  <si>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</si>
  <si>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</si>
  <si>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</si>
  <si>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</si>
  <si>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</si>
  <si>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</si>
  <si>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</si>
  <si>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</si>
  <si>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</si>
  <si>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</si>
  <si>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</si>
  <si>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</si>
  <si>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</si>
  <si>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</si>
  <si>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</si>
  <si>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</si>
  <si>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</si>
  <si>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</si>
  <si>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</si>
  <si>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</si>
  <si>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</si>
  <si>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</si>
  <si>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</si>
  <si>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</si>
  <si>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</si>
  <si>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</si>
  <si>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</si>
  <si>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</si>
  <si>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</si>
  <si>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</si>
  <si>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</si>
  <si>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</si>
  <si>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</si>
  <si>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</si>
  <si>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</si>
  <si>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</si>
  <si>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</si>
  <si>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</si>
  <si>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</si>
  <si>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</si>
  <si>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</si>
  <si>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</si>
  <si>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</si>
  <si>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</si>
  <si>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</si>
  <si>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</si>
  <si>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</si>
  <si>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</si>
  <si>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</si>
  <si>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</si>
  <si>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</si>
  <si>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</si>
  <si>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</si>
  <si>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</si>
  <si>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</si>
  <si>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</si>
  <si>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</si>
  <si>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</si>
  <si>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</si>
  <si>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</si>
  <si>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</si>
  <si>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</si>
  <si>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</si>
  <si>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</si>
  <si>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</si>
  <si>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</si>
  <si>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</si>
  <si>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</si>
  <si>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</si>
  <si>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</si>
  <si>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</si>
  <si>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</si>
  <si>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</si>
  <si>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</si>
  <si>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</si>
  <si>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</si>
  <si>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</si>
  <si>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</si>
  <si>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</si>
  <si>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</si>
  <si>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</si>
  <si>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</si>
  <si>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</si>
  <si>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</si>
  <si>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</si>
  <si>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</si>
  <si>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</si>
  <si>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</si>
  <si>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</si>
  <si>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</si>
  <si>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</si>
  <si>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</si>
  <si>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</si>
  <si>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</si>
  <si>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</si>
  <si>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</si>
  <si>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</si>
  <si>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</si>
  <si>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</si>
  <si>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</si>
  <si>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</si>
  <si>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</si>
  <si>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</si>
  <si>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</si>
  <si>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</si>
  <si>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</si>
  <si>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</si>
  <si>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</si>
  <si>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</si>
  <si>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</si>
  <si>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</si>
  <si>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</si>
  <si>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</si>
  <si>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</si>
  <si>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</si>
  <si>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</si>
  <si>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</si>
  <si>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</si>
  <si>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</si>
  <si>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</si>
  <si>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</si>
  <si>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</si>
  <si>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</si>
  <si>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</si>
  <si>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</si>
  <si>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</si>
  <si>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</si>
  <si>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</si>
  <si>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</si>
  <si>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</si>
  <si>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</si>
  <si>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</si>
  <si>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</si>
  <si>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</si>
  <si>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</si>
  <si>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</si>
  <si>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</si>
  <si>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</si>
  <si>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</si>
  <si>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</si>
  <si>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</si>
  <si>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</si>
  <si>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</si>
  <si>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</si>
  <si>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</si>
  <si>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</si>
  <si>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</si>
  <si>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</si>
  <si>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</si>
  <si>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</si>
  <si>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</si>
  <si>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</si>
  <si>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</si>
  <si>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</si>
  <si>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</si>
  <si>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</si>
  <si>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</si>
  <si>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</si>
  <si>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</si>
  <si>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</si>
  <si>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</si>
  <si>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</si>
  <si>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</si>
  <si>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</si>
  <si>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</si>
  <si>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</si>
  <si>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</si>
  <si>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</si>
  <si>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</si>
  <si>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</si>
  <si>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</si>
  <si>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</si>
  <si>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</si>
  <si>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</si>
  <si>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</si>
  <si>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</si>
  <si>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</si>
  <si>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</si>
  <si>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</si>
  <si>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</si>
  <si>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</si>
  <si>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</si>
  <si>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</si>
  <si>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</si>
  <si>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</si>
  <si>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</si>
  <si>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</si>
  <si>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</si>
  <si>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</si>
  <si>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</si>
  <si>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</si>
  <si>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</si>
  <si>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</si>
  <si>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</si>
  <si>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</si>
  <si>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</si>
  <si>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</si>
  <si>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</si>
  <si>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</si>
  <si>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</si>
  <si>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</si>
  <si>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</si>
  <si>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</si>
  <si>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</si>
  <si>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</si>
  <si>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</si>
  <si>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</si>
  <si>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</si>
  <si>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</si>
  <si>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</si>
  <si>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</si>
  <si>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</si>
  <si>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</si>
  <si>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</si>
  <si>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</si>
  <si>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</si>
  <si>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</si>
  <si>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</si>
  <si>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</si>
  <si>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</si>
  <si>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</si>
  <si>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</si>
  <si>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</si>
  <si>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</si>
  <si>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</si>
  <si>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</si>
  <si>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</si>
  <si>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</si>
  <si>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</si>
  <si>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</si>
  <si>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</si>
  <si>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</si>
  <si>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</si>
  <si>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</si>
  <si>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</si>
  <si>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</si>
  <si>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</si>
  <si>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</si>
  <si>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</si>
  <si>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</si>
  <si>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</si>
  <si>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</si>
  <si>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</si>
  <si>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</si>
  <si>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</si>
  <si>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</si>
  <si>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</si>
  <si>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</si>
  <si>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</si>
  <si>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</si>
  <si>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</si>
  <si>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</si>
  <si>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</si>
  <si>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</si>
  <si>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</si>
  <si>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</si>
  <si>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</si>
  <si>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</si>
  <si>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</si>
  <si>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</si>
  <si>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</si>
  <si>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</si>
  <si>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</si>
  <si>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</si>
  <si>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</si>
  <si>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</si>
  <si>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</si>
  <si>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</si>
  <si>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</si>
  <si>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</si>
  <si>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</si>
  <si>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</si>
  <si>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</si>
  <si>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</si>
  <si>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</si>
  <si>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</si>
  <si>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</si>
  <si>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</si>
  <si>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</si>
  <si>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</si>
  <si>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</si>
  <si>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</si>
  <si>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</si>
  <si>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</si>
  <si>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</si>
  <si>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</si>
  <si>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</si>
  <si>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</si>
  <si>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</si>
  <si>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</si>
  <si>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</si>
  <si>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</si>
  <si>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</si>
  <si>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</si>
  <si>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</si>
  <si>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</si>
  <si>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</si>
  <si>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</si>
  <si>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</si>
  <si>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</si>
  <si>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</si>
  <si>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</si>
  <si>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</si>
  <si>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</si>
  <si>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</si>
  <si>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</si>
  <si>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</si>
  <si>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</si>
  <si>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</si>
  <si>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</si>
  <si>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</si>
  <si>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</si>
  <si>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</si>
  <si>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</si>
  <si>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</si>
  <si>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</si>
  <si>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</si>
  <si>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</si>
  <si>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</si>
  <si>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</si>
  <si>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</si>
  <si>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</si>
  <si>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</si>
  <si>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</si>
  <si>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</si>
  <si>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</si>
  <si>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</si>
  <si>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</si>
  <si>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</si>
  <si>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</si>
  <si>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</si>
  <si>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</si>
  <si>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</si>
  <si>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</si>
  <si>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</si>
  <si>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</si>
  <si>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</si>
  <si>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</si>
  <si>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</si>
  <si>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</si>
  <si>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</si>
  <si>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</si>
  <si>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</si>
  <si>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</si>
  <si>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</si>
  <si>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</si>
  <si>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</si>
  <si>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</si>
  <si>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</si>
  <si>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</si>
  <si>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</si>
  <si>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</si>
  <si>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</si>
  <si>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</si>
  <si>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</si>
  <si>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</si>
  <si>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</si>
  <si>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</si>
  <si>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</si>
  <si>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</si>
  <si>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</si>
  <si>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</si>
  <si>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</si>
  <si>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</si>
  <si>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</si>
  <si>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</si>
  <si>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</si>
  <si>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</si>
  <si>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</si>
  <si>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</si>
  <si>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</si>
  <si>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</si>
  <si>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</si>
  <si>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</si>
  <si>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</si>
  <si>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</si>
  <si>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</si>
  <si>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</si>
  <si>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</si>
  <si>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</si>
  <si>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</si>
  <si>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</si>
  <si>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</si>
  <si>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</si>
  <si>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</si>
  <si>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</si>
  <si>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</si>
  <si>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</si>
  <si>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</si>
  <si>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</si>
  <si>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</si>
  <si>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</si>
  <si>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</si>
  <si>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</si>
  <si>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</si>
  <si>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</si>
  <si>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</si>
  <si>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</si>
  <si>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</si>
  <si>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</si>
  <si>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</si>
  <si>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</si>
  <si>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</si>
  <si>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</si>
  <si>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</si>
  <si>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</si>
  <si>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</si>
  <si>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</si>
  <si>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</si>
  <si>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</si>
  <si>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</si>
  <si>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</si>
  <si>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</si>
  <si>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</si>
  <si>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</si>
  <si>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</si>
  <si>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</si>
  <si>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</si>
  <si>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</si>
  <si>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</si>
  <si>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</si>
  <si>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</si>
  <si>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</si>
  <si>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</si>
  <si>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</si>
  <si>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</si>
  <si>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</si>
  <si>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</si>
  <si>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</si>
  <si>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</si>
  <si>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</si>
  <si>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</si>
  <si>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</si>
  <si>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</si>
  <si>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</si>
  <si>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</si>
  <si>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</si>
  <si>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</si>
  <si>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</si>
  <si>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</si>
  <si>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</si>
  <si>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</si>
  <si>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</si>
  <si>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</si>
  <si>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</si>
  <si>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</si>
  <si>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</si>
  <si>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</si>
  <si>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</si>
  <si>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</si>
  <si>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</si>
  <si>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</si>
  <si>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</si>
  <si>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</si>
  <si>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</si>
  <si>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</si>
  <si>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</si>
  <si>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</si>
  <si>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</si>
  <si>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</si>
  <si>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</si>
  <si>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</si>
  <si>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</si>
  <si>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</si>
  <si>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</si>
  <si>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</si>
  <si>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</si>
  <si>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</si>
  <si>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</si>
  <si>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</si>
  <si>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</si>
  <si>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</si>
  <si>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</si>
  <si>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</si>
  <si>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</si>
  <si>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</si>
  <si>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</si>
  <si>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</si>
  <si>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</si>
  <si>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</si>
  <si>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</si>
  <si>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</si>
  <si>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</si>
  <si>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</si>
  <si>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</si>
  <si>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</si>
  <si>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</si>
  <si>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</si>
  <si>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</si>
  <si>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</si>
  <si>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</si>
  <si>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</si>
  <si>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</si>
  <si>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</si>
  <si>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</si>
  <si>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</si>
  <si>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</si>
  <si>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</si>
  <si>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</si>
  <si>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</si>
  <si>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</si>
  <si>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</si>
  <si>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</si>
  <si>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</si>
  <si>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</si>
  <si>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</si>
  <si>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</si>
  <si>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</si>
  <si>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</si>
  <si>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</si>
  <si>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</si>
  <si>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</si>
  <si>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</si>
  <si>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</si>
  <si>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</si>
  <si>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</si>
  <si>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</si>
  <si>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</si>
  <si>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</si>
  <si>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</si>
  <si>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</si>
  <si>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</si>
  <si>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</si>
  <si>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</si>
  <si>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</si>
  <si>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</si>
  <si>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</si>
  <si>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</si>
  <si>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</si>
  <si>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</si>
  <si>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</si>
  <si>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</si>
  <si>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</si>
  <si>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</si>
  <si>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</si>
  <si>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</si>
  <si>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</si>
  <si>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</si>
  <si>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</si>
  <si>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</si>
  <si>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</si>
  <si>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</si>
  <si>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</si>
  <si>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</si>
  <si>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</si>
  <si>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</si>
  <si>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</si>
  <si>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</si>
  <si>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</si>
  <si>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</si>
  <si>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</si>
  <si>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</si>
  <si>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</si>
  <si>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</si>
  <si>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</si>
  <si>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</si>
  <si>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</si>
  <si>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</si>
  <si>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</si>
  <si>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</si>
  <si>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</si>
  <si>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</si>
  <si>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</si>
  <si>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</si>
  <si>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</si>
  <si>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</si>
  <si>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</si>
  <si>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</si>
  <si>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</si>
  <si>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</si>
  <si>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</si>
  <si>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</si>
  <si>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</si>
  <si>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</si>
  <si>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</si>
  <si>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</si>
  <si>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</si>
  <si>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</si>
  <si>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</si>
  <si>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</si>
  <si>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</si>
  <si>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</si>
  <si>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</si>
  <si>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</si>
  <si>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</si>
  <si>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</si>
  <si>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</si>
  <si>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</si>
  <si>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</si>
  <si>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</si>
  <si>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</si>
  <si>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</si>
  <si>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</si>
  <si>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</si>
  <si>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</si>
  <si>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</si>
  <si>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</si>
  <si>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</si>
  <si>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</si>
  <si>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</si>
  <si>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</si>
  <si>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</si>
  <si>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</si>
  <si>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</si>
  <si>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</si>
  <si>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</si>
  <si>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</si>
  <si>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</si>
  <si>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</si>
  <si>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</si>
  <si>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</si>
  <si>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</si>
  <si>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</si>
  <si>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</si>
  <si>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</si>
  <si>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</si>
  <si>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</si>
  <si>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</si>
  <si>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</si>
  <si>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</si>
  <si>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</si>
  <si>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</si>
  <si>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</si>
  <si>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</si>
  <si>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</si>
  <si>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</si>
  <si>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</si>
  <si>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</si>
  <si>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</si>
  <si>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</si>
  <si>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</si>
  <si>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</si>
  <si>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</si>
  <si>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</si>
  <si>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</si>
  <si>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</si>
  <si>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</si>
  <si>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</si>
  <si>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</si>
  <si>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</si>
  <si>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</si>
  <si>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</si>
  <si>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</si>
  <si>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</si>
  <si>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</si>
  <si>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</si>
  <si>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</si>
  <si>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</si>
  <si>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</si>
  <si>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</si>
  <si>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</si>
  <si>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</si>
  <si>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</si>
  <si>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</si>
  <si>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</si>
  <si>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</si>
  <si>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</si>
  <si>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</si>
  <si>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</si>
  <si>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</si>
  <si>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</si>
  <si>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</si>
  <si>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</si>
  <si>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</si>
  <si>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</si>
  <si>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</si>
  <si>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</si>
  <si>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</si>
  <si>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</si>
  <si>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</si>
  <si>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</si>
  <si>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</si>
  <si>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</si>
  <si>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</si>
  <si>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</si>
  <si>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</si>
  <si>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</si>
  <si>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</si>
  <si>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</si>
  <si>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</si>
  <si>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</si>
  <si>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</si>
  <si>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</si>
  <si>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</si>
  <si>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</si>
  <si>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</si>
  <si>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</si>
  <si>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</si>
  <si>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</si>
  <si>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</si>
  <si>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</si>
  <si>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</si>
  <si>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</si>
  <si>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</si>
  <si>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</si>
  <si>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</si>
  <si>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</si>
  <si>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</si>
  <si>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</si>
  <si>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</si>
  <si>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</si>
  <si>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</si>
  <si>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</si>
  <si>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</si>
  <si>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</si>
  <si>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</si>
  <si>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</si>
  <si>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</si>
  <si>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</si>
  <si>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</si>
  <si>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</si>
  <si>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</si>
  <si>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</si>
  <si>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</si>
  <si>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</si>
  <si>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</si>
  <si>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</si>
  <si>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</si>
  <si>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</si>
  <si>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</si>
  <si>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</si>
  <si>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</si>
  <si>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</si>
  <si>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</si>
  <si>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</si>
  <si>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</si>
  <si>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</si>
  <si>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</si>
  <si>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</si>
  <si>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</si>
  <si>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</si>
  <si>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</si>
  <si>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</si>
  <si>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</si>
  <si>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</si>
  <si>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</si>
  <si>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</si>
  <si>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</si>
  <si>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</si>
  <si>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</si>
  <si>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</si>
  <si>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</si>
  <si>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</si>
  <si>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</si>
  <si>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</si>
  <si>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</si>
  <si>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</si>
  <si>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</si>
  <si>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</si>
  <si>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</si>
  <si>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</si>
  <si>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</si>
  <si>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</si>
  <si>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</si>
  <si>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</si>
  <si>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</si>
  <si>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</si>
  <si>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</si>
  <si>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</si>
  <si>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</si>
  <si>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</si>
  <si>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</si>
  <si>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</si>
  <si>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</si>
  <si>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</si>
  <si>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</si>
  <si>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</si>
  <si>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</si>
  <si>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</si>
  <si>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</si>
  <si>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</si>
  <si>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</si>
  <si>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</si>
  <si>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</si>
  <si>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</si>
  <si>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</si>
  <si>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</si>
  <si>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</si>
  <si>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</si>
  <si>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</si>
  <si>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</si>
  <si>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</si>
  <si>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</si>
  <si>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</si>
  <si>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</si>
  <si>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</si>
  <si>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</si>
  <si>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</si>
  <si>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</si>
  <si>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</si>
  <si>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</si>
  <si>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</si>
  <si>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</si>
  <si>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</si>
  <si>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</si>
  <si>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</si>
  <si>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</si>
  <si>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</si>
  <si>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</si>
  <si>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</si>
  <si>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</si>
  <si>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</si>
  <si>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</si>
  <si>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</si>
  <si>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</si>
  <si>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</si>
  <si>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</si>
  <si>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</si>
  <si>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</si>
  <si>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</si>
  <si>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</si>
  <si>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</si>
  <si>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</si>
  <si>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</si>
  <si>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</si>
  <si>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</si>
  <si>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</si>
  <si>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</si>
  <si>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</si>
  <si>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</si>
  <si>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</si>
  <si>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</si>
  <si>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</si>
  <si>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</si>
  <si>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</si>
  <si>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</si>
  <si>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</si>
  <si>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</si>
  <si>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</si>
  <si>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</si>
  <si>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</si>
  <si>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</si>
  <si>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</si>
  <si>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</si>
  <si>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</si>
  <si>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</si>
  <si>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</si>
  <si>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</si>
  <si>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</si>
  <si>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</si>
  <si>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</si>
  <si>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</si>
  <si>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</si>
  <si>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</si>
  <si>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</si>
  <si>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</si>
  <si>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</si>
  <si>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</si>
  <si>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</si>
  <si>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</si>
  <si>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</si>
  <si>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</si>
  <si>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</si>
  <si>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</si>
  <si>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</si>
  <si>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</si>
  <si>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</si>
  <si>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</si>
  <si>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</si>
  <si>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</si>
  <si>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</si>
  <si>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</si>
  <si>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</si>
  <si>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</si>
  <si>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</si>
  <si>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</si>
  <si>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</si>
  <si>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</si>
  <si>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</si>
  <si>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</si>
  <si>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</si>
  <si>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</si>
  <si>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</si>
  <si>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</si>
  <si>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</si>
  <si>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</si>
  <si>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</si>
  <si>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</si>
  <si>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</si>
  <si>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</si>
  <si>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</si>
  <si>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</si>
  <si>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</si>
  <si>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</si>
  <si>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</si>
  <si>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</si>
  <si>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</si>
  <si>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</si>
  <si>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</si>
  <si>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</si>
  <si>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</si>
  <si>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</si>
  <si>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</si>
  <si>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</si>
  <si>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</si>
  <si>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</si>
  <si>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</si>
  <si>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</si>
  <si>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</si>
  <si>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</si>
  <si>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</si>
  <si>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</si>
  <si>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</si>
  <si>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</si>
  <si>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</si>
  <si>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</si>
  <si>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</si>
  <si>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</si>
  <si>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</si>
  <si>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</si>
  <si>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</si>
  <si>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</si>
  <si>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</si>
  <si>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</si>
  <si>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</si>
  <si>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</si>
  <si>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</si>
  <si>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</si>
  <si>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</si>
  <si>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</si>
  <si>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</si>
  <si>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</si>
  <si>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</si>
  <si>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</si>
  <si>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</si>
  <si>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</si>
  <si>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</si>
  <si>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</si>
  <si>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</si>
  <si>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</si>
  <si>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</si>
  <si>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</si>
  <si>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</si>
  <si>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</si>
  <si>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</si>
  <si>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</si>
  <si>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</si>
  <si>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</si>
  <si>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</si>
  <si>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</si>
  <si>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</si>
  <si>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</si>
  <si>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</si>
  <si>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</si>
  <si>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</si>
  <si>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</si>
  <si>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</si>
  <si>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</si>
  <si>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</si>
  <si>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</si>
  <si>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</si>
  <si>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</si>
  <si>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</si>
  <si>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</si>
  <si>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</si>
  <si>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</si>
  <si>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</si>
  <si>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</si>
  <si>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</si>
  <si>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</si>
  <si>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</si>
  <si>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</si>
  <si>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</si>
  <si>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</si>
  <si>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</si>
  <si>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</si>
  <si>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</si>
  <si>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</si>
  <si>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</si>
  <si>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</si>
  <si>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</si>
  <si>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</si>
  <si>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</si>
  <si>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</si>
  <si>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</si>
  <si>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</si>
  <si>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</si>
  <si>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</si>
  <si>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</si>
  <si>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</si>
  <si>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</si>
  <si>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</si>
  <si>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</si>
  <si>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</si>
  <si>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</si>
  <si>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</si>
  <si>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</si>
  <si>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</si>
  <si>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</si>
  <si>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</si>
  <si>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</si>
  <si>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</si>
  <si>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</si>
  <si>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</si>
  <si>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</si>
  <si>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</si>
  <si>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</si>
  <si>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</si>
  <si>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</si>
  <si>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</si>
  <si>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</si>
  <si>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</si>
  <si>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</si>
  <si>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</si>
  <si>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</si>
  <si>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</si>
  <si>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</si>
  <si>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</si>
  <si>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</si>
  <si>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</si>
  <si>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</si>
  <si>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</si>
  <si>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</si>
  <si>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</si>
  <si>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</si>
  <si>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</si>
  <si>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</si>
  <si>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</si>
  <si>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</si>
  <si>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</si>
  <si>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</si>
  <si>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</si>
  <si>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</si>
  <si>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</si>
  <si>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</si>
  <si>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</si>
  <si>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</si>
  <si>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</si>
  <si>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</si>
  <si>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</si>
  <si>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</si>
  <si>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</si>
  <si>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</si>
  <si>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</si>
  <si>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</si>
  <si>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</si>
  <si>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</si>
  <si>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</si>
  <si>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</si>
  <si>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</si>
  <si>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</si>
  <si>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</si>
  <si>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</si>
  <si>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</si>
  <si>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</si>
  <si>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</si>
  <si>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</si>
  <si>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</si>
  <si>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</si>
  <si>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</si>
  <si>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</si>
  <si>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</si>
  <si>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</si>
  <si>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</si>
  <si>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</si>
  <si>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</si>
  <si>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</si>
  <si>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</si>
  <si>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</si>
  <si>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</si>
  <si>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</si>
  <si>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</si>
  <si>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</si>
  <si>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</si>
  <si>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</si>
  <si>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</si>
  <si>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</si>
  <si>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</si>
  <si>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</si>
  <si>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</si>
  <si>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</si>
  <si>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</si>
  <si>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</si>
  <si>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</si>
  <si>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</si>
  <si>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</si>
  <si>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</si>
  <si>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</si>
  <si>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</si>
  <si>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</si>
  <si>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</si>
  <si>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</si>
  <si>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</si>
  <si>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</si>
  <si>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</si>
  <si>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</si>
  <si>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</si>
  <si>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</si>
  <si>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</si>
  <si>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</si>
  <si>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</si>
  <si>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</si>
  <si>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</si>
  <si>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</si>
  <si>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</si>
  <si>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</si>
  <si>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</si>
  <si>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</si>
  <si>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</si>
  <si>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</si>
  <si>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</si>
  <si>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</si>
  <si>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</si>
  <si>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</si>
  <si>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</si>
  <si>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</si>
  <si>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</si>
  <si>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</si>
  <si>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</si>
  <si>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</si>
  <si>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</si>
  <si>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</si>
  <si>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</si>
  <si>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</si>
  <si>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</si>
  <si>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</si>
  <si>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</si>
  <si>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</si>
  <si>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</si>
  <si>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</si>
  <si>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</si>
  <si>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</si>
  <si>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</si>
  <si>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</si>
  <si>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</si>
  <si>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</si>
  <si>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</si>
  <si>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</si>
  <si>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</si>
  <si>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</si>
  <si>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</si>
  <si>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</si>
  <si>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</si>
  <si>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</si>
  <si>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</si>
  <si>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</si>
  <si>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</si>
  <si>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</si>
  <si>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</si>
  <si>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</si>
  <si>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</si>
  <si>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</si>
  <si>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</si>
  <si>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</si>
  <si>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</si>
  <si>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</si>
  <si>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</si>
  <si>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</si>
  <si>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</si>
  <si>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</si>
  <si>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</si>
  <si>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</si>
  <si>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</si>
  <si>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</si>
  <si>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</si>
  <si>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</si>
  <si>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</si>
  <si>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</si>
  <si>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</si>
  <si>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</si>
  <si>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</si>
  <si>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</si>
  <si>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</si>
  <si>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</si>
  <si>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</si>
  <si>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</si>
  <si>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</si>
  <si>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</si>
  <si>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</si>
  <si>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</si>
  <si>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</si>
  <si>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</si>
  <si>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</si>
  <si>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</si>
  <si>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</si>
  <si>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</si>
  <si>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</si>
  <si>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</si>
  <si>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</si>
  <si>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</si>
  <si>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</si>
  <si>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</si>
  <si>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</si>
  <si>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</si>
  <si>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</si>
  <si>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</si>
  <si>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</si>
  <si>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</si>
  <si>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</si>
  <si>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</si>
  <si>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</si>
  <si>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</si>
  <si>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</si>
  <si>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</si>
  <si>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</si>
  <si>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</si>
  <si>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</si>
  <si>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</si>
  <si>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</si>
  <si>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</si>
  <si>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</si>
  <si>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</si>
  <si>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</si>
  <si>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</si>
  <si>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</si>
  <si>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</si>
  <si>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</si>
  <si>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</si>
  <si>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</si>
  <si>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</si>
  <si>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</si>
  <si>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</si>
  <si>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</si>
  <si>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</si>
  <si>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</si>
  <si>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</si>
  <si>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</si>
  <si>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</si>
  <si>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</si>
  <si>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</si>
  <si>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</si>
  <si>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</si>
  <si>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</si>
  <si>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</si>
  <si>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</si>
  <si>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</si>
  <si>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</si>
  <si>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</si>
  <si>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</si>
  <si>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</si>
  <si>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</si>
  <si>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</si>
  <si>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</si>
  <si>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</si>
  <si>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</si>
  <si>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</si>
  <si>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</si>
  <si>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</si>
  <si>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</si>
  <si>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</si>
  <si>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</si>
  <si>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</si>
  <si>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</si>
  <si>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</si>
  <si>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</si>
  <si>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</si>
  <si>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</si>
  <si>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</si>
  <si>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</si>
  <si>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</si>
  <si>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</si>
  <si>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</si>
  <si>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</si>
  <si>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</si>
  <si>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</si>
  <si>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</si>
  <si>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</si>
  <si>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</si>
  <si>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</si>
  <si>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</si>
  <si>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</si>
  <si>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</si>
  <si>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</si>
  <si>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</si>
  <si>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</si>
  <si>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</si>
  <si>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</si>
  <si>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</si>
  <si>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</si>
  <si>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</si>
  <si>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</si>
  <si>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</si>
  <si>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</si>
  <si>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</si>
  <si>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</si>
  <si>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</si>
  <si>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</si>
  <si>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</si>
  <si>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</si>
  <si>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</si>
  <si>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</si>
  <si>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</si>
  <si>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</si>
  <si>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</si>
  <si>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</si>
  <si>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</si>
  <si>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</si>
  <si>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</si>
  <si>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</si>
  <si>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</si>
  <si>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</si>
  <si>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</si>
  <si>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</si>
  <si>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</si>
  <si>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</si>
  <si>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</si>
  <si>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</si>
  <si>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</si>
  <si>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</si>
  <si>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</si>
  <si>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</si>
  <si>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</si>
  <si>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</si>
  <si>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</si>
  <si>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</si>
  <si>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</si>
  <si>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</si>
  <si>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</si>
  <si>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</si>
  <si>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</si>
  <si>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</si>
  <si>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</si>
  <si>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</si>
  <si>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</si>
  <si>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</si>
  <si>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</si>
  <si>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</si>
  <si>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</si>
  <si>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</si>
  <si>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</si>
  <si>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</si>
  <si>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</si>
  <si>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</si>
  <si>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</si>
  <si>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</si>
  <si>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</si>
  <si>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</si>
  <si>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</si>
  <si>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</si>
  <si>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</si>
  <si>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</si>
  <si>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</si>
  <si>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</si>
  <si>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</si>
  <si>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</si>
  <si>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</si>
  <si>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</si>
  <si>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</si>
  <si>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</si>
  <si>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</si>
  <si>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</si>
  <si>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</si>
  <si>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</si>
  <si>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</si>
  <si>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</si>
  <si>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</si>
  <si>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</si>
  <si>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</si>
  <si>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</si>
  <si>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</si>
  <si>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</si>
  <si>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</si>
  <si>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</si>
  <si>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</si>
  <si>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</si>
  <si>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</si>
  <si>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</si>
  <si>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</si>
  <si>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</si>
  <si>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</si>
  <si>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</si>
  <si>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</si>
  <si>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</si>
  <si>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</si>
  <si>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</si>
  <si>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</si>
  <si>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</si>
  <si>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</si>
  <si>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</si>
  <si>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</si>
  <si>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</si>
  <si>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</si>
  <si>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</si>
  <si>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</si>
  <si>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</si>
  <si>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</si>
  <si>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</si>
  <si>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</si>
  <si>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</si>
  <si>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</si>
  <si>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</si>
  <si>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</si>
  <si>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</si>
  <si>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</si>
  <si>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</si>
  <si>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</si>
  <si>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</si>
  <si>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</si>
  <si>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</si>
  <si>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</si>
  <si>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</si>
  <si>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</si>
  <si>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</si>
  <si>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</si>
  <si>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</si>
  <si>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</si>
  <si>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</si>
  <si>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</si>
  <si>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</si>
  <si>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</si>
  <si>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</si>
  <si>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</si>
  <si>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</si>
  <si>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</si>
  <si>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</si>
  <si>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</si>
  <si>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</si>
  <si>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</si>
  <si>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</si>
  <si>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</si>
  <si>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</si>
  <si>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</si>
  <si>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</si>
  <si>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</si>
  <si>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</si>
  <si>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</si>
  <si>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</si>
  <si>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</si>
  <si>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</si>
  <si>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</si>
  <si>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</si>
  <si>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</si>
  <si>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</si>
  <si>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</si>
  <si>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</si>
  <si>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</si>
  <si>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</si>
  <si>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</si>
  <si>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</si>
  <si>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</si>
  <si>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</si>
  <si>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</si>
  <si>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</si>
  <si>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</si>
  <si>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</si>
  <si>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</si>
  <si>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</si>
  <si>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</si>
  <si>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</si>
  <si>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</si>
  <si>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</si>
  <si>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</si>
  <si>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</si>
  <si>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</si>
  <si>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</si>
  <si>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</si>
  <si>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</si>
  <si>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</si>
  <si>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</si>
  <si>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</si>
  <si>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</si>
  <si>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</si>
  <si>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</si>
  <si>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</si>
  <si>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</si>
  <si>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</si>
  <si>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</si>
  <si>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</si>
  <si>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</si>
  <si>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</si>
  <si>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</si>
  <si>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</si>
  <si>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</si>
  <si>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</si>
  <si>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</si>
  <si>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</si>
  <si>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</si>
  <si>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</si>
  <si>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</si>
  <si>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</si>
  <si>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</si>
  <si>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</si>
  <si>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</si>
  <si>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</si>
  <si>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</si>
  <si>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</si>
  <si>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</si>
  <si>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</si>
  <si>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</si>
  <si>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</si>
  <si>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</si>
  <si>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</si>
  <si>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</si>
  <si>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</si>
  <si>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</si>
  <si>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</si>
  <si>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</si>
  <si>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</si>
  <si>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</si>
  <si>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</si>
  <si>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</si>
  <si>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</si>
  <si>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</si>
  <si>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</si>
  <si>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</si>
  <si>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</si>
  <si>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</si>
  <si>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</si>
  <si>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</si>
  <si>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</si>
  <si>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</si>
  <si>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</si>
  <si>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</si>
  <si>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</si>
  <si>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</si>
  <si>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</si>
  <si>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</si>
  <si>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</si>
  <si>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</si>
  <si>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</si>
  <si>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</si>
  <si>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</si>
  <si>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</si>
  <si>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</si>
  <si>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</si>
  <si>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</si>
  <si>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</si>
  <si>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</si>
  <si>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</si>
  <si>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</si>
  <si>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</si>
  <si>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</si>
  <si>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</si>
  <si>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</si>
  <si>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</si>
  <si>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</si>
  <si>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</si>
  <si>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</si>
  <si>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</si>
  <si>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</si>
  <si>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</si>
  <si>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</si>
  <si>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</si>
  <si>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</si>
  <si>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</si>
  <si>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</si>
  <si>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</si>
  <si>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</si>
  <si>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</si>
  <si>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</si>
  <si>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</si>
  <si>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</si>
  <si>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</si>
  <si>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</si>
  <si>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</si>
  <si>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</si>
  <si>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</si>
  <si>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</si>
  <si>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</si>
  <si>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</si>
  <si>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</si>
  <si>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</si>
  <si>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</si>
  <si>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</si>
  <si>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</si>
  <si>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</si>
  <si>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</si>
  <si>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</si>
  <si>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</si>
  <si>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</si>
  <si>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</si>
  <si>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</si>
  <si>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</si>
  <si>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</si>
  <si>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</si>
  <si>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</si>
  <si>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</si>
  <si>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</si>
  <si>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</si>
  <si>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</si>
  <si>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</si>
  <si>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</si>
  <si>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</si>
  <si>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</si>
  <si>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</si>
  <si>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</si>
  <si>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</si>
  <si>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</si>
  <si>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</si>
  <si>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</si>
  <si>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</si>
  <si>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</si>
  <si>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</si>
  <si>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</si>
  <si>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</si>
  <si>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</si>
  <si>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</si>
  <si>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</si>
  <si>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</si>
  <si>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</si>
  <si>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</si>
  <si>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</si>
  <si>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</si>
  <si>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</si>
  <si>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</si>
  <si>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</si>
  <si>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</si>
  <si>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</si>
  <si>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</si>
  <si>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</si>
  <si>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</si>
  <si>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</si>
  <si>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</si>
  <si>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</si>
  <si>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</si>
  <si>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</si>
  <si>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</si>
  <si>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</si>
  <si>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</si>
  <si>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</si>
  <si>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</si>
  <si>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</si>
  <si>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</si>
  <si>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</si>
  <si>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</si>
  <si>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</si>
  <si>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</si>
  <si>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</si>
  <si>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</si>
  <si>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</si>
  <si>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</si>
  <si>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</si>
  <si>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</si>
  <si>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</si>
  <si>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</si>
  <si>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</si>
  <si>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</si>
  <si>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</si>
  <si>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</si>
  <si>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</si>
  <si>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</si>
  <si>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</si>
  <si>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</si>
  <si>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</si>
  <si>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</si>
  <si>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</si>
  <si>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</si>
  <si>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</si>
  <si>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</si>
  <si>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</si>
  <si>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</si>
  <si>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</si>
  <si>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</si>
  <si>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</si>
  <si>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</si>
  <si>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</si>
  <si>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</si>
  <si>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</si>
  <si>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</si>
  <si>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</si>
  <si>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</si>
  <si>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</si>
  <si>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</si>
  <si>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</si>
  <si>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</si>
  <si>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</si>
  <si>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</si>
  <si>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</si>
  <si>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</si>
  <si>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</si>
  <si>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</si>
  <si>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</si>
  <si>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</si>
  <si>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</si>
  <si>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</si>
  <si>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</si>
  <si>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</si>
  <si>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</si>
  <si>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</si>
  <si>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</si>
  <si>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</si>
  <si>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</si>
  <si>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</si>
  <si>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</si>
  <si>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</si>
  <si>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</si>
  <si>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</si>
  <si>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</si>
  <si>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</si>
  <si>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</si>
  <si>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</si>
  <si>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</si>
  <si>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</si>
  <si>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</si>
  <si>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</si>
  <si>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</si>
  <si>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</si>
  <si>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</si>
  <si>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</si>
  <si>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</si>
  <si>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</si>
  <si>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</si>
  <si>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</si>
  <si>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</si>
  <si>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</si>
  <si>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</si>
  <si>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</si>
  <si>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</si>
  <si>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</si>
  <si>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</si>
  <si>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</si>
  <si>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</si>
  <si>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</si>
  <si>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</si>
  <si>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</si>
  <si>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</si>
  <si>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</si>
  <si>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</si>
  <si>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</si>
  <si>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</si>
  <si>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</si>
  <si>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</si>
  <si>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</si>
  <si>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</si>
  <si>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</si>
  <si>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</si>
  <si>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</si>
  <si>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</si>
  <si>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</si>
  <si>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</si>
  <si>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</si>
  <si>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</si>
  <si>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</si>
  <si>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</si>
  <si>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</si>
  <si>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</si>
  <si>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</si>
  <si>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</si>
  <si>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</si>
  <si>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</si>
  <si>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</si>
  <si>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</si>
  <si>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</si>
  <si>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</si>
  <si>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</si>
  <si>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</si>
  <si>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</si>
  <si>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</si>
  <si>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</si>
  <si>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</si>
  <si>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</si>
  <si>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</si>
  <si>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</si>
  <si>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</si>
  <si>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</si>
  <si>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</si>
  <si>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</si>
  <si>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</si>
  <si>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</si>
  <si>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</si>
  <si>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</si>
  <si>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</si>
  <si>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</si>
  <si>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</si>
  <si>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</si>
  <si>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</si>
  <si>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</si>
  <si>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</si>
  <si>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</si>
  <si>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</si>
  <si>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</si>
  <si>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</si>
  <si>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</si>
  <si>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</si>
  <si>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</si>
  <si>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</si>
  <si>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</si>
  <si>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</si>
  <si>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</si>
  <si>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</si>
  <si>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</si>
  <si>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</si>
  <si>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</si>
  <si>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</si>
  <si>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</si>
  <si>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</si>
  <si>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</si>
  <si>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</si>
  <si>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</si>
  <si>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</si>
  <si>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</si>
  <si>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</si>
  <si>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</si>
  <si>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</si>
  <si>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</si>
  <si>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</si>
  <si>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</si>
  <si>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</si>
  <si>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</si>
  <si>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</si>
  <si>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</si>
  <si>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</si>
  <si>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</si>
  <si>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</si>
  <si>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</si>
  <si>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</si>
  <si>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</si>
  <si>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</si>
  <si>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</si>
  <si>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</si>
  <si>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</si>
  <si>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</si>
  <si>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</si>
  <si>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</si>
  <si>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</si>
  <si>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</si>
  <si>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</si>
  <si>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</si>
  <si>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</si>
  <si>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</si>
  <si>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</si>
  <si>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</si>
  <si>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</si>
  <si>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</si>
  <si>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</si>
  <si>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</si>
  <si>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</si>
  <si>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</si>
  <si>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</si>
  <si>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</si>
  <si>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</si>
  <si>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</si>
  <si>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</si>
  <si>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</si>
  <si>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</si>
  <si>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</si>
  <si>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</si>
  <si>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</si>
  <si>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</si>
  <si>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</si>
  <si>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</si>
  <si>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</si>
  <si>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</si>
  <si>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</si>
  <si>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</si>
  <si>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</si>
  <si>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</si>
  <si>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</si>
  <si>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</si>
  <si>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</si>
  <si>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</si>
  <si>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</si>
  <si>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</si>
  <si>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</si>
  <si>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</si>
  <si>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</si>
  <si>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</si>
  <si>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</si>
  <si>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</si>
  <si>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</si>
  <si>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</si>
  <si>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</si>
  <si>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</si>
  <si>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</si>
  <si>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</si>
  <si>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</si>
  <si>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</si>
  <si>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</si>
  <si>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</si>
  <si>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</si>
  <si>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</si>
  <si>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</si>
  <si>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</si>
  <si>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</si>
  <si>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</si>
  <si>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</si>
  <si>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</si>
  <si>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</si>
  <si>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</si>
  <si>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</si>
  <si>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</si>
  <si>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</si>
  <si>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</si>
  <si>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</si>
  <si>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</si>
  <si>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</si>
  <si>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</si>
  <si>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</si>
  <si>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</si>
  <si>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</si>
  <si>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</si>
  <si>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</si>
  <si>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</si>
  <si>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</si>
  <si>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</si>
  <si>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</si>
  <si>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</si>
  <si>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</si>
  <si>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</si>
  <si>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</si>
  <si>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</si>
  <si>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</si>
  <si>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</si>
  <si>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</si>
  <si>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</si>
  <si>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</si>
  <si>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</si>
  <si>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</si>
  <si>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</si>
  <si>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</si>
  <si>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</si>
  <si>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</si>
  <si>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</si>
  <si>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</si>
  <si>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</si>
  <si>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</si>
  <si>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</si>
  <si>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</si>
  <si>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</si>
  <si>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</si>
  <si>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</si>
  <si>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</si>
  <si>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</si>
  <si>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</si>
  <si>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</si>
  <si>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</si>
  <si>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</si>
  <si>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</si>
  <si>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</si>
  <si>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</si>
  <si>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</si>
  <si>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</si>
  <si>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</si>
  <si>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</si>
  <si>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</si>
  <si>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</si>
  <si>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</si>
  <si>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</si>
  <si>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</si>
  <si>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</si>
  <si>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</si>
  <si>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</si>
  <si>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</si>
  <si>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</si>
  <si>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</si>
  <si>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</si>
  <si>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</si>
  <si>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</si>
  <si>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</si>
  <si>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</si>
  <si>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</si>
  <si>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</si>
  <si>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</si>
  <si>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</si>
  <si>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</si>
  <si>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</si>
  <si>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</si>
  <si>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</si>
  <si>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</si>
  <si>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</si>
  <si>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</si>
  <si>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</si>
  <si>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</si>
  <si>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</si>
  <si>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</si>
  <si>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</si>
  <si>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</si>
  <si>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</si>
  <si>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</si>
  <si>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</si>
  <si>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</si>
  <si>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</si>
  <si>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</si>
  <si>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</si>
  <si>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</si>
  <si>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</si>
  <si>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</si>
  <si>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</si>
  <si>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</si>
  <si>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</si>
  <si>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</si>
  <si>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</si>
  <si>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</si>
  <si>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</si>
  <si>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</si>
  <si>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</si>
  <si>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</si>
  <si>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</si>
  <si>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</si>
  <si>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</si>
  <si>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</si>
  <si>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</si>
  <si>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</si>
  <si>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</si>
  <si>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</si>
  <si>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</si>
  <si>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</si>
  <si>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</si>
  <si>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</si>
  <si>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</si>
  <si>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</si>
  <si>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</si>
  <si>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</si>
  <si>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</si>
  <si>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</si>
  <si>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</si>
  <si>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</si>
  <si>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</si>
  <si>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</si>
  <si>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</si>
  <si>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</si>
  <si>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</si>
  <si>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</si>
  <si>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</si>
  <si>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</si>
  <si>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</si>
  <si>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</si>
  <si>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</si>
  <si>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</si>
  <si>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</si>
  <si>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</si>
  <si>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</si>
  <si>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</si>
  <si>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</si>
  <si>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</si>
  <si>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</si>
  <si>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</si>
  <si>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</si>
  <si>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</si>
  <si>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</si>
  <si>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</si>
  <si>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</si>
  <si>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</si>
  <si>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</si>
  <si>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</si>
  <si>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</si>
  <si>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</si>
  <si>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</si>
  <si>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</si>
  <si>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</si>
  <si>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</si>
  <si>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</si>
  <si>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</si>
  <si>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</si>
  <si>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</si>
  <si>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</si>
  <si>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</si>
  <si>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</si>
  <si>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</si>
  <si>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</si>
  <si>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</si>
  <si>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</si>
  <si>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</si>
  <si>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</si>
  <si>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</si>
  <si>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</si>
  <si>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</si>
  <si>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</si>
  <si>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</si>
  <si>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</si>
  <si>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</si>
  <si>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</si>
  <si>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</si>
  <si>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</si>
  <si>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</si>
  <si>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</si>
  <si>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</si>
  <si>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</si>
  <si>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</si>
  <si>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</si>
  <si>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</si>
  <si>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</si>
  <si>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</si>
  <si>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</si>
  <si>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</si>
  <si>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</si>
  <si>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</si>
  <si>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</si>
  <si>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</si>
  <si>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</si>
  <si>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</si>
  <si>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</si>
  <si>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</si>
  <si>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</si>
  <si>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</si>
  <si>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</si>
  <si>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</si>
  <si>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</si>
  <si>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</si>
  <si>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</si>
  <si>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</si>
  <si>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</si>
  <si>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</si>
  <si>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</si>
  <si>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</si>
  <si>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</si>
  <si>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</si>
  <si>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</si>
  <si>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</si>
  <si>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</si>
  <si>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</si>
  <si>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</si>
  <si>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</si>
  <si>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</si>
  <si>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</si>
  <si>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</si>
  <si>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</si>
  <si>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</si>
  <si>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</si>
  <si>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</si>
  <si>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</si>
  <si>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</si>
  <si>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</si>
  <si>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</si>
  <si>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</si>
  <si>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</si>
  <si>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</si>
  <si>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</si>
  <si>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</si>
  <si>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</si>
  <si>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</si>
  <si>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</si>
  <si>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</si>
  <si>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</si>
  <si>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</si>
  <si>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</si>
  <si>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</si>
  <si>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</si>
  <si>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</si>
  <si>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</si>
  <si>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</si>
  <si>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</si>
  <si>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</si>
  <si>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</si>
  <si>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</si>
  <si>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</si>
  <si>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</si>
  <si>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</si>
  <si>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</si>
  <si>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</si>
  <si>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</si>
  <si>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</si>
  <si>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</si>
  <si>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</si>
  <si>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</si>
  <si>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</si>
  <si>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</si>
  <si>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</si>
  <si>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</si>
  <si>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</si>
  <si>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</si>
  <si>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</si>
  <si>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</si>
  <si>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</si>
  <si>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</si>
  <si>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</si>
  <si>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</si>
  <si>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</si>
  <si>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</si>
  <si>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</si>
  <si>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</si>
  <si>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</si>
  <si>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</si>
  <si>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</si>
  <si>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</si>
  <si>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</si>
  <si>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</si>
  <si>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</si>
  <si>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</si>
  <si>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</si>
  <si>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</si>
  <si>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</si>
  <si>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</si>
  <si>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</si>
  <si>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</si>
  <si>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</si>
  <si>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</si>
  <si>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</si>
  <si>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</si>
  <si>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</si>
  <si>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</si>
  <si>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</si>
  <si>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</si>
  <si>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</si>
  <si>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</si>
  <si>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</si>
  <si>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</si>
  <si>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</si>
  <si>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</si>
  <si>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</si>
  <si>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</si>
  <si>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</si>
  <si>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</si>
  <si>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</si>
  <si>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</si>
  <si>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</si>
  <si>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</si>
  <si>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</si>
  <si>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</si>
  <si>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</si>
  <si>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</si>
  <si>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</si>
  <si>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</si>
  <si>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</si>
  <si>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</si>
  <si>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</si>
  <si>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</si>
  <si>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</si>
  <si>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</si>
  <si>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</si>
  <si>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</si>
  <si>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</si>
  <si>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</si>
  <si>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</si>
  <si>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</si>
  <si>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</si>
  <si>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</si>
  <si>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</si>
  <si>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</si>
  <si>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</si>
  <si>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</si>
  <si>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</si>
  <si>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</si>
  <si>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</si>
  <si>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</si>
  <si>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</si>
  <si>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</si>
  <si>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</si>
  <si>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</si>
  <si>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</si>
  <si>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</si>
  <si>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</si>
  <si>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</si>
  <si>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</si>
  <si>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</si>
  <si>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</si>
  <si>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</si>
  <si>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</si>
  <si>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</si>
  <si>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</si>
  <si>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</si>
  <si>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</si>
  <si>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</si>
  <si>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</si>
  <si>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</si>
  <si>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</si>
  <si>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</si>
  <si>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</si>
  <si>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</si>
  <si>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</si>
  <si>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</si>
  <si>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</si>
  <si>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</si>
  <si>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</si>
  <si>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</si>
  <si>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</si>
  <si>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</si>
  <si>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</si>
  <si>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</si>
  <si>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</si>
  <si>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</si>
  <si>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</si>
  <si>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</si>
  <si>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</si>
  <si>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</si>
  <si>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</si>
  <si>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</si>
  <si>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</si>
  <si>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</si>
  <si>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</si>
  <si>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</si>
  <si>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</si>
  <si>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</si>
  <si>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</si>
  <si>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</si>
  <si>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</si>
  <si>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</si>
  <si>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</si>
  <si>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</si>
  <si>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</si>
  <si>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</si>
  <si>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</si>
  <si>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</si>
  <si>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</si>
  <si>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</si>
  <si>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</si>
  <si>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</si>
  <si>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</si>
  <si>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</si>
  <si>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</si>
  <si>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</si>
  <si>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</si>
  <si>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</si>
  <si>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</si>
  <si>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</si>
  <si>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</si>
  <si>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</si>
  <si>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</si>
  <si>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</si>
  <si>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</si>
  <si>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</si>
  <si>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</si>
  <si>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</si>
  <si>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</si>
  <si>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</si>
  <si>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</si>
  <si>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</si>
  <si>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</si>
  <si>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</si>
  <si>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</si>
  <si>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</si>
  <si>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</si>
  <si>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</si>
  <si>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</si>
  <si>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</si>
  <si>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</si>
  <si>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</si>
  <si>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</si>
  <si>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</si>
  <si>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</si>
  <si>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</si>
  <si>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</si>
  <si>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</si>
  <si>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</si>
  <si>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</si>
  <si>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</si>
  <si>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</si>
  <si>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</si>
  <si>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</si>
  <si>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</si>
  <si>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</si>
  <si>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</si>
  <si>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</si>
  <si>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</si>
  <si>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</si>
  <si>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</si>
  <si>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</si>
  <si>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</si>
  <si>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</si>
  <si>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</si>
  <si>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</si>
  <si>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</si>
  <si>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</si>
  <si>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</si>
  <si>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</si>
  <si>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</si>
  <si>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</si>
  <si>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</si>
  <si>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</si>
  <si>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</si>
  <si>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</si>
  <si>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</si>
  <si>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</si>
  <si>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</si>
  <si>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</si>
  <si>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</si>
  <si>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</si>
  <si>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</si>
  <si>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</si>
  <si>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</si>
  <si>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</si>
  <si>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</si>
  <si>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</si>
  <si>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</si>
  <si>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</si>
  <si>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</si>
  <si>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</si>
  <si>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</si>
  <si>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</si>
  <si>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</si>
  <si>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</si>
  <si>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</si>
  <si>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</si>
  <si>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</si>
  <si>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</si>
  <si>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</si>
  <si>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</si>
  <si>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</si>
  <si>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</si>
  <si>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</si>
  <si>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</si>
  <si>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</si>
  <si>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</si>
  <si>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</si>
  <si>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</si>
  <si>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</si>
  <si>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</si>
  <si>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</si>
  <si>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</si>
  <si>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</si>
  <si>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</si>
  <si>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</si>
  <si>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</si>
  <si>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</si>
  <si>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</si>
  <si>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</si>
  <si>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</si>
  <si>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</si>
  <si>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</si>
  <si>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</si>
  <si>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</si>
  <si>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</si>
  <si>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</si>
  <si>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</si>
  <si>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</si>
  <si>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</si>
  <si>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</si>
  <si>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</si>
  <si>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</si>
  <si>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</si>
  <si>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</si>
  <si>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</si>
  <si>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</si>
  <si>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</si>
  <si>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</si>
  <si>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</si>
  <si>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</si>
  <si>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</si>
  <si>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</si>
  <si>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</si>
  <si>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</si>
  <si>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</si>
  <si>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</si>
  <si>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</si>
  <si>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</si>
  <si>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</si>
  <si>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</si>
  <si>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</si>
  <si>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</si>
  <si>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</si>
  <si>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</si>
  <si>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</si>
  <si>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</si>
  <si>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</si>
  <si>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</si>
  <si>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</si>
  <si>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</si>
  <si>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</si>
  <si>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</si>
  <si>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</si>
  <si>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</si>
  <si>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</si>
  <si>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</si>
  <si>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</si>
  <si>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</si>
  <si>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</si>
  <si>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</si>
  <si>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</si>
  <si>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</si>
  <si>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</si>
  <si>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</si>
  <si>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</si>
  <si>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</si>
  <si>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</si>
  <si>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</si>
  <si>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</si>
  <si>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</si>
  <si>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</si>
  <si>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</si>
  <si>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</si>
  <si>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</si>
  <si>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</si>
  <si>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</si>
  <si>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</si>
  <si>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</si>
  <si>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</si>
  <si>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</si>
  <si>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</si>
  <si>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</si>
  <si>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</si>
  <si>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</si>
  <si>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</si>
  <si>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</si>
  <si>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</si>
  <si>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</si>
  <si>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</si>
  <si>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</si>
  <si>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</si>
  <si>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</si>
  <si>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</si>
  <si>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</si>
  <si>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</si>
  <si>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</si>
  <si>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</si>
  <si>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</si>
  <si>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</si>
  <si>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</si>
  <si>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</si>
  <si>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</si>
  <si>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</si>
  <si>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</si>
  <si>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</si>
  <si>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</si>
  <si>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</si>
  <si>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</si>
  <si>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</si>
  <si>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</si>
  <si>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</si>
  <si>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</si>
  <si>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</si>
  <si>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</si>
  <si>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</si>
  <si>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</si>
  <si>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</si>
  <si>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</si>
  <si>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</si>
  <si>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</si>
  <si>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</si>
  <si>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</si>
  <si>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</si>
  <si>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</si>
  <si>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</si>
  <si>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</si>
  <si>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</si>
  <si>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</si>
  <si>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</si>
  <si>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</si>
  <si>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</si>
  <si>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</si>
  <si>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</si>
  <si>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</si>
  <si>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</si>
  <si>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</si>
  <si>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</si>
  <si>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</si>
  <si>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</si>
  <si>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</si>
  <si>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</si>
  <si>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</si>
  <si>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</si>
  <si>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</si>
  <si>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</si>
  <si>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</si>
  <si>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</si>
  <si>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</si>
  <si>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</si>
  <si>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</si>
  <si>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</si>
  <si>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</si>
  <si>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</si>
  <si>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</si>
  <si>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</si>
  <si>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</si>
  <si>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</si>
  <si>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</si>
  <si>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</si>
  <si>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</si>
  <si>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</si>
  <si>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</si>
  <si>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</si>
  <si>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</si>
  <si>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</si>
  <si>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</si>
  <si>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</si>
  <si>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</si>
  <si>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</si>
  <si>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</si>
  <si>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</si>
  <si>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</si>
  <si>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</si>
  <si>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</si>
  <si>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</si>
  <si>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</si>
  <si>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</si>
  <si>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</si>
  <si>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</si>
  <si>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</si>
  <si>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</si>
  <si>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</si>
  <si>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</si>
  <si>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</si>
  <si>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</si>
  <si>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</si>
  <si>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</si>
  <si>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</si>
  <si>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</si>
  <si>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</si>
  <si>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</si>
  <si>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</si>
  <si>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</si>
  <si>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</si>
  <si>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</si>
  <si>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</si>
  <si>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</si>
  <si>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</si>
  <si>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</si>
  <si>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</si>
  <si>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</si>
  <si>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</si>
  <si>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</si>
  <si>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</si>
  <si>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</si>
  <si>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</si>
  <si>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</si>
  <si>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</si>
  <si>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</si>
  <si>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</si>
  <si>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</si>
  <si>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</si>
  <si>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</si>
  <si>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</si>
  <si>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</si>
  <si>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</si>
  <si>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</si>
  <si>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</si>
  <si>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</si>
  <si>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</si>
  <si>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</si>
  <si>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</si>
  <si>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</si>
  <si>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</si>
  <si>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</si>
  <si>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</si>
  <si>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</si>
  <si>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</si>
  <si>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</si>
  <si>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</si>
  <si>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</si>
  <si>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</si>
  <si>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</si>
  <si>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</si>
  <si>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</si>
  <si>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</si>
  <si>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</si>
  <si>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</si>
  <si>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</si>
  <si>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</si>
  <si>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</si>
  <si>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</si>
  <si>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</si>
  <si>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</si>
  <si>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</si>
  <si>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</si>
  <si>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</si>
  <si>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</si>
  <si>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</si>
  <si>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</si>
  <si>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</si>
  <si>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</si>
  <si>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</si>
  <si>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</si>
  <si>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</si>
  <si>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</si>
  <si>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</si>
  <si>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</si>
  <si>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</si>
  <si>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</si>
  <si>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</si>
  <si>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</si>
  <si>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</si>
  <si>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</si>
  <si>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</si>
  <si>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</si>
  <si>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</si>
  <si>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</si>
  <si>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</si>
  <si>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</si>
  <si>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</si>
  <si>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</si>
  <si>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</si>
  <si>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</si>
  <si>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</si>
  <si>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</si>
  <si>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</si>
  <si>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</si>
  <si>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</si>
  <si>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</si>
  <si>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</si>
  <si>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</si>
  <si>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</si>
  <si>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</si>
  <si>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</si>
  <si>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</si>
  <si>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</si>
  <si>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</si>
  <si>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</si>
  <si>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</si>
  <si>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</si>
  <si>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</si>
  <si>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</si>
  <si>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</si>
  <si>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</si>
  <si>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</si>
  <si>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</si>
  <si>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</si>
  <si>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</si>
  <si>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</si>
  <si>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</si>
  <si>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</si>
  <si>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</si>
  <si>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</si>
  <si>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</si>
  <si>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</si>
  <si>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</si>
  <si>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</si>
  <si>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</si>
  <si>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</si>
  <si>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</si>
  <si>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</si>
  <si>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</si>
  <si>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</si>
  <si>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</si>
  <si>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</si>
  <si>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</si>
  <si>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</si>
  <si>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</si>
  <si>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</si>
  <si>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</si>
  <si>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</si>
  <si>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</si>
  <si>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</si>
  <si>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</si>
  <si>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</si>
  <si>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</si>
  <si>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</si>
  <si>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</si>
  <si>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</si>
  <si>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</si>
  <si>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</si>
  <si>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</si>
  <si>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</si>
  <si>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</si>
  <si>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</si>
  <si>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</si>
  <si>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</si>
  <si>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</si>
  <si>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</si>
  <si>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</si>
  <si>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</si>
  <si>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</si>
  <si>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</si>
  <si>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</si>
  <si>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</si>
  <si>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</si>
  <si>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</si>
  <si>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</si>
  <si>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</si>
  <si>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</si>
  <si>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</si>
  <si>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</si>
  <si>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</si>
  <si>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</si>
  <si>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</si>
  <si>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</si>
  <si>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</si>
  <si>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</si>
  <si>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</si>
  <si>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</si>
  <si>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</si>
  <si>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</si>
  <si>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</si>
  <si>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</si>
  <si>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</si>
  <si>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</si>
  <si>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</si>
  <si>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</si>
  <si>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</si>
  <si>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</si>
  <si>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</si>
  <si>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</si>
  <si>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</si>
  <si>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</si>
  <si>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</si>
  <si>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</si>
  <si>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</si>
  <si>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</si>
  <si>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</si>
  <si>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</si>
  <si>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</si>
  <si>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</si>
  <si>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</si>
  <si>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</si>
  <si>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</si>
  <si>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</si>
  <si>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</si>
  <si>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</si>
  <si>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</si>
  <si>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</si>
  <si>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</si>
  <si>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</si>
  <si>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</si>
  <si>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</si>
  <si>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</si>
  <si>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</si>
  <si>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</si>
  <si>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</si>
  <si>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</si>
  <si>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</si>
  <si>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</si>
  <si>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</si>
  <si>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</si>
  <si>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</si>
  <si>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</si>
  <si>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</si>
  <si>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</si>
  <si>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</si>
  <si>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</si>
  <si>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</si>
  <si>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</si>
  <si>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</si>
  <si>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</si>
  <si>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</si>
  <si>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</si>
  <si>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</si>
  <si>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</si>
  <si>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</si>
  <si>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</si>
  <si>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</si>
  <si>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</si>
  <si>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</si>
  <si>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</si>
  <si>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</si>
  <si>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</si>
  <si>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</si>
  <si>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</si>
  <si>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</si>
  <si>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</si>
  <si>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</si>
  <si>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</si>
  <si>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</si>
  <si>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</si>
  <si>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</si>
  <si>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</si>
  <si>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</si>
  <si>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</si>
  <si>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</si>
  <si>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</si>
  <si>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</si>
  <si>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</si>
  <si>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</si>
  <si>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</si>
  <si>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</si>
  <si>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</si>
  <si>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</si>
  <si>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</si>
  <si>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</si>
  <si>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</si>
  <si>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</si>
  <si>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</si>
  <si>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</si>
  <si>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</si>
  <si>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</si>
  <si>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</si>
  <si>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</si>
  <si>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</si>
  <si>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</si>
  <si>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</si>
  <si>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</si>
  <si>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</si>
  <si>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</si>
  <si>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</si>
  <si>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</si>
  <si>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</si>
  <si>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</si>
  <si>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</si>
  <si>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</si>
  <si>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</si>
  <si>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</si>
  <si>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</si>
  <si>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</si>
  <si>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</si>
  <si>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</si>
  <si>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</si>
  <si>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</si>
  <si>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</si>
  <si>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</si>
  <si>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</si>
  <si>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</si>
  <si>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</si>
  <si>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</si>
  <si>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</si>
  <si>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</si>
  <si>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</si>
  <si>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</si>
  <si>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</si>
  <si>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</si>
  <si>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</si>
  <si>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</si>
  <si>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</si>
  <si>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</si>
  <si>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</si>
  <si>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</si>
  <si>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</si>
  <si>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</si>
  <si>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</si>
  <si>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</si>
  <si>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</si>
  <si>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</si>
  <si>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</si>
  <si>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</si>
  <si>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</si>
  <si>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</si>
  <si>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</si>
  <si>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</si>
  <si>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</si>
  <si>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</si>
  <si>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</si>
  <si>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</si>
  <si>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</si>
  <si>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</si>
  <si>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</si>
  <si>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</si>
  <si>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</si>
  <si>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</si>
  <si>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</si>
  <si>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</si>
  <si>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</si>
  <si>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</si>
  <si>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</si>
  <si>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</si>
  <si>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</si>
  <si>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</si>
  <si>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</si>
  <si>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</si>
  <si>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</si>
  <si>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</si>
  <si>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</si>
  <si>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</si>
  <si>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</si>
  <si>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</si>
  <si>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</si>
  <si>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</si>
  <si>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</si>
  <si>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</si>
  <si>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</si>
  <si>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</si>
  <si>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</si>
  <si>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</si>
  <si>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</si>
  <si>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</si>
  <si>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</si>
  <si>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</si>
  <si>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</si>
  <si>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</si>
  <si>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</si>
  <si>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</si>
  <si>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</si>
  <si>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</si>
  <si>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</si>
  <si>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</si>
  <si>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</si>
  <si>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</si>
  <si>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</si>
  <si>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</si>
  <si>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</si>
  <si>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</si>
  <si>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</si>
  <si>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</si>
  <si>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</si>
  <si>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</si>
  <si>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</si>
  <si>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</si>
  <si>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</si>
  <si>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</si>
  <si>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</si>
  <si>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</si>
  <si>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</si>
  <si>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</si>
  <si>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</si>
  <si>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</si>
  <si>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</si>
  <si>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</si>
  <si>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</si>
  <si>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</si>
  <si>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</si>
  <si>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</si>
  <si>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</si>
  <si>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</si>
  <si>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</si>
  <si>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</si>
  <si>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</si>
  <si>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</si>
  <si>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</si>
  <si>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</si>
  <si>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</si>
  <si>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</si>
  <si>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</si>
  <si>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</si>
  <si>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</si>
  <si>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</si>
  <si>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</si>
  <si>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</si>
  <si>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</si>
  <si>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</si>
  <si>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</si>
  <si>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</si>
  <si>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</si>
  <si>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</si>
  <si>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</si>
  <si>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</si>
  <si>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</si>
  <si>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</si>
  <si>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</si>
  <si>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</si>
  <si>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</si>
  <si>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</si>
  <si>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</si>
  <si>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</si>
  <si>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</si>
  <si>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</si>
  <si>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</si>
  <si>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</si>
  <si>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</si>
  <si>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</si>
  <si>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</si>
  <si>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</si>
  <si>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</si>
  <si>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</si>
  <si>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</si>
  <si>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</si>
  <si>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</si>
  <si>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</si>
  <si>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</si>
  <si>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</si>
  <si>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</si>
  <si>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</si>
  <si>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</si>
  <si>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</si>
  <si>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</si>
  <si>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</si>
  <si>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</si>
  <si>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</si>
  <si>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</si>
  <si>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</si>
  <si>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</si>
  <si>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</si>
  <si>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</si>
  <si>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</si>
  <si>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</si>
  <si>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</si>
  <si>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</si>
  <si>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</si>
  <si>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</si>
  <si>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</si>
  <si>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</si>
  <si>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</si>
  <si>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</si>
  <si>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</si>
  <si>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</si>
  <si>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</si>
  <si>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</si>
  <si>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</si>
  <si>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</si>
  <si>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</si>
  <si>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</si>
  <si>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</si>
  <si>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</si>
  <si>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</si>
  <si>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</si>
  <si>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</si>
  <si>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</si>
  <si>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</si>
  <si>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</si>
  <si>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</si>
  <si>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</si>
  <si>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</si>
  <si>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</si>
  <si>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</si>
  <si>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</si>
  <si>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</si>
  <si>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</si>
  <si>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</si>
  <si>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</si>
  <si>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</si>
  <si>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</si>
  <si>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</si>
  <si>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</si>
  <si>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</si>
  <si>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</si>
  <si>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</si>
  <si>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</si>
  <si>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</si>
  <si>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</si>
  <si>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</si>
  <si>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</si>
  <si>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</si>
  <si>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</si>
  <si>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</si>
  <si>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</si>
  <si>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</si>
  <si>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</si>
  <si>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</si>
  <si>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</si>
  <si>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</si>
  <si>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</si>
  <si>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</si>
  <si>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</si>
  <si>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</si>
  <si>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</si>
  <si>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</si>
  <si>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</si>
  <si>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</si>
  <si>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</si>
  <si>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</si>
  <si>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</si>
  <si>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</si>
  <si>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</si>
  <si>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</si>
  <si>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</si>
  <si>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</si>
  <si>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</si>
  <si>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</si>
  <si>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</si>
  <si>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</si>
  <si>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</si>
  <si>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</si>
  <si>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</si>
  <si>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</si>
  <si>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</si>
  <si>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</si>
  <si>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</si>
  <si>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</si>
  <si>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</si>
  <si>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</si>
  <si>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</si>
  <si>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</si>
  <si>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</si>
  <si>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</si>
  <si>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</si>
  <si>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</si>
  <si>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</si>
  <si>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</si>
  <si>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</si>
  <si>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</si>
  <si>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</si>
  <si>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</si>
  <si>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</si>
  <si>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</si>
  <si>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</si>
  <si>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</si>
  <si>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</si>
  <si>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</si>
  <si>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</si>
  <si>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</si>
  <si>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</si>
  <si>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</si>
  <si>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</si>
  <si>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</si>
  <si>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</si>
  <si>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</si>
  <si>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</si>
  <si>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</si>
  <si>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</si>
  <si>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</si>
  <si>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</si>
  <si>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</si>
  <si>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</si>
  <si>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</si>
  <si>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</si>
  <si>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</si>
  <si>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</si>
  <si>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</si>
  <si>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</si>
  <si>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</si>
  <si>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</si>
  <si>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</si>
  <si>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</si>
  <si>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</si>
  <si>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</si>
  <si>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</si>
  <si>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</si>
  <si>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</si>
  <si>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</si>
  <si>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</si>
  <si>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</si>
  <si>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</si>
  <si>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</si>
  <si>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</si>
  <si>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</si>
  <si>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</si>
  <si>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</si>
  <si>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</si>
  <si>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</si>
  <si>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</si>
  <si>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</si>
  <si>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</si>
  <si>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</si>
  <si>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</si>
  <si>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</si>
  <si>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</si>
  <si>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</si>
  <si>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</si>
  <si>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</si>
  <si>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</si>
  <si>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</si>
  <si>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</si>
  <si>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</si>
  <si>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</si>
  <si>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</si>
  <si>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</si>
  <si>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</si>
  <si>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</si>
  <si>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</si>
  <si>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</si>
  <si>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</si>
  <si>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</si>
  <si>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</si>
  <si>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</si>
  <si>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</si>
  <si>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</si>
  <si>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</si>
  <si>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</si>
  <si>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</si>
  <si>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</si>
  <si>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</si>
  <si>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</si>
  <si>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</si>
  <si>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</si>
  <si>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</si>
  <si>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</si>
  <si>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</si>
  <si>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</si>
  <si>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</si>
  <si>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</si>
  <si>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</si>
  <si>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</si>
  <si>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</si>
  <si>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</si>
  <si>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</si>
  <si>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</si>
  <si>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</si>
  <si>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</si>
  <si>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</si>
  <si>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</si>
  <si>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</si>
  <si>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</si>
  <si>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</si>
  <si>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</si>
  <si>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</si>
  <si>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</si>
  <si>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</si>
  <si>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</si>
  <si>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</si>
  <si>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</si>
  <si>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</si>
  <si>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</si>
  <si>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</si>
  <si>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</si>
  <si>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</si>
  <si>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</si>
  <si>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</si>
  <si>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</si>
  <si>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</si>
  <si>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</si>
  <si>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</si>
  <si>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</si>
  <si>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</si>
  <si>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</si>
  <si>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</si>
  <si>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</si>
  <si>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</si>
  <si>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</si>
  <si>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</si>
  <si>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</si>
  <si>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</si>
  <si>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</si>
  <si>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</si>
  <si>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</si>
  <si>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</si>
  <si>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</si>
  <si>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</si>
  <si>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</si>
  <si>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</si>
  <si>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</si>
  <si>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</si>
  <si>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</si>
  <si>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</si>
  <si>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</si>
  <si>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</si>
  <si>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</si>
  <si>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</si>
  <si>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</si>
  <si>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</si>
  <si>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</si>
  <si>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</si>
  <si>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</si>
  <si>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</si>
  <si>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</si>
  <si>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</si>
  <si>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</si>
  <si>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</si>
  <si>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</si>
  <si>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</si>
  <si>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2024-2</t>
    <phoneticPr fontId="3" type="noConversion"/>
  </si>
  <si>
    <t>2023-3</t>
    <phoneticPr fontId="3" type="noConversion"/>
  </si>
  <si>
    <t>2024-1</t>
    <phoneticPr fontId="3" type="noConversion"/>
  </si>
  <si>
    <t>2023-4</t>
    <phoneticPr fontId="3" type="noConversion"/>
  </si>
  <si>
    <t>2023-4</t>
    <phoneticPr fontId="3" type="noConversion"/>
  </si>
  <si>
    <t>2024-3</t>
    <phoneticPr fontId="3" type="noConversion"/>
  </si>
  <si>
    <t>D</t>
    <phoneticPr fontId="134" type="noConversion"/>
  </si>
  <si>
    <t>楼层</t>
    <phoneticPr fontId="134" type="noConversion"/>
  </si>
  <si>
    <t>建筑面积</t>
    <phoneticPr fontId="134" type="noConversion"/>
  </si>
  <si>
    <t>地下</t>
    <phoneticPr fontId="134" type="noConversion"/>
  </si>
  <si>
    <t>租赁面积</t>
    <phoneticPr fontId="134" type="noConversion"/>
  </si>
  <si>
    <r>
      <t>B</t>
    </r>
    <r>
      <rPr>
        <sz val="11"/>
        <color theme="1"/>
        <rFont val="宋体"/>
        <family val="3"/>
        <charset val="134"/>
        <scheme val="minor"/>
      </rPr>
      <t>1</t>
    </r>
    <phoneticPr fontId="134" type="noConversion"/>
  </si>
  <si>
    <t>G</t>
    <phoneticPr fontId="134" type="noConversion"/>
  </si>
  <si>
    <t>D座1G层</t>
    <phoneticPr fontId="3" type="noConversion"/>
  </si>
  <si>
    <t>D座01层</t>
    <phoneticPr fontId="3" type="noConversion"/>
  </si>
  <si>
    <t>D座02层</t>
  </si>
  <si>
    <t>D座03层</t>
  </si>
  <si>
    <t>D座05层</t>
  </si>
  <si>
    <t>D座06层</t>
  </si>
  <si>
    <t>D座07层</t>
  </si>
  <si>
    <t>D座08层</t>
  </si>
  <si>
    <t>D座09层</t>
  </si>
  <si>
    <t>D座10层</t>
  </si>
  <si>
    <t>D座11层</t>
  </si>
  <si>
    <t>D座12层</t>
  </si>
  <si>
    <t>D座15层</t>
  </si>
  <si>
    <t>D座16层</t>
  </si>
  <si>
    <t>D座17层</t>
  </si>
  <si>
    <t>D座18层</t>
  </si>
  <si>
    <t>D座19层</t>
  </si>
  <si>
    <t>D座20层</t>
  </si>
  <si>
    <t>D座21层</t>
  </si>
  <si>
    <t>D座22层</t>
  </si>
  <si>
    <t>D座23层</t>
  </si>
  <si>
    <t>D座25层</t>
  </si>
  <si>
    <t>D座26层</t>
  </si>
  <si>
    <t>D座27层</t>
  </si>
  <si>
    <t>D座28层</t>
  </si>
  <si>
    <t>D座机房1层</t>
    <phoneticPr fontId="3" type="noConversion"/>
  </si>
  <si>
    <t>D座机房2层</t>
  </si>
  <si>
    <t>其它1G</t>
    <phoneticPr fontId="3" type="noConversion"/>
  </si>
  <si>
    <t>其它01层</t>
    <phoneticPr fontId="3" type="noConversion"/>
  </si>
  <si>
    <t>收益法</t>
    <phoneticPr fontId="3" type="noConversion"/>
  </si>
  <si>
    <t>直线法成新度</t>
    <phoneticPr fontId="3" type="noConversion"/>
  </si>
  <si>
    <t>结构残值率（%）</t>
    <phoneticPr fontId="3" type="noConversion"/>
  </si>
  <si>
    <t>序号</t>
    <phoneticPr fontId="3" type="noConversion"/>
  </si>
  <si>
    <t>项目</t>
    <phoneticPr fontId="3" type="noConversion"/>
  </si>
  <si>
    <t>数额（元）</t>
    <phoneticPr fontId="3" type="noConversion"/>
  </si>
  <si>
    <t>计算公式</t>
    <phoneticPr fontId="3" type="noConversion"/>
  </si>
  <si>
    <t>收费标准</t>
    <phoneticPr fontId="3" type="noConversion"/>
  </si>
  <si>
    <t>已经使用年限（年）</t>
    <phoneticPr fontId="3" type="noConversion"/>
  </si>
  <si>
    <t>27</t>
    <phoneticPr fontId="3" type="noConversion"/>
  </si>
  <si>
    <t>一</t>
    <phoneticPr fontId="3" type="noConversion"/>
  </si>
  <si>
    <t>房地产价值</t>
    <phoneticPr fontId="3" type="noConversion"/>
  </si>
  <si>
    <t>依据市场比较法得出</t>
    <phoneticPr fontId="3" type="noConversion"/>
  </si>
  <si>
    <t>建筑面积（㎡）</t>
    <phoneticPr fontId="3" type="noConversion"/>
  </si>
  <si>
    <t>经济耐用年限（年）</t>
    <phoneticPr fontId="3" type="noConversion"/>
  </si>
  <si>
    <t>60</t>
    <phoneticPr fontId="3" type="noConversion"/>
  </si>
  <si>
    <t>二</t>
    <phoneticPr fontId="3" type="noConversion"/>
  </si>
  <si>
    <t>房地产未来第一年净收益</t>
    <phoneticPr fontId="3" type="noConversion"/>
  </si>
  <si>
    <r>
      <t>房地产价值×(Y-g)/{1-[(1+g)/(1+Y)]</t>
    </r>
    <r>
      <rPr>
        <vertAlign val="superscript"/>
        <sz val="11"/>
        <color indexed="8"/>
        <rFont val="FangSong"/>
        <family val="3"/>
        <charset val="134"/>
      </rPr>
      <t xml:space="preserve"> n</t>
    </r>
    <r>
      <rPr>
        <sz val="11"/>
        <color indexed="8"/>
        <rFont val="FangSong"/>
        <family val="3"/>
        <charset val="134"/>
      </rPr>
      <t xml:space="preserve"> }</t>
    </r>
    <phoneticPr fontId="3" type="noConversion"/>
  </si>
  <si>
    <t>资本化率（Y）</t>
    <phoneticPr fontId="3" type="noConversion"/>
  </si>
  <si>
    <t>折扣率</t>
    <phoneticPr fontId="3" type="noConversion"/>
  </si>
  <si>
    <t>收益年期(n)</t>
    <phoneticPr fontId="3" type="noConversion"/>
  </si>
  <si>
    <t>权重</t>
    <phoneticPr fontId="3" type="noConversion"/>
  </si>
  <si>
    <t>年增长比率(g)</t>
    <phoneticPr fontId="3" type="noConversion"/>
  </si>
  <si>
    <t>综合观察法成新度</t>
    <phoneticPr fontId="3" type="noConversion"/>
  </si>
  <si>
    <t>项目名称</t>
    <phoneticPr fontId="3" type="noConversion"/>
  </si>
  <si>
    <t>标准分</t>
    <phoneticPr fontId="3" type="noConversion"/>
  </si>
  <si>
    <t>基本情况</t>
    <phoneticPr fontId="3" type="noConversion"/>
  </si>
  <si>
    <t>评分</t>
  </si>
  <si>
    <t>权重</t>
  </si>
  <si>
    <t>三</t>
    <phoneticPr fontId="3" type="noConversion"/>
  </si>
  <si>
    <t>建筑物现值</t>
    <phoneticPr fontId="3" type="noConversion"/>
  </si>
  <si>
    <t>V×成新度</t>
    <phoneticPr fontId="3" type="noConversion"/>
  </si>
  <si>
    <t>成新度（%）</t>
    <phoneticPr fontId="3" type="noConversion"/>
  </si>
  <si>
    <t>基础工程</t>
  </si>
  <si>
    <t>完好</t>
    <phoneticPr fontId="3" type="noConversion"/>
  </si>
  <si>
    <t>1.1</t>
    <phoneticPr fontId="3" type="noConversion"/>
  </si>
  <si>
    <t>建安费用</t>
  </si>
  <si>
    <t>建安单价×面积指标</t>
    <phoneticPr fontId="3" type="noConversion"/>
  </si>
  <si>
    <t>结构工程</t>
  </si>
  <si>
    <t>完好</t>
    <phoneticPr fontId="3" type="noConversion"/>
  </si>
  <si>
    <t>1.2</t>
    <phoneticPr fontId="3" type="noConversion"/>
  </si>
  <si>
    <t>勘察设计和前期工程费</t>
    <phoneticPr fontId="3" type="noConversion"/>
  </si>
  <si>
    <t>1.1×费率</t>
    <phoneticPr fontId="3" type="noConversion"/>
  </si>
  <si>
    <t>设备及装饰</t>
    <phoneticPr fontId="3" type="noConversion"/>
  </si>
  <si>
    <t>1.3</t>
    <phoneticPr fontId="3" type="noConversion"/>
  </si>
  <si>
    <t>公共配套设施建设费</t>
    <phoneticPr fontId="3" type="noConversion"/>
  </si>
  <si>
    <t>权重</t>
    <phoneticPr fontId="3" type="noConversion"/>
  </si>
  <si>
    <t>1.4</t>
    <phoneticPr fontId="3" type="noConversion"/>
  </si>
  <si>
    <t>基础设施建设费</t>
    <phoneticPr fontId="3" type="noConversion"/>
  </si>
  <si>
    <t>面积指标×取费标准</t>
    <phoneticPr fontId="3" type="noConversion"/>
  </si>
  <si>
    <t>取费标准（元/建筑㎡）</t>
    <phoneticPr fontId="3" type="noConversion"/>
  </si>
  <si>
    <t>1.5</t>
    <phoneticPr fontId="3" type="noConversion"/>
  </si>
  <si>
    <t>相关税费</t>
    <phoneticPr fontId="3" type="noConversion"/>
  </si>
  <si>
    <t>按建安费用3%-5%计取</t>
    <phoneticPr fontId="3" type="noConversion"/>
  </si>
  <si>
    <t>1</t>
    <phoneticPr fontId="3" type="noConversion"/>
  </si>
  <si>
    <t>建造成本</t>
  </si>
  <si>
    <t>1.1～1.5项之和</t>
    <phoneticPr fontId="3" type="noConversion"/>
  </si>
  <si>
    <t>按建安费用的0%-10%计取</t>
  </si>
  <si>
    <t>2</t>
    <phoneticPr fontId="3" type="noConversion"/>
  </si>
  <si>
    <t>管理费用</t>
    <phoneticPr fontId="3" type="noConversion"/>
  </si>
  <si>
    <t>1×费率</t>
    <phoneticPr fontId="3" type="noConversion"/>
  </si>
  <si>
    <t>3</t>
    <phoneticPr fontId="3" type="noConversion"/>
  </si>
  <si>
    <t>销售费用</t>
    <phoneticPr fontId="3" type="noConversion"/>
  </si>
  <si>
    <t>V×费率</t>
    <phoneticPr fontId="3" type="noConversion"/>
  </si>
  <si>
    <t>4</t>
    <phoneticPr fontId="3" type="noConversion"/>
  </si>
  <si>
    <t>贷款利息</t>
  </si>
  <si>
    <t>+</t>
    <phoneticPr fontId="3" type="noConversion"/>
  </si>
  <si>
    <t>（1+2+3）×利率×（建设周期÷2）</t>
    <phoneticPr fontId="3" type="noConversion"/>
  </si>
  <si>
    <t>4.1</t>
    <phoneticPr fontId="3" type="noConversion"/>
  </si>
  <si>
    <t>1-2项产生的利息</t>
    <phoneticPr fontId="3" type="noConversion"/>
  </si>
  <si>
    <t>（1+2)×利率×（建设周期÷2）</t>
    <phoneticPr fontId="3" type="noConversion"/>
  </si>
  <si>
    <t>建设周期（年）</t>
    <phoneticPr fontId="3" type="noConversion"/>
  </si>
  <si>
    <t>按建造成本的1%-3%计取</t>
    <phoneticPr fontId="3" type="noConversion"/>
  </si>
  <si>
    <t>4.2</t>
    <phoneticPr fontId="3" type="noConversion"/>
  </si>
  <si>
    <t>销售费用产生的利息</t>
    <phoneticPr fontId="3" type="noConversion"/>
  </si>
  <si>
    <t>V</t>
    <phoneticPr fontId="3" type="noConversion"/>
  </si>
  <si>
    <t>V×3×利率×（建设周期÷2）</t>
    <phoneticPr fontId="3" type="noConversion"/>
  </si>
  <si>
    <t>利息（1-3年期）</t>
    <phoneticPr fontId="3" type="noConversion"/>
  </si>
  <si>
    <t>按在建建筑物或建筑物价值的1%-3%</t>
    <phoneticPr fontId="3" type="noConversion"/>
  </si>
  <si>
    <t>5</t>
    <phoneticPr fontId="3" type="noConversion"/>
  </si>
  <si>
    <t>利润</t>
  </si>
  <si>
    <t>（1+2+3）×投资利润率</t>
    <phoneticPr fontId="3" type="noConversion"/>
  </si>
  <si>
    <t>5.1</t>
    <phoneticPr fontId="3" type="noConversion"/>
  </si>
  <si>
    <t>1-2项产生的利润</t>
    <phoneticPr fontId="3" type="noConversion"/>
  </si>
  <si>
    <t>（1+2)×利润率</t>
    <phoneticPr fontId="3" type="noConversion"/>
  </si>
  <si>
    <t>投资利润率（%）</t>
    <phoneticPr fontId="3" type="noConversion"/>
  </si>
  <si>
    <t>（1+2）×年利率×建设期÷2</t>
    <phoneticPr fontId="3" type="noConversion"/>
  </si>
  <si>
    <t>销售费用产生的利润</t>
    <phoneticPr fontId="3" type="noConversion"/>
  </si>
  <si>
    <t>3×利润率</t>
    <phoneticPr fontId="3" type="noConversion"/>
  </si>
  <si>
    <t>6</t>
    <phoneticPr fontId="3" type="noConversion"/>
  </si>
  <si>
    <t>销售税费</t>
    <phoneticPr fontId="3" type="noConversion"/>
  </si>
  <si>
    <t>V×费率÷（1+5%）</t>
    <phoneticPr fontId="3" type="noConversion"/>
  </si>
  <si>
    <t>7</t>
    <phoneticPr fontId="3" type="noConversion"/>
  </si>
  <si>
    <t>房屋重置价格（V）</t>
    <phoneticPr fontId="3" type="noConversion"/>
  </si>
  <si>
    <t>1-6项之和</t>
    <phoneticPr fontId="3" type="noConversion"/>
  </si>
  <si>
    <t>四</t>
    <phoneticPr fontId="3" type="noConversion"/>
  </si>
  <si>
    <t>年经营费用</t>
    <phoneticPr fontId="3" type="noConversion"/>
  </si>
  <si>
    <t>+X×</t>
    <phoneticPr fontId="3" type="noConversion"/>
  </si>
  <si>
    <t>税费+维修费+保险费+管理费</t>
    <phoneticPr fontId="3" type="noConversion"/>
  </si>
  <si>
    <t>税  费</t>
  </si>
  <si>
    <t>X×</t>
    <phoneticPr fontId="3" type="noConversion"/>
  </si>
  <si>
    <t>年总收益×税率</t>
    <phoneticPr fontId="3" type="noConversion"/>
  </si>
  <si>
    <t>房产税</t>
    <phoneticPr fontId="3" type="noConversion"/>
  </si>
  <si>
    <t>维修费</t>
    <phoneticPr fontId="3" type="noConversion"/>
  </si>
  <si>
    <t>V×维修费率</t>
    <phoneticPr fontId="3" type="noConversion"/>
  </si>
  <si>
    <r>
      <rPr>
        <sz val="11"/>
        <color indexed="8"/>
        <rFont val="FangSong"/>
        <family val="3"/>
        <charset val="134"/>
      </rPr>
      <t>0.2%-0.3%</t>
    </r>
    <phoneticPr fontId="3" type="noConversion"/>
  </si>
  <si>
    <t>保险费</t>
  </si>
  <si>
    <t>建筑物现值×保险费率</t>
    <phoneticPr fontId="3" type="noConversion"/>
  </si>
  <si>
    <t>管理费用</t>
  </si>
  <si>
    <t>年总收益×费率</t>
    <phoneticPr fontId="3" type="noConversion"/>
  </si>
  <si>
    <t>五</t>
    <phoneticPr fontId="3" type="noConversion"/>
  </si>
  <si>
    <t>未来第一年年总收益(X)</t>
    <phoneticPr fontId="3" type="noConversion"/>
  </si>
  <si>
    <t>房地产未来第一年净收益+年经营费用</t>
    <phoneticPr fontId="3" type="noConversion"/>
  </si>
  <si>
    <t>六</t>
    <phoneticPr fontId="3" type="noConversion"/>
  </si>
  <si>
    <r>
      <t>市场租金（元/</t>
    </r>
    <r>
      <rPr>
        <sz val="11"/>
        <color indexed="10"/>
        <rFont val="FangSong"/>
        <family val="3"/>
        <charset val="134"/>
      </rPr>
      <t>建筑</t>
    </r>
    <r>
      <rPr>
        <sz val="11"/>
        <color indexed="8"/>
        <rFont val="FangSong"/>
        <family val="3"/>
        <charset val="134"/>
      </rPr>
      <t>㎡·天）</t>
    </r>
    <phoneticPr fontId="3" type="noConversion"/>
  </si>
  <si>
    <t>未来第一年年总收益租金÷天数÷面积指标÷出租率</t>
    <phoneticPr fontId="3" type="noConversion"/>
  </si>
  <si>
    <t>天数（天）</t>
    <phoneticPr fontId="3" type="noConversion"/>
  </si>
  <si>
    <t>出租率（%）</t>
    <phoneticPr fontId="3" type="noConversion"/>
  </si>
  <si>
    <r>
      <t>估价对象</t>
    </r>
    <r>
      <rPr>
        <b/>
        <sz val="11"/>
        <color indexed="10"/>
        <rFont val="FangSong"/>
        <family val="3"/>
        <charset val="134"/>
      </rPr>
      <t>1层商业用房</t>
    </r>
    <r>
      <rPr>
        <b/>
        <sz val="11"/>
        <rFont val="FangSong"/>
        <family val="3"/>
        <charset val="134"/>
      </rPr>
      <t>结果一览表</t>
    </r>
    <phoneticPr fontId="3" type="noConversion"/>
  </si>
  <si>
    <t>估价方法</t>
  </si>
  <si>
    <t>租金（元/㎡·天）</t>
    <phoneticPr fontId="3" type="noConversion"/>
  </si>
  <si>
    <t>一层</t>
    <phoneticPr fontId="3" type="noConversion"/>
  </si>
  <si>
    <t>比较法</t>
    <phoneticPr fontId="3" type="noConversion"/>
  </si>
  <si>
    <t>收益法</t>
  </si>
  <si>
    <t>权重单价</t>
    <phoneticPr fontId="3" type="noConversion"/>
  </si>
  <si>
    <t>市场租金水平</t>
    <phoneticPr fontId="3" type="noConversion"/>
  </si>
  <si>
    <t>~</t>
    <phoneticPr fontId="3" type="noConversion"/>
  </si>
  <si>
    <t>拟签净租金</t>
    <phoneticPr fontId="3" type="noConversion"/>
  </si>
  <si>
    <t>包含物业费的租金</t>
    <phoneticPr fontId="3" type="noConversion"/>
  </si>
  <si>
    <t>物业费</t>
    <phoneticPr fontId="3" type="noConversion"/>
  </si>
  <si>
    <t>测算：</t>
    <phoneticPr fontId="3" type="noConversion"/>
  </si>
  <si>
    <t>一审：</t>
    <phoneticPr fontId="3" type="noConversion"/>
  </si>
  <si>
    <t>二审：</t>
    <phoneticPr fontId="3" type="noConversion"/>
  </si>
  <si>
    <t>收益法倒推房地产价值表外修正</t>
    <phoneticPr fontId="279" type="noConversion"/>
  </si>
  <si>
    <t>修正后房地产单价</t>
    <phoneticPr fontId="279" type="noConversion"/>
  </si>
  <si>
    <t>整体出租</t>
    <phoneticPr fontId="279" type="noConversion"/>
  </si>
  <si>
    <t>业态</t>
    <phoneticPr fontId="279" type="noConversion"/>
  </si>
  <si>
    <t>层高</t>
    <phoneticPr fontId="279" type="noConversion"/>
  </si>
  <si>
    <t>出让金</t>
    <phoneticPr fontId="279" type="noConversion"/>
  </si>
  <si>
    <t>元/平方米</t>
    <phoneticPr fontId="279" type="noConversion"/>
  </si>
  <si>
    <t>建安单价（元/建筑㎡）</t>
    <phoneticPr fontId="3" type="noConversion"/>
  </si>
  <si>
    <t>登记楼层</t>
    <phoneticPr fontId="134" type="noConversion"/>
  </si>
  <si>
    <t>D座1G</t>
    <phoneticPr fontId="3" type="noConversion"/>
  </si>
  <si>
    <t>DG01</t>
    <phoneticPr fontId="3" type="noConversion"/>
  </si>
  <si>
    <t>DG02</t>
    <phoneticPr fontId="3" type="noConversion"/>
  </si>
  <si>
    <t>DG03</t>
  </si>
  <si>
    <t>DG05</t>
    <phoneticPr fontId="3" type="noConversion"/>
  </si>
  <si>
    <t>D座01</t>
    <phoneticPr fontId="3" type="noConversion"/>
  </si>
  <si>
    <t>D101</t>
    <phoneticPr fontId="3" type="noConversion"/>
  </si>
  <si>
    <t>D102</t>
  </si>
  <si>
    <t>D座02</t>
    <phoneticPr fontId="3" type="noConversion"/>
  </si>
  <si>
    <t>D201</t>
    <phoneticPr fontId="3" type="noConversion"/>
  </si>
  <si>
    <t>D座03</t>
    <phoneticPr fontId="3" type="noConversion"/>
  </si>
  <si>
    <t>D301</t>
    <phoneticPr fontId="3" type="noConversion"/>
  </si>
  <si>
    <t>D座05</t>
    <phoneticPr fontId="3" type="noConversion"/>
  </si>
  <si>
    <t>D501</t>
    <phoneticPr fontId="3" type="noConversion"/>
  </si>
  <si>
    <t>D座06</t>
    <phoneticPr fontId="3" type="noConversion"/>
  </si>
  <si>
    <t>D601</t>
    <phoneticPr fontId="3" type="noConversion"/>
  </si>
  <si>
    <t>D座07</t>
    <phoneticPr fontId="3" type="noConversion"/>
  </si>
  <si>
    <t>D701</t>
    <phoneticPr fontId="3" type="noConversion"/>
  </si>
  <si>
    <t>D座08</t>
    <phoneticPr fontId="3" type="noConversion"/>
  </si>
  <si>
    <t>D801</t>
    <phoneticPr fontId="3" type="noConversion"/>
  </si>
  <si>
    <t>D座09</t>
    <phoneticPr fontId="3" type="noConversion"/>
  </si>
  <si>
    <t>D901</t>
    <phoneticPr fontId="3" type="noConversion"/>
  </si>
  <si>
    <t>D座10</t>
    <phoneticPr fontId="3" type="noConversion"/>
  </si>
  <si>
    <t>D1001</t>
    <phoneticPr fontId="3" type="noConversion"/>
  </si>
  <si>
    <t>D座11</t>
    <phoneticPr fontId="3" type="noConversion"/>
  </si>
  <si>
    <t>D1101</t>
    <phoneticPr fontId="3" type="noConversion"/>
  </si>
  <si>
    <t>D座12</t>
    <phoneticPr fontId="3" type="noConversion"/>
  </si>
  <si>
    <t>D1201</t>
    <phoneticPr fontId="3" type="noConversion"/>
  </si>
  <si>
    <t>D座15</t>
    <phoneticPr fontId="3" type="noConversion"/>
  </si>
  <si>
    <t>D1501</t>
    <phoneticPr fontId="3" type="noConversion"/>
  </si>
  <si>
    <t>D座16</t>
    <phoneticPr fontId="3" type="noConversion"/>
  </si>
  <si>
    <t>D1601</t>
    <phoneticPr fontId="3" type="noConversion"/>
  </si>
  <si>
    <t>D座17</t>
    <phoneticPr fontId="3" type="noConversion"/>
  </si>
  <si>
    <t>D1701</t>
    <phoneticPr fontId="3" type="noConversion"/>
  </si>
  <si>
    <t>D座18</t>
    <phoneticPr fontId="3" type="noConversion"/>
  </si>
  <si>
    <t>D1801</t>
    <phoneticPr fontId="3" type="noConversion"/>
  </si>
  <si>
    <t>D座19</t>
    <phoneticPr fontId="3" type="noConversion"/>
  </si>
  <si>
    <t>D1901</t>
    <phoneticPr fontId="3" type="noConversion"/>
  </si>
  <si>
    <t>D座20</t>
    <phoneticPr fontId="3" type="noConversion"/>
  </si>
  <si>
    <t>D2001</t>
    <phoneticPr fontId="3" type="noConversion"/>
  </si>
  <si>
    <t>D座21</t>
    <phoneticPr fontId="3" type="noConversion"/>
  </si>
  <si>
    <t>D2101</t>
    <phoneticPr fontId="3" type="noConversion"/>
  </si>
  <si>
    <t>D座22</t>
    <phoneticPr fontId="3" type="noConversion"/>
  </si>
  <si>
    <t>D2201</t>
    <phoneticPr fontId="3" type="noConversion"/>
  </si>
  <si>
    <t>D座23</t>
    <phoneticPr fontId="3" type="noConversion"/>
  </si>
  <si>
    <t>D2301</t>
    <phoneticPr fontId="3" type="noConversion"/>
  </si>
  <si>
    <t>D座25</t>
    <phoneticPr fontId="3" type="noConversion"/>
  </si>
  <si>
    <t>D2501</t>
    <phoneticPr fontId="3" type="noConversion"/>
  </si>
  <si>
    <t>D座26</t>
    <phoneticPr fontId="3" type="noConversion"/>
  </si>
  <si>
    <t>D2601</t>
    <phoneticPr fontId="3" type="noConversion"/>
  </si>
  <si>
    <t>D座27</t>
    <phoneticPr fontId="3" type="noConversion"/>
  </si>
  <si>
    <t>D2701</t>
    <phoneticPr fontId="3" type="noConversion"/>
  </si>
  <si>
    <t>D座28</t>
    <phoneticPr fontId="3" type="noConversion"/>
  </si>
  <si>
    <t>D2801</t>
    <phoneticPr fontId="3" type="noConversion"/>
  </si>
  <si>
    <t>D座机房1</t>
    <phoneticPr fontId="3" type="noConversion"/>
  </si>
  <si>
    <t>库房</t>
    <phoneticPr fontId="3" type="noConversion"/>
  </si>
  <si>
    <t>D座机房2</t>
    <phoneticPr fontId="3" type="noConversion"/>
  </si>
  <si>
    <t>库房</t>
    <phoneticPr fontId="3" type="noConversion"/>
  </si>
  <si>
    <t>实际楼层</t>
    <phoneticPr fontId="3" type="noConversion"/>
  </si>
  <si>
    <t>名义楼层</t>
    <phoneticPr fontId="3" type="noConversion"/>
  </si>
  <si>
    <t>楼层</t>
    <phoneticPr fontId="3" type="noConversion"/>
  </si>
  <si>
    <t>房屋建筑面积</t>
    <phoneticPr fontId="3" type="noConversion"/>
  </si>
  <si>
    <t>楼层建筑面积</t>
    <phoneticPr fontId="3" type="noConversion"/>
  </si>
  <si>
    <t>D座01</t>
    <phoneticPr fontId="3" type="noConversion"/>
  </si>
  <si>
    <t>1夹层</t>
    <phoneticPr fontId="3" type="noConversion"/>
  </si>
  <si>
    <t>D座02</t>
    <phoneticPr fontId="3" type="noConversion"/>
  </si>
  <si>
    <t>D座03</t>
    <phoneticPr fontId="3" type="noConversion"/>
  </si>
  <si>
    <t>D座05层</t>
    <phoneticPr fontId="3" type="noConversion"/>
  </si>
  <si>
    <t>D座05</t>
    <phoneticPr fontId="3" type="noConversion"/>
  </si>
  <si>
    <t>D座06层</t>
    <phoneticPr fontId="3" type="noConversion"/>
  </si>
  <si>
    <t>D座06</t>
    <phoneticPr fontId="3" type="noConversion"/>
  </si>
  <si>
    <t>D座07层</t>
    <phoneticPr fontId="3" type="noConversion"/>
  </si>
  <si>
    <t>D座07</t>
  </si>
  <si>
    <t>D座08层</t>
    <phoneticPr fontId="3" type="noConversion"/>
  </si>
  <si>
    <t>D座08</t>
  </si>
  <si>
    <t>D座09层</t>
    <phoneticPr fontId="3" type="noConversion"/>
  </si>
  <si>
    <t>D座09</t>
  </si>
  <si>
    <t>D座10层</t>
    <phoneticPr fontId="3" type="noConversion"/>
  </si>
  <si>
    <t>D座10</t>
  </si>
  <si>
    <t>D座11层</t>
    <phoneticPr fontId="3" type="noConversion"/>
  </si>
  <si>
    <t>D座11</t>
  </si>
  <si>
    <t>D座12层</t>
    <phoneticPr fontId="3" type="noConversion"/>
  </si>
  <si>
    <t>D座12</t>
  </si>
  <si>
    <t>D座15层</t>
    <phoneticPr fontId="3" type="noConversion"/>
  </si>
  <si>
    <t>D座16层</t>
    <phoneticPr fontId="3" type="noConversion"/>
  </si>
  <si>
    <t>D座17层</t>
    <phoneticPr fontId="3" type="noConversion"/>
  </si>
  <si>
    <t>D座17</t>
  </si>
  <si>
    <t>D座18</t>
  </si>
  <si>
    <t>D座19</t>
  </si>
  <si>
    <t>D座20</t>
  </si>
  <si>
    <t>D座21</t>
  </si>
  <si>
    <t>D座22</t>
  </si>
  <si>
    <t>D座23</t>
  </si>
  <si>
    <t>D座25层</t>
    <phoneticPr fontId="3" type="noConversion"/>
  </si>
  <si>
    <t>D座25</t>
    <phoneticPr fontId="3" type="noConversion"/>
  </si>
  <si>
    <t>D座26层</t>
    <phoneticPr fontId="3" type="noConversion"/>
  </si>
  <si>
    <t>D座27</t>
  </si>
  <si>
    <t>其他01层</t>
    <phoneticPr fontId="3" type="noConversion"/>
  </si>
  <si>
    <t>D座28</t>
  </si>
  <si>
    <t>楼层</t>
    <phoneticPr fontId="3" type="noConversion"/>
  </si>
  <si>
    <t>汇总</t>
    <phoneticPr fontId="3" type="noConversion"/>
  </si>
  <si>
    <t>地下3层D座停车库</t>
    <phoneticPr fontId="3" type="noConversion"/>
  </si>
  <si>
    <t>地上机房</t>
    <phoneticPr fontId="3" type="noConversion"/>
  </si>
  <si>
    <t>地下3层库房</t>
    <phoneticPr fontId="3" type="noConversion"/>
  </si>
  <si>
    <t>地上部分总计</t>
    <phoneticPr fontId="3" type="noConversion"/>
  </si>
  <si>
    <t>地下2层D座停车库</t>
    <phoneticPr fontId="3" type="noConversion"/>
  </si>
  <si>
    <t>地下部分总计</t>
    <phoneticPr fontId="3" type="noConversion"/>
  </si>
  <si>
    <t>地下2层D座库房</t>
    <phoneticPr fontId="3" type="noConversion"/>
  </si>
  <si>
    <t>总建筑面积</t>
    <phoneticPr fontId="3" type="noConversion"/>
  </si>
  <si>
    <t>地下2层DB201-203</t>
    <phoneticPr fontId="3" type="noConversion"/>
  </si>
  <si>
    <t>地下1层停车库</t>
    <phoneticPr fontId="3" type="noConversion"/>
  </si>
  <si>
    <t>地下1层DB101-116</t>
    <phoneticPr fontId="3" type="noConversion"/>
  </si>
  <si>
    <t>地上</t>
  </si>
  <si>
    <t>是</t>
  </si>
  <si>
    <t>商业</t>
    <phoneticPr fontId="7" type="noConversion"/>
  </si>
  <si>
    <t>办公</t>
    <phoneticPr fontId="7" type="noConversion"/>
  </si>
  <si>
    <t>成新度</t>
  </si>
  <si>
    <t>启迪科技大厦</t>
    <phoneticPr fontId="3" type="noConversion"/>
  </si>
  <si>
    <t>正常</t>
  </si>
  <si>
    <t>商业</t>
    <phoneticPr fontId="134" type="noConversion"/>
  </si>
  <si>
    <t>较好</t>
  </si>
  <si>
    <t>七通</t>
  </si>
  <si>
    <t>办公</t>
    <phoneticPr fontId="31" type="noConversion"/>
  </si>
  <si>
    <t>市调</t>
    <phoneticPr fontId="134" type="noConversion"/>
  </si>
  <si>
    <t>启迪科技大厦</t>
    <phoneticPr fontId="134" type="noConversion"/>
  </si>
  <si>
    <t>A|B座不对外出租</t>
    <phoneticPr fontId="134" type="noConversion"/>
  </si>
  <si>
    <t>C主要为小业主</t>
    <phoneticPr fontId="134" type="noConversion"/>
  </si>
  <si>
    <t>D刚装修改造</t>
    <phoneticPr fontId="134" type="noConversion"/>
  </si>
  <si>
    <t>同类</t>
    <phoneticPr fontId="134" type="noConversion"/>
  </si>
  <si>
    <t>威盛大厦</t>
    <phoneticPr fontId="134" type="noConversion"/>
  </si>
  <si>
    <t>搜狐大厦</t>
    <phoneticPr fontId="134" type="noConversion"/>
  </si>
  <si>
    <r>
      <t>7</t>
    </r>
    <r>
      <rPr>
        <sz val="11"/>
        <color theme="1"/>
        <rFont val="宋体"/>
        <family val="3"/>
        <charset val="134"/>
        <scheme val="minor"/>
      </rPr>
      <t>-8元净租金</t>
    </r>
    <phoneticPr fontId="134" type="noConversion"/>
  </si>
  <si>
    <r>
      <t>含物业费及发票1</t>
    </r>
    <r>
      <rPr>
        <sz val="11"/>
        <color theme="1"/>
        <rFont val="宋体"/>
        <family val="3"/>
        <charset val="134"/>
        <scheme val="minor"/>
      </rPr>
      <t>0元左右</t>
    </r>
    <phoneticPr fontId="134" type="noConversion"/>
  </si>
  <si>
    <t>11-12元净租金</t>
    <phoneticPr fontId="134" type="noConversion"/>
  </si>
  <si>
    <t>价格可谈</t>
    <phoneticPr fontId="134" type="noConversion"/>
  </si>
  <si>
    <t>主要价格差以品牌知名度为主</t>
    <phoneticPr fontId="134" type="noConversion"/>
  </si>
  <si>
    <t>楼层</t>
    <phoneticPr fontId="31" type="noConversion"/>
  </si>
  <si>
    <r>
      <rPr>
        <sz val="11"/>
        <color indexed="8"/>
        <rFont val="宋体"/>
        <family val="3"/>
        <charset val="134"/>
      </rPr>
      <t>中楼层</t>
    </r>
    <r>
      <rPr>
        <sz val="11"/>
        <color indexed="8"/>
        <rFont val="Arial"/>
        <family val="2"/>
      </rPr>
      <t>/20</t>
    </r>
    <phoneticPr fontId="31" type="noConversion"/>
  </si>
  <si>
    <r>
      <rPr>
        <sz val="11"/>
        <color indexed="8"/>
        <rFont val="宋体"/>
        <family val="3"/>
        <charset val="134"/>
      </rPr>
      <t>高楼层</t>
    </r>
    <r>
      <rPr>
        <sz val="11"/>
        <color indexed="8"/>
        <rFont val="Arial"/>
        <family val="2"/>
      </rPr>
      <t>/17</t>
    </r>
    <phoneticPr fontId="31" type="noConversion"/>
  </si>
  <si>
    <r>
      <rPr>
        <sz val="11"/>
        <color indexed="8"/>
        <rFont val="宋体"/>
        <family val="3"/>
        <charset val="134"/>
      </rPr>
      <t>高楼层</t>
    </r>
    <r>
      <rPr>
        <sz val="11"/>
        <color indexed="8"/>
        <rFont val="Arial"/>
        <family val="2"/>
      </rPr>
      <t>/28</t>
    </r>
    <phoneticPr fontId="31" type="noConversion"/>
  </si>
  <si>
    <r>
      <rPr>
        <sz val="11"/>
        <rFont val="宋体"/>
        <family val="3"/>
        <charset val="134"/>
      </rPr>
      <t>中楼层</t>
    </r>
    <r>
      <rPr>
        <sz val="11"/>
        <rFont val="Arial"/>
        <family val="2"/>
      </rPr>
      <t>/28</t>
    </r>
    <phoneticPr fontId="31" type="noConversion"/>
  </si>
  <si>
    <t>钢混</t>
  </si>
  <si>
    <t>钢混</t>
    <phoneticPr fontId="31" type="noConversion"/>
  </si>
  <si>
    <t>精装修</t>
  </si>
  <si>
    <t>精装修</t>
    <phoneticPr fontId="31" type="noConversion"/>
  </si>
  <si>
    <t>甲级</t>
  </si>
  <si>
    <t>甲级</t>
    <phoneticPr fontId="31" type="noConversion"/>
  </si>
  <si>
    <t>专业</t>
  </si>
  <si>
    <t>专业</t>
    <phoneticPr fontId="31" type="noConversion"/>
  </si>
  <si>
    <t>七通</t>
    <phoneticPr fontId="31" type="noConversion"/>
  </si>
  <si>
    <t>六通</t>
    <phoneticPr fontId="31" type="noConversion"/>
  </si>
  <si>
    <t>五通</t>
    <phoneticPr fontId="31" type="noConversion"/>
  </si>
  <si>
    <r>
      <rPr>
        <sz val="11"/>
        <color indexed="8"/>
        <rFont val="宋体"/>
        <family val="3"/>
        <charset val="134"/>
      </rPr>
      <t>城市主干道</t>
    </r>
    <r>
      <rPr>
        <sz val="11"/>
        <color indexed="8"/>
        <rFont val="Arial"/>
        <family val="2"/>
      </rPr>
      <t>-</t>
    </r>
    <r>
      <rPr>
        <sz val="11"/>
        <color indexed="8"/>
        <rFont val="宋体"/>
        <family val="3"/>
        <charset val="134"/>
      </rPr>
      <t>中关村东路</t>
    </r>
    <phoneticPr fontId="31" type="noConversion"/>
  </si>
  <si>
    <r>
      <rPr>
        <sz val="11"/>
        <color indexed="8"/>
        <rFont val="宋体"/>
        <family val="3"/>
        <charset val="134"/>
      </rPr>
      <t>城市主干道</t>
    </r>
    <r>
      <rPr>
        <sz val="11"/>
        <color indexed="8"/>
        <rFont val="Arial"/>
        <family val="2"/>
      </rPr>
      <t>-</t>
    </r>
    <r>
      <rPr>
        <sz val="11"/>
        <color indexed="8"/>
        <rFont val="宋体"/>
        <family val="3"/>
        <charset val="134"/>
      </rPr>
      <t>成府路</t>
    </r>
    <phoneticPr fontId="31" type="noConversion"/>
  </si>
  <si>
    <t>城市主干道-成府路</t>
  </si>
  <si>
    <t>城市主干道-中关村东路</t>
  </si>
  <si>
    <t>清华科技园创业大厦</t>
    <phoneticPr fontId="134" type="noConversion"/>
  </si>
  <si>
    <r>
      <rPr>
        <sz val="11"/>
        <color indexed="8"/>
        <rFont val="宋体"/>
        <family val="3"/>
        <charset val="134"/>
      </rPr>
      <t>高楼层</t>
    </r>
    <r>
      <rPr>
        <sz val="11"/>
        <color indexed="8"/>
        <rFont val="Arial"/>
        <family val="2"/>
      </rPr>
      <t>/20</t>
    </r>
    <phoneticPr fontId="31" type="noConversion"/>
  </si>
  <si>
    <r>
      <rPr>
        <sz val="11"/>
        <color indexed="8"/>
        <rFont val="宋体"/>
        <family val="3"/>
        <charset val="134"/>
      </rPr>
      <t>低楼层</t>
    </r>
    <r>
      <rPr>
        <sz val="11"/>
        <color indexed="8"/>
        <rFont val="Arial"/>
        <family val="2"/>
      </rPr>
      <t>/28</t>
    </r>
    <phoneticPr fontId="31" type="noConversion"/>
  </si>
  <si>
    <r>
      <rPr>
        <sz val="11"/>
        <color indexed="8"/>
        <rFont val="宋体"/>
        <family val="3"/>
        <charset val="134"/>
      </rPr>
      <t>中楼层</t>
    </r>
    <r>
      <rPr>
        <sz val="11"/>
        <color indexed="8"/>
        <rFont val="Arial"/>
        <family val="2"/>
      </rPr>
      <t>/28</t>
    </r>
    <phoneticPr fontId="31" type="noConversion"/>
  </si>
  <si>
    <t>建成年份</t>
    <phoneticPr fontId="134" type="noConversion"/>
  </si>
  <si>
    <t>综合体</t>
    <phoneticPr fontId="134" type="noConversion"/>
  </si>
  <si>
    <t>商业街商铺</t>
  </si>
  <si>
    <t>商业街商铺</t>
    <phoneticPr fontId="134" type="noConversion"/>
  </si>
  <si>
    <t>住宅底商</t>
    <phoneticPr fontId="134" type="noConversion"/>
  </si>
  <si>
    <t>写字楼底商</t>
  </si>
  <si>
    <t>写字楼底商</t>
    <phoneticPr fontId="134" type="noConversion"/>
  </si>
  <si>
    <t>五道口嘉园</t>
    <phoneticPr fontId="3" type="noConversion"/>
  </si>
  <si>
    <t>商业</t>
    <phoneticPr fontId="30" type="noConversion"/>
  </si>
  <si>
    <t>双面临界</t>
    <phoneticPr fontId="30" type="noConversion"/>
  </si>
  <si>
    <t>单面临街</t>
  </si>
  <si>
    <t>单面临街</t>
    <phoneticPr fontId="30" type="noConversion"/>
  </si>
  <si>
    <t>较好</t>
    <phoneticPr fontId="30" type="noConversion"/>
  </si>
  <si>
    <t>一般</t>
  </si>
  <si>
    <t>一般</t>
    <phoneticPr fontId="30" type="noConversion"/>
  </si>
  <si>
    <t>较差</t>
    <phoneticPr fontId="30" type="noConversion"/>
  </si>
  <si>
    <t>差</t>
    <phoneticPr fontId="30" type="noConversion"/>
  </si>
  <si>
    <t>好</t>
    <phoneticPr fontId="30" type="noConversion"/>
  </si>
  <si>
    <t>好</t>
    <phoneticPr fontId="30" type="noConversion"/>
  </si>
  <si>
    <r>
      <t>1</t>
    </r>
    <r>
      <rPr>
        <sz val="11"/>
        <color indexed="8"/>
        <rFont val="宋体"/>
        <family val="3"/>
        <charset val="134"/>
      </rPr>
      <t>层</t>
    </r>
    <phoneticPr fontId="30" type="noConversion"/>
  </si>
  <si>
    <t>一般</t>
    <phoneticPr fontId="30" type="noConversion"/>
  </si>
  <si>
    <t>较好</t>
    <phoneticPr fontId="30" type="noConversion"/>
  </si>
  <si>
    <t>较好</t>
    <phoneticPr fontId="30" type="noConversion"/>
  </si>
  <si>
    <t>较好</t>
    <phoneticPr fontId="30" type="noConversion"/>
  </si>
  <si>
    <t>不临街</t>
  </si>
  <si>
    <t>不临街</t>
    <phoneticPr fontId="30" type="noConversion"/>
  </si>
  <si>
    <t>1层</t>
  </si>
  <si>
    <t>钢混</t>
    <phoneticPr fontId="30" type="noConversion"/>
  </si>
  <si>
    <t>精装修</t>
    <phoneticPr fontId="30" type="noConversion"/>
  </si>
  <si>
    <t>正常</t>
    <phoneticPr fontId="30" type="noConversion"/>
  </si>
  <si>
    <t>标准层高</t>
  </si>
  <si>
    <t>标准层高</t>
    <phoneticPr fontId="30" type="noConversion"/>
  </si>
  <si>
    <t>非餐饮</t>
    <phoneticPr fontId="30" type="noConversion"/>
  </si>
  <si>
    <t>七通</t>
    <phoneticPr fontId="30" type="noConversion"/>
  </si>
  <si>
    <t>六通</t>
    <phoneticPr fontId="30" type="noConversion"/>
  </si>
  <si>
    <t>五通</t>
  </si>
  <si>
    <t>五通</t>
    <phoneticPr fontId="30" type="noConversion"/>
  </si>
  <si>
    <t>新中关商铺</t>
    <phoneticPr fontId="3" type="noConversion"/>
  </si>
  <si>
    <r>
      <t>B</t>
    </r>
    <r>
      <rPr>
        <sz val="11"/>
        <color theme="1"/>
        <rFont val="宋体"/>
        <family val="3"/>
        <charset val="134"/>
        <scheme val="minor"/>
      </rPr>
      <t>1层</t>
    </r>
    <phoneticPr fontId="134" type="noConversion"/>
  </si>
  <si>
    <t>平均租金</t>
    <phoneticPr fontId="134" type="noConversion"/>
  </si>
  <si>
    <t>用途</t>
    <phoneticPr fontId="134" type="noConversion"/>
  </si>
  <si>
    <r>
      <t>3</t>
    </r>
    <r>
      <rPr>
        <sz val="11"/>
        <color theme="1"/>
        <rFont val="宋体"/>
        <family val="3"/>
        <charset val="134"/>
        <scheme val="minor"/>
      </rPr>
      <t>-28层</t>
    </r>
    <phoneticPr fontId="134" type="noConversion"/>
  </si>
  <si>
    <t>楼层</t>
    <phoneticPr fontId="134" type="noConversion"/>
  </si>
  <si>
    <t>楼层</t>
    <phoneticPr fontId="134" type="noConversion"/>
  </si>
  <si>
    <t>用途</t>
    <phoneticPr fontId="134" type="noConversion"/>
  </si>
  <si>
    <t>办公</t>
    <phoneticPr fontId="134" type="noConversion"/>
  </si>
  <si>
    <t>高区</t>
    <phoneticPr fontId="134" type="noConversion"/>
  </si>
  <si>
    <t>中区</t>
    <phoneticPr fontId="134" type="noConversion"/>
  </si>
  <si>
    <t>DG02</t>
    <phoneticPr fontId="3" type="noConversion"/>
  </si>
  <si>
    <t>D701</t>
    <phoneticPr fontId="3" type="noConversion"/>
  </si>
  <si>
    <t>D座25</t>
    <phoneticPr fontId="3" type="noConversion"/>
  </si>
  <si>
    <t>D2501</t>
    <phoneticPr fontId="3" type="noConversion"/>
  </si>
  <si>
    <t>D座26</t>
    <phoneticPr fontId="3" type="noConversion"/>
  </si>
  <si>
    <t>D2601</t>
    <phoneticPr fontId="3" type="noConversion"/>
  </si>
  <si>
    <t>D座27</t>
    <phoneticPr fontId="3" type="noConversion"/>
  </si>
  <si>
    <t>D2701</t>
    <phoneticPr fontId="3" type="noConversion"/>
  </si>
  <si>
    <t>D座28</t>
    <phoneticPr fontId="3" type="noConversion"/>
  </si>
  <si>
    <t>D2801</t>
    <phoneticPr fontId="3" type="noConversion"/>
  </si>
  <si>
    <t>D座机房1</t>
    <phoneticPr fontId="3" type="noConversion"/>
  </si>
  <si>
    <t>库房</t>
    <phoneticPr fontId="3" type="noConversion"/>
  </si>
  <si>
    <t>D座机房2</t>
    <phoneticPr fontId="3" type="noConversion"/>
  </si>
  <si>
    <t>G</t>
  </si>
  <si>
    <r>
      <t>B</t>
    </r>
    <r>
      <rPr>
        <sz val="11"/>
        <color theme="1"/>
        <rFont val="宋体"/>
        <family val="3"/>
        <charset val="134"/>
        <scheme val="minor"/>
      </rPr>
      <t>1</t>
    </r>
    <phoneticPr fontId="134" type="noConversion"/>
  </si>
  <si>
    <t>电梯楼层</t>
    <phoneticPr fontId="134" type="noConversion"/>
  </si>
  <si>
    <t>G</t>
    <phoneticPr fontId="134" type="noConversion"/>
  </si>
  <si>
    <t>G</t>
    <phoneticPr fontId="134" type="noConversion"/>
  </si>
  <si>
    <t>层次</t>
    <phoneticPr fontId="3" type="noConversion"/>
  </si>
  <si>
    <t>建筑面积</t>
    <phoneticPr fontId="3" type="noConversion"/>
  </si>
  <si>
    <t>D座1G层</t>
    <phoneticPr fontId="3" type="noConversion"/>
  </si>
  <si>
    <t>D座01层</t>
    <phoneticPr fontId="3" type="noConversion"/>
  </si>
  <si>
    <t>D座机房1层</t>
    <phoneticPr fontId="3" type="noConversion"/>
  </si>
  <si>
    <t>其它1G</t>
    <phoneticPr fontId="3" type="noConversion"/>
  </si>
  <si>
    <t>其它01层</t>
    <phoneticPr fontId="3" type="noConversion"/>
  </si>
  <si>
    <t>其它1G是指:大台阶下的设备用房,C、D一层（实际层）南北侧走廊等部位</t>
    <phoneticPr fontId="3" type="noConversion"/>
  </si>
  <si>
    <t>其它01层是指：二层（实际层）的西门厅等部位。</t>
    <phoneticPr fontId="3" type="noConversion"/>
  </si>
  <si>
    <t>DB101</t>
    <phoneticPr fontId="3" type="noConversion"/>
  </si>
  <si>
    <t>DB102</t>
  </si>
  <si>
    <t>DB103</t>
  </si>
  <si>
    <t>DB105</t>
  </si>
  <si>
    <t>DB106</t>
  </si>
  <si>
    <t>DB107</t>
  </si>
  <si>
    <t>DB108</t>
  </si>
  <si>
    <t>DB109</t>
  </si>
  <si>
    <t>DB110</t>
  </si>
  <si>
    <t>DB111</t>
  </si>
  <si>
    <t>DB112</t>
  </si>
  <si>
    <t>DB115</t>
  </si>
  <si>
    <t>DB116</t>
  </si>
  <si>
    <t>地下一层</t>
    <phoneticPr fontId="134" type="noConversion"/>
  </si>
  <si>
    <t>建筑面积</t>
  </si>
  <si>
    <t>建筑面积</t>
    <phoneticPr fontId="134" type="noConversion"/>
  </si>
  <si>
    <t>-</t>
  </si>
  <si>
    <t>合计</t>
  </si>
  <si>
    <t>D座28层</t>
    <phoneticPr fontId="134" type="noConversion"/>
  </si>
  <si>
    <t>登记用途</t>
    <phoneticPr fontId="134" type="noConversion"/>
  </si>
  <si>
    <t>B1</t>
  </si>
  <si>
    <t>设定用途</t>
  </si>
  <si>
    <t>实际楼层</t>
    <phoneticPr fontId="134" type="noConversion"/>
  </si>
  <si>
    <t>名义楼层</t>
    <phoneticPr fontId="134" type="noConversion"/>
  </si>
  <si>
    <t>楼层建筑面积（㎡）</t>
    <phoneticPr fontId="134" type="noConversion"/>
  </si>
  <si>
    <t>设定用途</t>
    <phoneticPr fontId="134" type="noConversion"/>
  </si>
  <si>
    <t>B1</t>
    <phoneticPr fontId="134" type="noConversion"/>
  </si>
  <si>
    <t>办公</t>
    <phoneticPr fontId="134" type="noConversion"/>
  </si>
  <si>
    <t>商业</t>
    <phoneticPr fontId="134" type="noConversion"/>
  </si>
  <si>
    <t>D座1G</t>
    <phoneticPr fontId="134" type="noConversion"/>
  </si>
  <si>
    <t>D座02</t>
    <phoneticPr fontId="134" type="noConversion"/>
  </si>
  <si>
    <t>D座03</t>
    <phoneticPr fontId="134" type="noConversion"/>
  </si>
  <si>
    <t>D座05层</t>
    <phoneticPr fontId="134" type="noConversion"/>
  </si>
  <si>
    <t>D座06层</t>
    <phoneticPr fontId="134" type="noConversion"/>
  </si>
  <si>
    <t>D座07层</t>
    <phoneticPr fontId="134" type="noConversion"/>
  </si>
  <si>
    <t>D座08层</t>
    <phoneticPr fontId="134" type="noConversion"/>
  </si>
  <si>
    <t>D座09层</t>
    <phoneticPr fontId="134" type="noConversion"/>
  </si>
  <si>
    <t>D座10层</t>
    <phoneticPr fontId="134" type="noConversion"/>
  </si>
  <si>
    <t>D座11层</t>
    <phoneticPr fontId="134" type="noConversion"/>
  </si>
  <si>
    <t>D座12层</t>
    <phoneticPr fontId="134" type="noConversion"/>
  </si>
  <si>
    <t>D座15层</t>
    <phoneticPr fontId="134" type="noConversion"/>
  </si>
  <si>
    <t>D座16层</t>
    <phoneticPr fontId="134" type="noConversion"/>
  </si>
  <si>
    <t>D座17层</t>
    <phoneticPr fontId="134" type="noConversion"/>
  </si>
  <si>
    <t>D座18层</t>
    <phoneticPr fontId="134" type="noConversion"/>
  </si>
  <si>
    <t>D座19层</t>
    <phoneticPr fontId="134" type="noConversion"/>
  </si>
  <si>
    <t>D座20层</t>
    <phoneticPr fontId="134" type="noConversion"/>
  </si>
  <si>
    <t>D座21层</t>
    <phoneticPr fontId="134" type="noConversion"/>
  </si>
  <si>
    <t>D座22层</t>
    <phoneticPr fontId="134" type="noConversion"/>
  </si>
  <si>
    <t>D座23层</t>
    <phoneticPr fontId="134" type="noConversion"/>
  </si>
  <si>
    <t>D座25层</t>
    <phoneticPr fontId="134" type="noConversion"/>
  </si>
  <si>
    <t>D座26层</t>
    <phoneticPr fontId="134" type="noConversion"/>
  </si>
  <si>
    <t>D座27层</t>
    <phoneticPr fontId="134" type="noConversion"/>
  </si>
  <si>
    <t>-</t>
    <phoneticPr fontId="134" type="noConversion"/>
  </si>
  <si>
    <t>D座01</t>
    <phoneticPr fontId="134" type="noConversion"/>
  </si>
  <si>
    <t>D座B1</t>
    <phoneticPr fontId="134" type="noConversion"/>
  </si>
  <si>
    <t>合计</t>
    <phoneticPr fontId="134" type="noConversion"/>
  </si>
  <si>
    <t>地上</t>
    <phoneticPr fontId="134" type="noConversion"/>
  </si>
  <si>
    <t>小计</t>
    <phoneticPr fontId="134" type="noConversion"/>
  </si>
  <si>
    <t>部位</t>
    <phoneticPr fontId="134" type="noConversion"/>
  </si>
  <si>
    <t>地下</t>
    <phoneticPr fontId="134" type="noConversion"/>
  </si>
  <si>
    <t>G</t>
    <phoneticPr fontId="134" type="noConversion"/>
  </si>
  <si>
    <r>
      <t xml:space="preserve">          </t>
    </r>
    <r>
      <rPr>
        <sz val="9"/>
        <color theme="1"/>
        <rFont val="华文细黑"/>
        <family val="3"/>
        <charset val="134"/>
      </rPr>
      <t>分层租金明细</t>
    </r>
  </si>
  <si>
    <t>咨询对象</t>
  </si>
  <si>
    <t>楼层</t>
  </si>
  <si>
    <t>平均租金单价</t>
  </si>
  <si>
    <r>
      <t>北京市海淀区中关村东路</t>
    </r>
    <r>
      <rPr>
        <sz val="9"/>
        <color theme="1"/>
        <rFont val="Arial"/>
        <family val="2"/>
      </rPr>
      <t>1</t>
    </r>
    <r>
      <rPr>
        <sz val="9"/>
        <color theme="1"/>
        <rFont val="华文细黑"/>
        <family val="3"/>
        <charset val="134"/>
      </rPr>
      <t>号院</t>
    </r>
    <r>
      <rPr>
        <sz val="9"/>
        <color theme="1"/>
        <rFont val="Arial"/>
        <family val="2"/>
      </rPr>
      <t>8</t>
    </r>
    <r>
      <rPr>
        <sz val="9"/>
        <color theme="1"/>
        <rFont val="华文细黑"/>
        <family val="3"/>
        <charset val="134"/>
      </rPr>
      <t>号楼</t>
    </r>
    <r>
      <rPr>
        <sz val="9"/>
        <color theme="1"/>
        <rFont val="Arial"/>
        <family val="2"/>
      </rPr>
      <t>D</t>
    </r>
    <r>
      <rPr>
        <sz val="9"/>
        <color theme="1"/>
        <rFont val="华文细黑"/>
        <family val="3"/>
        <charset val="134"/>
      </rPr>
      <t>座</t>
    </r>
  </si>
  <si>
    <r>
      <t>3-15</t>
    </r>
    <r>
      <rPr>
        <sz val="9"/>
        <color theme="1"/>
        <rFont val="华文细黑"/>
        <family val="3"/>
        <charset val="134"/>
      </rPr>
      <t>（低区）</t>
    </r>
  </si>
  <si>
    <r>
      <t>16-25</t>
    </r>
    <r>
      <rPr>
        <sz val="9"/>
        <color theme="1"/>
        <rFont val="华文细黑"/>
        <family val="3"/>
        <charset val="134"/>
      </rPr>
      <t>（高区）</t>
    </r>
  </si>
  <si>
    <t>中关村图书大厦</t>
    <phoneticPr fontId="3" type="noConversion"/>
  </si>
  <si>
    <t>东源大厦</t>
    <phoneticPr fontId="3" type="noConversion"/>
  </si>
  <si>
    <t>财智国际大厦</t>
    <phoneticPr fontId="30" type="noConversion"/>
  </si>
  <si>
    <t>住宅底商</t>
  </si>
  <si>
    <t>清华科技园</t>
    <phoneticPr fontId="3" type="noConversion"/>
  </si>
  <si>
    <t>搜狐网络大厦</t>
    <phoneticPr fontId="3" type="noConversion"/>
  </si>
  <si>
    <r>
      <t>3-15</t>
    </r>
    <r>
      <rPr>
        <sz val="9"/>
        <color theme="1"/>
        <rFont val="华文细黑"/>
        <family val="3"/>
        <charset val="134"/>
      </rPr>
      <t>（低区）</t>
    </r>
    <phoneticPr fontId="134" type="noConversion"/>
  </si>
  <si>
    <r>
      <t>16-25</t>
    </r>
    <r>
      <rPr>
        <sz val="9"/>
        <color theme="1"/>
        <rFont val="华文细黑"/>
        <family val="3"/>
        <charset val="134"/>
      </rPr>
      <t>（高区）</t>
    </r>
    <phoneticPr fontId="134" type="noConversion"/>
  </si>
  <si>
    <t>低区</t>
    <phoneticPr fontId="134" type="noConversion"/>
  </si>
  <si>
    <r>
      <t>B</t>
    </r>
    <r>
      <rPr>
        <sz val="11"/>
        <color theme="1"/>
        <rFont val="宋体"/>
        <family val="3"/>
        <charset val="134"/>
        <scheme val="minor"/>
      </rPr>
      <t>1</t>
    </r>
    <phoneticPr fontId="134" type="noConversion"/>
  </si>
  <si>
    <t>1层</t>
    <phoneticPr fontId="134" type="noConversion"/>
  </si>
  <si>
    <t>G层</t>
    <phoneticPr fontId="134" type="noConversion"/>
  </si>
  <si>
    <t>北京领展购物广场</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</si>
</sst>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86">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b/>
      <sz val="11"/>
      <color theme="1"/>
      <name val="FangSong"/>
      <family val="3"/>
      <charset val="134"/>
    </font>
    <font>
      <sz val="11"/>
      <color theme="1"/>
      <name val="FangSong"/>
      <family val="3"/>
      <charset val="134"/>
    </font>
    <font>
      <sz val="11"/>
      <name val="FangSong"/>
      <family val="3"/>
      <charset val="134"/>
    </font>
    <font>
      <sz val="11"/>
      <color rgb="FFFF0000"/>
      <name val="FangSong"/>
      <family val="3"/>
      <charset val="134"/>
    </font>
    <font>
      <vertAlign val="superscript"/>
      <sz val="11"/>
      <color indexed="8"/>
      <name val="FangSong"/>
      <family val="3"/>
      <charset val="134"/>
    </font>
    <font>
      <sz val="11"/>
      <color indexed="8"/>
      <name val="FangSong"/>
      <family val="3"/>
      <charset val="134"/>
    </font>
    <font>
      <b/>
      <sz val="11"/>
      <color rgb="FFFF0000"/>
      <name val="FangSong"/>
      <family val="3"/>
      <charset val="134"/>
    </font>
    <font>
      <b/>
      <sz val="11"/>
      <name val="FangSong"/>
      <family val="3"/>
      <charset val="134"/>
    </font>
    <font>
      <sz val="11"/>
      <color indexed="10"/>
      <name val="FangSong"/>
      <family val="3"/>
      <charset val="134"/>
    </font>
    <font>
      <b/>
      <sz val="11"/>
      <color indexed="10"/>
      <name val="FangSong"/>
      <family val="3"/>
      <charset val="134"/>
    </font>
    <font>
      <sz val="9"/>
      <name val="宋体"/>
      <family val="4"/>
      <charset val="134"/>
      <scheme val="minor"/>
    </font>
    <font>
      <sz val="10"/>
      <name val="微软雅黑"/>
      <family val="2"/>
      <charset val="134"/>
    </font>
    <font>
      <b/>
      <sz val="9"/>
      <name val="微软雅黑"/>
      <family val="2"/>
      <charset val="134"/>
    </font>
    <font>
      <sz val="9"/>
      <name val="微软雅黑"/>
      <family val="2"/>
      <charset val="134"/>
    </font>
    <font>
      <sz val="9"/>
      <color rgb="FFFF0000"/>
      <name val="微软雅黑"/>
      <family val="2"/>
      <charset val="134"/>
    </font>
    <font>
      <sz val="8"/>
      <color rgb="FF000000"/>
      <name val="Arial Unicode MS"/>
      <family val="2"/>
      <charset val="134"/>
    </font>
    <font>
      <sz val="9"/>
      <color theme="1"/>
      <name val="Arial"/>
      <family val="2"/>
    </font>
  </fonts>
  <fills count="2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5" tint="0.39997558519241921"/>
        <bgColor indexed="64"/>
      </patternFill>
    </fill>
    <fill>
      <patternFill patternType="solid">
        <fgColor theme="4" tint="0.59999389629810485"/>
        <bgColor indexed="64"/>
      </patternFill>
    </fill>
    <fill>
      <patternFill patternType="solid">
        <fgColor rgb="FF66CCFF"/>
        <bgColor indexed="64"/>
      </patternFill>
    </fill>
    <fill>
      <patternFill patternType="solid">
        <fgColor theme="7" tint="0.79998168889431442"/>
        <bgColor indexed="64"/>
      </patternFill>
    </fill>
    <fill>
      <patternFill patternType="solid">
        <fgColor indexed="51"/>
        <bgColor indexed="64"/>
      </patternFill>
    </fill>
    <fill>
      <patternFill patternType="solid">
        <fgColor theme="5" tint="0.59999389629810485"/>
        <bgColor indexed="64"/>
      </patternFill>
    </fill>
  </fills>
  <borders count="18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right style="thin">
        <color indexed="64"/>
      </right>
      <top style="double">
        <color indexed="64"/>
      </top>
      <bottom style="thin">
        <color indexed="64"/>
      </bottom>
      <diagonal/>
    </border>
    <border diagonalDown="1">
      <left style="dotted">
        <color indexed="64"/>
      </left>
      <right style="dotted">
        <color indexed="64"/>
      </right>
      <top style="double">
        <color indexed="64"/>
      </top>
      <bottom/>
      <diagonal style="thin">
        <color indexed="64"/>
      </diagonal>
    </border>
    <border diagonalDown="1">
      <left style="dotted">
        <color indexed="64"/>
      </left>
      <right style="dotted">
        <color indexed="64"/>
      </right>
      <top/>
      <bottom style="dotted">
        <color indexed="64"/>
      </bottom>
      <diagonal style="thin">
        <color indexed="64"/>
      </diagonal>
    </border>
    <border>
      <left/>
      <right style="dotted">
        <color indexed="64"/>
      </right>
      <top/>
      <bottom style="dotted">
        <color indexed="64"/>
      </bottom>
      <diagonal/>
    </border>
    <border>
      <left style="dotted">
        <color indexed="64"/>
      </left>
      <right style="dotted">
        <color indexed="64"/>
      </right>
      <top/>
      <bottom/>
      <diagonal/>
    </border>
    <border>
      <left style="dotted">
        <color indexed="64"/>
      </left>
      <right/>
      <top style="dotted">
        <color indexed="64"/>
      </top>
      <bottom style="double">
        <color indexed="64"/>
      </bottom>
      <diagonal/>
    </border>
    <border>
      <left/>
      <right/>
      <top style="dotted">
        <color indexed="64"/>
      </top>
      <bottom style="double">
        <color indexed="64"/>
      </bottom>
      <diagonal/>
    </border>
    <border>
      <left/>
      <right style="dotted">
        <color indexed="64"/>
      </right>
      <top style="dotted">
        <color indexed="64"/>
      </top>
      <bottom style="double">
        <color indexed="64"/>
      </bottom>
      <diagonal/>
    </border>
    <border>
      <left/>
      <right style="dotted">
        <color indexed="64"/>
      </right>
      <top/>
      <bottom style="double">
        <color indexed="64"/>
      </bottom>
      <diagonal/>
    </border>
    <border>
      <left style="dotted">
        <color indexed="64"/>
      </left>
      <right style="dotted">
        <color indexed="64"/>
      </right>
      <top style="double">
        <color indexed="64"/>
      </top>
      <bottom/>
      <diagonal/>
    </border>
    <border>
      <left style="dotted">
        <color indexed="64"/>
      </left>
      <right style="dotted">
        <color indexed="64"/>
      </right>
      <top/>
      <bottom style="dotted">
        <color indexed="64"/>
      </bottom>
      <diagonal/>
    </border>
    <border>
      <left style="dotted">
        <color indexed="64"/>
      </left>
      <right style="dotted">
        <color indexed="64"/>
      </right>
      <top style="dotted">
        <color indexed="64"/>
      </top>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4010">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95" fillId="0" borderId="0" xfId="0" applyFont="1">
      <alignment vertical="center"/>
    </xf>
    <xf numFmtId="0" fontId="0" fillId="0" borderId="0" xfId="0" applyAlignment="1">
      <alignment horizontal="center" vertical="center"/>
    </xf>
    <xf numFmtId="0" fontId="95" fillId="0" borderId="0" xfId="0" applyFont="1" applyAlignment="1">
      <alignment horizontal="center" vertical="center"/>
    </xf>
    <xf numFmtId="0" fontId="270" fillId="0" borderId="0" xfId="10" applyFont="1">
      <alignment vertical="center"/>
    </xf>
    <xf numFmtId="0" fontId="271" fillId="0" borderId="1" xfId="10" applyFont="1" applyBorder="1" applyAlignment="1">
      <alignment horizontal="left" vertical="center" wrapText="1" shrinkToFit="1"/>
    </xf>
    <xf numFmtId="9" fontId="272" fillId="0" borderId="1" xfId="10" applyNumberFormat="1" applyFont="1" applyBorder="1" applyAlignment="1">
      <alignment horizontal="center" vertical="center" wrapText="1" shrinkToFit="1"/>
    </xf>
    <xf numFmtId="0" fontId="270" fillId="0" borderId="0" xfId="10" applyFont="1" applyAlignment="1"/>
    <xf numFmtId="0" fontId="270" fillId="0" borderId="0" xfId="10" applyFont="1" applyAlignment="1">
      <alignment vertical="center" wrapText="1"/>
    </xf>
    <xf numFmtId="49" fontId="270" fillId="0" borderId="1" xfId="10" applyNumberFormat="1" applyFont="1" applyBorder="1" applyAlignment="1">
      <alignment horizontal="center" vertical="center" wrapText="1" shrinkToFit="1"/>
    </xf>
    <xf numFmtId="0" fontId="270" fillId="0" borderId="1" xfId="10" applyFont="1" applyBorder="1" applyAlignment="1">
      <alignment vertical="center" wrapText="1" shrinkToFit="1"/>
    </xf>
    <xf numFmtId="0" fontId="270" fillId="0" borderId="1" xfId="10" applyFont="1" applyBorder="1" applyAlignment="1">
      <alignment horizontal="center" vertical="center" wrapText="1" shrinkToFit="1"/>
    </xf>
    <xf numFmtId="49" fontId="271" fillId="0" borderId="1" xfId="10" applyNumberFormat="1" applyFont="1" applyBorder="1" applyAlignment="1">
      <alignment horizontal="center" vertical="center" wrapText="1" shrinkToFit="1"/>
    </xf>
    <xf numFmtId="0" fontId="270" fillId="0" borderId="0" xfId="10" applyFont="1" applyAlignment="1">
      <alignment wrapText="1"/>
    </xf>
    <xf numFmtId="0" fontId="270" fillId="0" borderId="1" xfId="10" applyFont="1" applyBorder="1" applyAlignment="1">
      <alignment horizontal="left" vertical="center" wrapText="1" shrinkToFit="1"/>
    </xf>
    <xf numFmtId="179" fontId="270" fillId="23" borderId="1" xfId="10" applyNumberFormat="1" applyFont="1" applyFill="1" applyBorder="1" applyAlignment="1">
      <alignment horizontal="center" vertical="center" wrapText="1" shrinkToFit="1"/>
    </xf>
    <xf numFmtId="9" fontId="270" fillId="0" borderId="1" xfId="10" applyNumberFormat="1" applyFont="1" applyBorder="1" applyAlignment="1">
      <alignment horizontal="left" vertical="center" wrapText="1" shrinkToFit="1"/>
    </xf>
    <xf numFmtId="181" fontId="275" fillId="5" borderId="1" xfId="10" applyNumberFormat="1" applyFont="1" applyFill="1" applyBorder="1" applyAlignment="1">
      <alignment horizontal="center" vertical="center" wrapText="1" shrinkToFit="1"/>
    </xf>
    <xf numFmtId="9" fontId="276" fillId="0" borderId="1" xfId="10" applyNumberFormat="1" applyFont="1" applyBorder="1" applyAlignment="1">
      <alignment horizontal="center" vertical="center" wrapText="1"/>
    </xf>
    <xf numFmtId="179" fontId="272" fillId="0" borderId="1" xfId="10" applyNumberFormat="1" applyFont="1" applyBorder="1" applyAlignment="1">
      <alignment horizontal="center" vertical="center" wrapText="1" shrinkToFit="1"/>
    </xf>
    <xf numFmtId="0" fontId="270" fillId="0" borderId="0" xfId="10" applyFont="1" applyAlignment="1">
      <alignment horizontal="center" vertical="center"/>
    </xf>
    <xf numFmtId="9" fontId="271" fillId="24" borderId="1" xfId="10" applyNumberFormat="1" applyFont="1" applyFill="1" applyBorder="1" applyAlignment="1">
      <alignment horizontal="center" vertical="center" wrapText="1"/>
    </xf>
    <xf numFmtId="0" fontId="270" fillId="0" borderId="0" xfId="10" applyFont="1" applyAlignment="1">
      <alignment vertical="center" wrapText="1" shrinkToFit="1"/>
    </xf>
    <xf numFmtId="181" fontId="272" fillId="17" borderId="1" xfId="10" applyNumberFormat="1" applyFont="1" applyFill="1" applyBorder="1" applyAlignment="1">
      <alignment horizontal="center" vertical="center" wrapText="1" shrinkToFit="1"/>
    </xf>
    <xf numFmtId="179" fontId="270" fillId="0" borderId="0" xfId="10" applyNumberFormat="1" applyFont="1" applyAlignment="1">
      <alignment horizontal="center" vertical="center"/>
    </xf>
    <xf numFmtId="0" fontId="270" fillId="0" borderId="1" xfId="10" applyFont="1" applyBorder="1" applyAlignment="1">
      <alignment vertical="center" wrapText="1"/>
    </xf>
    <xf numFmtId="0" fontId="270" fillId="0" borderId="1" xfId="10" applyFont="1" applyBorder="1" applyAlignment="1">
      <alignment horizontal="center" vertical="center" wrapText="1"/>
    </xf>
    <xf numFmtId="9" fontId="271" fillId="0" borderId="1" xfId="10" applyNumberFormat="1" applyFont="1" applyBorder="1" applyAlignment="1">
      <alignment horizontal="center" vertical="center" wrapText="1"/>
    </xf>
    <xf numFmtId="9" fontId="270" fillId="0" borderId="1" xfId="10" applyNumberFormat="1" applyFont="1" applyBorder="1" applyAlignment="1">
      <alignment horizontal="center" vertical="center" wrapText="1"/>
    </xf>
    <xf numFmtId="179" fontId="270" fillId="0" borderId="0" xfId="10" applyNumberFormat="1" applyFont="1">
      <alignment vertical="center"/>
    </xf>
    <xf numFmtId="10" fontId="270" fillId="0" borderId="1" xfId="10" applyNumberFormat="1" applyFont="1" applyBorder="1" applyAlignment="1">
      <alignment horizontal="center" vertical="center" wrapText="1"/>
    </xf>
    <xf numFmtId="9" fontId="270" fillId="24" borderId="1" xfId="10" applyNumberFormat="1" applyFont="1" applyFill="1" applyBorder="1" applyAlignment="1">
      <alignment horizontal="center" vertical="center" wrapText="1"/>
    </xf>
    <xf numFmtId="10" fontId="269" fillId="0" borderId="1" xfId="10" applyNumberFormat="1" applyFont="1" applyBorder="1" applyAlignment="1">
      <alignment horizontal="center" vertical="center" wrapText="1"/>
    </xf>
    <xf numFmtId="0" fontId="270" fillId="0" borderId="1" xfId="10" applyFont="1" applyBorder="1" applyAlignment="1">
      <alignment wrapText="1"/>
    </xf>
    <xf numFmtId="0" fontId="270" fillId="0" borderId="0" xfId="1" applyFont="1" applyAlignment="1" applyProtection="1">
      <alignment horizontal="left" vertical="center"/>
      <protection hidden="1"/>
    </xf>
    <xf numFmtId="179" fontId="270" fillId="0" borderId="0" xfId="10" applyNumberFormat="1" applyFont="1" applyAlignment="1">
      <alignment vertical="center" wrapText="1" shrinkToFit="1"/>
    </xf>
    <xf numFmtId="181" fontId="270" fillId="0" borderId="0" xfId="10" applyNumberFormat="1" applyFont="1" applyAlignment="1">
      <alignment horizontal="center" vertical="center"/>
    </xf>
    <xf numFmtId="49" fontId="270" fillId="0" borderId="13" xfId="10" applyNumberFormat="1" applyFont="1" applyBorder="1" applyAlignment="1">
      <alignment horizontal="center" vertical="center" wrapText="1" shrinkToFit="1"/>
    </xf>
    <xf numFmtId="0" fontId="270" fillId="0" borderId="13" xfId="10" applyFont="1" applyBorder="1" applyAlignment="1">
      <alignment vertical="center" wrapText="1" shrinkToFit="1"/>
    </xf>
    <xf numFmtId="0" fontId="270" fillId="0" borderId="5" xfId="10" applyFont="1" applyBorder="1" applyAlignment="1">
      <alignment horizontal="center" vertical="center" wrapText="1" shrinkToFit="1"/>
    </xf>
    <xf numFmtId="0" fontId="270" fillId="0" borderId="54" xfId="10" applyFont="1" applyBorder="1" applyAlignment="1">
      <alignment horizontal="center" vertical="center" wrapText="1" shrinkToFit="1"/>
    </xf>
    <xf numFmtId="180" fontId="270" fillId="0" borderId="54" xfId="10" applyNumberFormat="1" applyFont="1" applyBorder="1" applyAlignment="1">
      <alignment horizontal="center" vertical="center" wrapText="1" shrinkToFit="1"/>
    </xf>
    <xf numFmtId="0" fontId="270" fillId="0" borderId="3" xfId="10" applyFont="1" applyBorder="1" applyAlignment="1">
      <alignment horizontal="left" vertical="center" wrapText="1" shrinkToFit="1"/>
    </xf>
    <xf numFmtId="0" fontId="272" fillId="0" borderId="1" xfId="10" applyFont="1" applyBorder="1" applyAlignment="1">
      <alignment horizontal="center" vertical="center" wrapText="1" shrinkToFit="1"/>
    </xf>
    <xf numFmtId="10" fontId="270" fillId="0" borderId="1" xfId="10" applyNumberFormat="1" applyFont="1" applyBorder="1" applyAlignment="1">
      <alignment horizontal="center" vertical="center" wrapText="1" shrinkToFit="1"/>
    </xf>
    <xf numFmtId="9" fontId="270" fillId="0" borderId="0" xfId="10" applyNumberFormat="1" applyFont="1" applyAlignment="1">
      <alignment horizontal="center" vertical="center"/>
    </xf>
    <xf numFmtId="0" fontId="270" fillId="0" borderId="5" xfId="10" applyFont="1" applyBorder="1" applyAlignment="1">
      <alignment horizontal="right" vertical="center" wrapText="1" shrinkToFit="1"/>
    </xf>
    <xf numFmtId="49" fontId="270" fillId="0" borderId="54" xfId="10" applyNumberFormat="1" applyFont="1" applyBorder="1" applyAlignment="1">
      <alignment horizontal="center" vertical="center" wrapText="1" shrinkToFit="1"/>
    </xf>
    <xf numFmtId="10" fontId="269" fillId="0" borderId="0" xfId="10" applyNumberFormat="1" applyFont="1" applyAlignment="1">
      <alignment horizontal="center" vertical="center"/>
    </xf>
    <xf numFmtId="182" fontId="270" fillId="0" borderId="0" xfId="10" applyNumberFormat="1" applyFont="1" applyAlignment="1">
      <alignment horizontal="center" vertical="center"/>
    </xf>
    <xf numFmtId="10" fontId="270" fillId="0" borderId="0" xfId="10" applyNumberFormat="1" applyFont="1" applyAlignment="1">
      <alignment horizontal="center" vertical="center"/>
    </xf>
    <xf numFmtId="0" fontId="270" fillId="0" borderId="0" xfId="10" applyFont="1" applyAlignment="1">
      <alignment horizontal="left" vertical="center" wrapText="1"/>
    </xf>
    <xf numFmtId="0" fontId="270" fillId="0" borderId="0" xfId="10" applyFont="1" applyAlignment="1">
      <alignment horizontal="center" vertical="center" wrapText="1"/>
    </xf>
    <xf numFmtId="0" fontId="272" fillId="0" borderId="0" xfId="10" applyFont="1" applyAlignment="1">
      <alignment vertical="center" wrapText="1"/>
    </xf>
    <xf numFmtId="0" fontId="271" fillId="0" borderId="1" xfId="10" applyFont="1" applyBorder="1" applyAlignment="1">
      <alignment horizontal="center" vertical="center" wrapText="1"/>
    </xf>
    <xf numFmtId="0" fontId="270" fillId="7" borderId="0" xfId="10" applyFont="1" applyFill="1" applyAlignment="1">
      <alignment vertical="center" wrapText="1"/>
    </xf>
    <xf numFmtId="178" fontId="270" fillId="7" borderId="0" xfId="10" applyNumberFormat="1" applyFont="1" applyFill="1" applyAlignment="1">
      <alignment vertical="center" wrapText="1"/>
    </xf>
    <xf numFmtId="9" fontId="272" fillId="0" borderId="1" xfId="10" applyNumberFormat="1" applyFont="1" applyBorder="1" applyAlignment="1">
      <alignment horizontal="center" vertical="center" wrapText="1"/>
    </xf>
    <xf numFmtId="178" fontId="271" fillId="0" borderId="1" xfId="10" applyNumberFormat="1" applyFont="1" applyBorder="1" applyAlignment="1">
      <alignment horizontal="center" vertical="center" wrapText="1"/>
    </xf>
    <xf numFmtId="0" fontId="272" fillId="0" borderId="0" xfId="10" applyFont="1" applyAlignment="1">
      <alignment horizontal="center" vertical="center" wrapText="1"/>
    </xf>
    <xf numFmtId="179" fontId="270" fillId="0" borderId="0" xfId="10" applyNumberFormat="1" applyFont="1" applyAlignment="1">
      <alignment vertical="center" wrapText="1"/>
    </xf>
    <xf numFmtId="0" fontId="270" fillId="7" borderId="1" xfId="10" applyFont="1" applyFill="1" applyBorder="1" applyAlignment="1">
      <alignment horizontal="center" vertical="center"/>
    </xf>
    <xf numFmtId="0" fontId="270" fillId="0" borderId="1" xfId="10" applyFont="1" applyBorder="1" applyAlignment="1">
      <alignment horizontal="center" vertical="center"/>
    </xf>
    <xf numFmtId="0" fontId="270" fillId="5" borderId="1" xfId="10" applyFont="1" applyFill="1" applyBorder="1" applyAlignment="1">
      <alignment horizontal="center" vertical="center"/>
    </xf>
    <xf numFmtId="0" fontId="270" fillId="27" borderId="1" xfId="10" applyFont="1" applyFill="1" applyBorder="1" applyAlignment="1">
      <alignment horizontal="center" vertical="center"/>
    </xf>
    <xf numFmtId="0" fontId="270" fillId="7" borderId="0" xfId="10" applyFont="1" applyFill="1" applyAlignment="1">
      <alignment horizontal="center" vertical="center"/>
    </xf>
    <xf numFmtId="0" fontId="270" fillId="5" borderId="0" xfId="10" applyFont="1" applyFill="1" applyAlignment="1">
      <alignment horizontal="center" vertical="center"/>
    </xf>
    <xf numFmtId="0" fontId="280" fillId="0" borderId="1" xfId="0" applyFont="1" applyFill="1" applyBorder="1" applyAlignment="1">
      <alignment horizontal="left" vertical="center"/>
    </xf>
    <xf numFmtId="0" fontId="280" fillId="0" borderId="1" xfId="0" applyFont="1" applyFill="1" applyBorder="1">
      <alignment vertical="center"/>
    </xf>
    <xf numFmtId="0" fontId="280" fillId="7" borderId="1" xfId="0" applyFont="1" applyFill="1" applyBorder="1" applyAlignment="1">
      <alignment horizontal="left" vertical="center"/>
    </xf>
    <xf numFmtId="0" fontId="280" fillId="5" borderId="1" xfId="0" applyFont="1" applyFill="1" applyBorder="1">
      <alignment vertical="center"/>
    </xf>
    <xf numFmtId="0" fontId="281" fillId="6" borderId="176" xfId="0" applyFont="1" applyFill="1" applyBorder="1" applyAlignment="1">
      <alignment horizontal="left" vertical="center" wrapText="1"/>
    </xf>
    <xf numFmtId="0" fontId="281" fillId="6" borderId="44" xfId="0" applyFont="1" applyFill="1" applyBorder="1" applyAlignment="1">
      <alignment horizontal="left" vertical="center" wrapText="1"/>
    </xf>
    <xf numFmtId="0" fontId="281" fillId="6" borderId="150" xfId="0" applyFont="1" applyFill="1" applyBorder="1" applyAlignment="1">
      <alignment horizontal="left" vertical="center" wrapText="1"/>
    </xf>
    <xf numFmtId="0" fontId="282" fillId="0" borderId="1" xfId="0" applyFont="1" applyFill="1" applyBorder="1">
      <alignment vertical="center"/>
    </xf>
    <xf numFmtId="0" fontId="282" fillId="0" borderId="3" xfId="0" applyFont="1" applyFill="1" applyBorder="1" applyAlignment="1">
      <alignment horizontal="left" vertical="center" wrapText="1"/>
    </xf>
    <xf numFmtId="0" fontId="282" fillId="0" borderId="1" xfId="0" applyFont="1" applyFill="1" applyBorder="1" applyAlignment="1">
      <alignment horizontal="left" vertical="center" wrapText="1"/>
    </xf>
    <xf numFmtId="0" fontId="282" fillId="7" borderId="1" xfId="0" applyFont="1" applyFill="1" applyBorder="1" applyAlignment="1">
      <alignment horizontal="right" vertical="center"/>
    </xf>
    <xf numFmtId="0" fontId="282" fillId="0" borderId="78" xfId="0" applyFont="1" applyFill="1" applyBorder="1">
      <alignment vertical="center"/>
    </xf>
    <xf numFmtId="0" fontId="283" fillId="0" borderId="118" xfId="0" applyFont="1" applyFill="1" applyBorder="1" applyAlignment="1">
      <alignment horizontal="left" vertical="center" wrapText="1"/>
    </xf>
    <xf numFmtId="0" fontId="282" fillId="0" borderId="78" xfId="0" applyFont="1" applyFill="1" applyBorder="1" applyAlignment="1">
      <alignment horizontal="left" vertical="center" wrapText="1"/>
    </xf>
    <xf numFmtId="0" fontId="282" fillId="0" borderId="0" xfId="0" applyFont="1" applyFill="1">
      <alignment vertical="center"/>
    </xf>
    <xf numFmtId="0" fontId="282" fillId="0" borderId="0" xfId="0" applyFont="1" applyFill="1" applyAlignment="1">
      <alignment horizontal="left" vertical="center" wrapText="1"/>
    </xf>
    <xf numFmtId="0" fontId="282" fillId="6" borderId="176" xfId="0" applyFont="1" applyFill="1" applyBorder="1" applyAlignment="1">
      <alignment horizontal="left" vertical="center" wrapText="1"/>
    </xf>
    <xf numFmtId="0" fontId="282" fillId="0" borderId="150" xfId="0" applyFont="1" applyFill="1" applyBorder="1">
      <alignment vertical="center"/>
    </xf>
    <xf numFmtId="0" fontId="282" fillId="6" borderId="3" xfId="0" applyFont="1" applyFill="1" applyBorder="1" applyAlignment="1">
      <alignment horizontal="left" vertical="center" wrapText="1"/>
    </xf>
    <xf numFmtId="0" fontId="282" fillId="0" borderId="5" xfId="0" applyFont="1" applyFill="1" applyBorder="1">
      <alignment vertical="center"/>
    </xf>
    <xf numFmtId="0" fontId="282" fillId="27" borderId="3" xfId="0" applyFont="1" applyFill="1" applyBorder="1" applyAlignment="1">
      <alignment horizontal="left" vertical="center" wrapText="1"/>
    </xf>
    <xf numFmtId="0" fontId="282" fillId="6" borderId="118" xfId="0" applyFont="1" applyFill="1" applyBorder="1" applyAlignment="1">
      <alignment horizontal="left" vertical="center" wrapText="1"/>
    </xf>
    <xf numFmtId="0" fontId="282" fillId="0" borderId="85" xfId="0" applyFont="1" applyFill="1" applyBorder="1">
      <alignment vertical="center"/>
    </xf>
    <xf numFmtId="0" fontId="281" fillId="5" borderId="150" xfId="0" applyFont="1" applyFill="1" applyBorder="1" applyAlignment="1">
      <alignment horizontal="left" vertical="center" wrapText="1"/>
    </xf>
    <xf numFmtId="0" fontId="95" fillId="5" borderId="0" xfId="0" applyFont="1" applyFill="1" applyAlignment="1">
      <alignment horizontal="center" vertical="center"/>
    </xf>
    <xf numFmtId="0" fontId="0" fillId="5" borderId="0" xfId="0" applyFill="1" applyAlignment="1">
      <alignment horizontal="center" vertical="center"/>
    </xf>
    <xf numFmtId="0" fontId="128" fillId="0" borderId="51" xfId="0" applyNumberFormat="1" applyFont="1" applyFill="1" applyBorder="1" applyAlignment="1" applyProtection="1">
      <alignment horizontal="center" vertical="center" wrapText="1"/>
      <protection locked="0"/>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178" fontId="271" fillId="0" borderId="1" xfId="10" applyNumberFormat="1" applyFont="1" applyBorder="1" applyAlignment="1">
      <alignment horizontal="center" vertical="center" wrapText="1"/>
    </xf>
    <xf numFmtId="0" fontId="270" fillId="27" borderId="1" xfId="10" applyFont="1" applyFill="1" applyBorder="1" applyAlignment="1">
      <alignment horizontal="center" vertical="center"/>
    </xf>
    <xf numFmtId="0" fontId="271" fillId="0" borderId="1" xfId="10" applyFont="1" applyBorder="1" applyAlignment="1">
      <alignment horizontal="center" vertical="center" wrapText="1"/>
    </xf>
    <xf numFmtId="0" fontId="270" fillId="0" borderId="5" xfId="10" applyFont="1" applyBorder="1" applyAlignment="1">
      <alignment horizontal="center" vertical="center" wrapText="1" shrinkToFit="1"/>
    </xf>
    <xf numFmtId="0" fontId="270" fillId="0" borderId="54" xfId="10" applyFont="1" applyBorder="1" applyAlignment="1">
      <alignment horizontal="center" vertical="center" wrapText="1" shrinkToFit="1"/>
    </xf>
    <xf numFmtId="0" fontId="270" fillId="0" borderId="1" xfId="10" applyFont="1" applyBorder="1" applyAlignment="1">
      <alignment horizontal="center" vertical="center" wrapText="1" shrinkToFit="1"/>
    </xf>
    <xf numFmtId="0" fontId="270" fillId="0" borderId="1" xfId="10" applyFont="1" applyBorder="1" applyAlignment="1">
      <alignment horizontal="left" vertical="center" wrapText="1" shrinkToFit="1"/>
    </xf>
    <xf numFmtId="0" fontId="270" fillId="0" borderId="5" xfId="10" applyFont="1" applyBorder="1" applyAlignment="1">
      <alignment horizontal="right" vertical="center" wrapText="1" shrinkToFit="1"/>
    </xf>
    <xf numFmtId="10" fontId="270" fillId="0" borderId="1" xfId="10" applyNumberFormat="1" applyFont="1" applyBorder="1" applyAlignment="1">
      <alignment horizontal="center" vertical="center" wrapText="1" shrinkToFit="1"/>
    </xf>
    <xf numFmtId="0" fontId="270" fillId="0" borderId="3" xfId="10" applyFont="1" applyBorder="1" applyAlignment="1">
      <alignment horizontal="left" vertical="center" wrapText="1" shrinkToFit="1"/>
    </xf>
    <xf numFmtId="9" fontId="270" fillId="0" borderId="1" xfId="10" applyNumberFormat="1" applyFont="1" applyBorder="1" applyAlignment="1">
      <alignment horizontal="center" vertical="center" wrapText="1" shrinkToFit="1"/>
    </xf>
    <xf numFmtId="0" fontId="270" fillId="0" borderId="1" xfId="10" applyFont="1" applyBorder="1" applyAlignment="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128" fillId="0" borderId="24" xfId="0"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128" fillId="0" borderId="5" xfId="0"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83" xfId="0" applyNumberFormat="1" applyFont="1" applyFill="1" applyBorder="1" applyAlignment="1" applyProtection="1">
      <alignment horizontal="center" vertical="center"/>
      <protection locked="0"/>
    </xf>
    <xf numFmtId="0" fontId="94" fillId="0" borderId="37"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58" fontId="95" fillId="0" borderId="0" xfId="0" applyNumberFormat="1" applyFont="1">
      <alignment vertical="center"/>
    </xf>
    <xf numFmtId="0" fontId="58" fillId="5" borderId="3" xfId="0" applyNumberFormat="1" applyFont="1" applyFill="1" applyBorder="1" applyAlignment="1" applyProtection="1">
      <alignment horizontal="center" vertical="center" wrapText="1"/>
      <protection locked="0"/>
    </xf>
    <xf numFmtId="0" fontId="282" fillId="5" borderId="1" xfId="0" applyFont="1" applyFill="1" applyBorder="1" applyAlignment="1">
      <alignment horizontal="left" vertical="center"/>
    </xf>
    <xf numFmtId="0" fontId="282" fillId="5" borderId="1" xfId="0" applyFont="1" applyFill="1" applyBorder="1">
      <alignment vertical="center"/>
    </xf>
    <xf numFmtId="0" fontId="0" fillId="0" borderId="60" xfId="0" applyFill="1" applyBorder="1" applyAlignment="1">
      <alignment horizontal="center" vertical="center"/>
    </xf>
    <xf numFmtId="0" fontId="19" fillId="0" borderId="35" xfId="0" applyFont="1" applyFill="1" applyBorder="1">
      <alignment vertical="center"/>
    </xf>
    <xf numFmtId="0" fontId="280" fillId="5" borderId="1" xfId="0" applyFont="1" applyFill="1" applyBorder="1" applyAlignment="1">
      <alignment horizontal="left" vertical="center"/>
    </xf>
    <xf numFmtId="0" fontId="284" fillId="12" borderId="65" xfId="0" applyFont="1" applyFill="1" applyBorder="1" applyAlignment="1">
      <alignment horizontal="center" vertical="center"/>
    </xf>
    <xf numFmtId="0" fontId="285" fillId="0" borderId="177" xfId="0" applyFont="1" applyBorder="1" applyAlignment="1">
      <alignment horizontal="center" vertical="center" wrapText="1"/>
    </xf>
    <xf numFmtId="0" fontId="265" fillId="0" borderId="178" xfId="0" applyFont="1" applyBorder="1" applyAlignment="1">
      <alignment vertical="center" wrapText="1"/>
    </xf>
    <xf numFmtId="0" fontId="285" fillId="0" borderId="179" xfId="0" applyFont="1" applyBorder="1" applyAlignment="1">
      <alignment horizontal="center" vertical="center" wrapText="1"/>
    </xf>
    <xf numFmtId="0" fontId="265" fillId="0" borderId="179" xfId="0" applyFont="1" applyBorder="1" applyAlignment="1">
      <alignment horizontal="center" vertical="center" wrapText="1"/>
    </xf>
    <xf numFmtId="0" fontId="285" fillId="0" borderId="184" xfId="0" applyFont="1" applyBorder="1" applyAlignment="1">
      <alignment horizontal="center" vertical="center" wrapText="1"/>
    </xf>
    <xf numFmtId="0" fontId="284" fillId="8" borderId="65" xfId="0" applyFont="1" applyFill="1" applyBorder="1" applyAlignment="1">
      <alignment horizontal="center"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265" fillId="0" borderId="187" xfId="0" applyFont="1" applyBorder="1" applyAlignment="1">
      <alignment horizontal="center" vertical="center" wrapText="1"/>
    </xf>
    <xf numFmtId="0" fontId="265" fillId="0" borderId="180" xfId="0" applyFont="1" applyBorder="1" applyAlignment="1">
      <alignment horizontal="center" vertical="center" wrapText="1"/>
    </xf>
    <xf numFmtId="0" fontId="265" fillId="0" borderId="186" xfId="0" applyFont="1" applyBorder="1" applyAlignment="1">
      <alignment horizontal="center" vertical="center" wrapText="1"/>
    </xf>
    <xf numFmtId="0" fontId="265" fillId="0" borderId="181" xfId="0" applyFont="1" applyBorder="1" applyAlignment="1">
      <alignment horizontal="center" vertical="center" wrapText="1"/>
    </xf>
    <xf numFmtId="0" fontId="265" fillId="0" borderId="182" xfId="0" applyFont="1" applyBorder="1" applyAlignment="1">
      <alignment horizontal="center" vertical="center" wrapText="1"/>
    </xf>
    <xf numFmtId="0" fontId="265" fillId="0" borderId="183" xfId="0" applyFont="1" applyBorder="1" applyAlignment="1">
      <alignment horizontal="center" vertical="center" wrapText="1"/>
    </xf>
    <xf numFmtId="0" fontId="0" fillId="0" borderId="0" xfId="0" applyAlignment="1">
      <alignment horizontal="center" vertical="center"/>
    </xf>
    <xf numFmtId="0" fontId="265" fillId="0" borderId="185" xfId="0" applyFont="1" applyBorder="1" applyAlignment="1">
      <alignment horizontal="center" vertical="center" wrapText="1"/>
    </xf>
    <xf numFmtId="0" fontId="284" fillId="12" borderId="31" xfId="0" applyFont="1" applyFill="1" applyBorder="1" applyAlignment="1">
      <alignment horizontal="center" vertical="center"/>
    </xf>
    <xf numFmtId="0" fontId="284" fillId="12" borderId="56" xfId="0" applyFont="1" applyFill="1" applyBorder="1" applyAlignment="1">
      <alignment horizontal="center" vertical="center"/>
    </xf>
    <xf numFmtId="0" fontId="284" fillId="12" borderId="43" xfId="0" applyFont="1" applyFill="1" applyBorder="1" applyAlignment="1">
      <alignment horizontal="center" vertical="center"/>
    </xf>
    <xf numFmtId="0" fontId="284" fillId="12" borderId="64" xfId="0" applyFont="1" applyFill="1" applyBorder="1" applyAlignment="1">
      <alignment horizontal="center" vertical="center"/>
    </xf>
    <xf numFmtId="0" fontId="284" fillId="12" borderId="65" xfId="0" applyFont="1" applyFill="1" applyBorder="1" applyAlignment="1">
      <alignment horizontal="center" vertical="center"/>
    </xf>
    <xf numFmtId="0" fontId="0" fillId="0" borderId="58" xfId="0" applyFill="1" applyBorder="1" applyAlignment="1">
      <alignment horizontal="center" vertical="center"/>
    </xf>
    <xf numFmtId="0" fontId="0" fillId="0" borderId="0" xfId="0" applyFill="1" applyBorder="1" applyAlignment="1">
      <alignment horizontal="center" vertical="center"/>
    </xf>
    <xf numFmtId="0" fontId="0" fillId="0" borderId="1" xfId="0" applyFill="1" applyBorder="1" applyAlignment="1">
      <alignment horizontal="center" vertical="center"/>
    </xf>
    <xf numFmtId="0" fontId="0" fillId="5" borderId="58" xfId="0" applyFill="1" applyBorder="1" applyAlignment="1">
      <alignment horizontal="center" vertical="center"/>
    </xf>
    <xf numFmtId="0" fontId="0" fillId="5" borderId="0" xfId="0" applyFill="1" applyBorder="1" applyAlignment="1">
      <alignment horizontal="center" vertical="center"/>
    </xf>
    <xf numFmtId="0" fontId="0" fillId="0" borderId="4" xfId="0" applyFill="1" applyBorder="1" applyAlignment="1">
      <alignment horizontal="center" vertical="center"/>
    </xf>
    <xf numFmtId="0" fontId="0" fillId="0" borderId="60" xfId="0" applyFill="1" applyBorder="1" applyAlignment="1">
      <alignment horizontal="center" vertical="center"/>
    </xf>
    <xf numFmtId="0" fontId="0" fillId="0" borderId="46" xfId="0" applyFill="1" applyBorder="1" applyAlignment="1">
      <alignment horizontal="center" vertical="center"/>
    </xf>
    <xf numFmtId="0" fontId="0" fillId="0" borderId="36" xfId="0" applyFill="1" applyBorder="1" applyAlignment="1">
      <alignment horizontal="center" vertical="center"/>
    </xf>
    <xf numFmtId="0" fontId="0" fillId="5" borderId="46" xfId="0" applyFill="1" applyBorder="1" applyAlignment="1">
      <alignment horizontal="center" vertical="center"/>
    </xf>
    <xf numFmtId="0" fontId="0" fillId="5" borderId="36" xfId="0" applyFill="1" applyBorder="1" applyAlignment="1">
      <alignment horizontal="center" vertical="center"/>
    </xf>
    <xf numFmtId="0" fontId="158" fillId="5" borderId="58" xfId="0" applyFont="1" applyFill="1" applyBorder="1" applyAlignment="1">
      <alignment horizontal="center" vertical="center"/>
    </xf>
    <xf numFmtId="0" fontId="158" fillId="5" borderId="0" xfId="0" applyFont="1" applyFill="1" applyBorder="1" applyAlignment="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269" fillId="0" borderId="0" xfId="10" applyFont="1" applyAlignment="1">
      <alignment horizontal="center" vertical="center" wrapText="1"/>
    </xf>
    <xf numFmtId="0" fontId="270" fillId="0" borderId="1" xfId="10" applyFont="1" applyBorder="1" applyAlignment="1">
      <alignment horizontal="center" vertical="center" wrapText="1"/>
    </xf>
    <xf numFmtId="0" fontId="270" fillId="0" borderId="5" xfId="10" applyFont="1" applyBorder="1" applyAlignment="1">
      <alignment horizontal="center" vertical="center" wrapText="1" shrinkToFit="1"/>
    </xf>
    <xf numFmtId="0" fontId="270" fillId="0" borderId="54" xfId="10" applyFont="1" applyBorder="1" applyAlignment="1">
      <alignment horizontal="center" vertical="center" wrapText="1" shrinkToFit="1"/>
    </xf>
    <xf numFmtId="0" fontId="270" fillId="0" borderId="3" xfId="10" applyFont="1" applyBorder="1" applyAlignment="1">
      <alignment horizontal="center" vertical="center" wrapText="1" shrinkToFit="1"/>
    </xf>
    <xf numFmtId="0" fontId="270" fillId="0" borderId="1" xfId="10" applyFont="1" applyBorder="1" applyAlignment="1">
      <alignment horizontal="center" vertical="center" wrapText="1" shrinkToFit="1"/>
    </xf>
    <xf numFmtId="0" fontId="270" fillId="22" borderId="5" xfId="10" applyFont="1" applyFill="1" applyBorder="1" applyAlignment="1">
      <alignment horizontal="center" vertical="center" wrapText="1" shrinkToFit="1"/>
    </xf>
    <xf numFmtId="0" fontId="270" fillId="22" borderId="54" xfId="10" applyFont="1" applyFill="1" applyBorder="1" applyAlignment="1">
      <alignment horizontal="center" vertical="center" wrapText="1" shrinkToFit="1"/>
    </xf>
    <xf numFmtId="0" fontId="270" fillId="22" borderId="3" xfId="10" applyFont="1" applyFill="1" applyBorder="1" applyAlignment="1">
      <alignment horizontal="center" vertical="center" wrapText="1" shrinkToFit="1"/>
    </xf>
    <xf numFmtId="0" fontId="270" fillId="0" borderId="1" xfId="10" applyFont="1" applyBorder="1" applyAlignment="1">
      <alignment horizontal="left" vertical="center" wrapText="1" shrinkToFit="1"/>
    </xf>
    <xf numFmtId="0" fontId="270" fillId="0" borderId="46" xfId="10" applyFont="1" applyBorder="1" applyAlignment="1">
      <alignment horizontal="center" vertical="center" wrapText="1" shrinkToFit="1"/>
    </xf>
    <xf numFmtId="0" fontId="270" fillId="0" borderId="36" xfId="10" applyFont="1" applyBorder="1" applyAlignment="1">
      <alignment horizontal="center" vertical="center" wrapText="1" shrinkToFit="1"/>
    </xf>
    <xf numFmtId="0" fontId="270" fillId="0" borderId="22" xfId="10" applyFont="1" applyBorder="1" applyAlignment="1">
      <alignment horizontal="center" vertical="center" wrapText="1" shrinkToFit="1"/>
    </xf>
    <xf numFmtId="0" fontId="270" fillId="0" borderId="58" xfId="10" applyFont="1" applyBorder="1" applyAlignment="1">
      <alignment horizontal="center" vertical="center" wrapText="1" shrinkToFit="1"/>
    </xf>
    <xf numFmtId="0" fontId="270" fillId="0" borderId="0" xfId="10" applyFont="1" applyAlignment="1">
      <alignment horizontal="center" vertical="center" wrapText="1" shrinkToFit="1"/>
    </xf>
    <xf numFmtId="0" fontId="270" fillId="0" borderId="35" xfId="10" applyFont="1" applyBorder="1" applyAlignment="1">
      <alignment horizontal="center" vertical="center" wrapText="1" shrinkToFit="1"/>
    </xf>
    <xf numFmtId="0" fontId="270" fillId="0" borderId="4" xfId="10" applyFont="1" applyBorder="1" applyAlignment="1">
      <alignment horizontal="center" vertical="center" wrapText="1" shrinkToFit="1"/>
    </xf>
    <xf numFmtId="0" fontId="270" fillId="0" borderId="60" xfId="10" applyFont="1" applyBorder="1" applyAlignment="1">
      <alignment horizontal="center" vertical="center" wrapText="1" shrinkToFit="1"/>
    </xf>
    <xf numFmtId="0" fontId="270" fillId="0" borderId="7" xfId="10" applyFont="1" applyBorder="1" applyAlignment="1">
      <alignment horizontal="center" vertical="center" wrapText="1" shrinkToFit="1"/>
    </xf>
    <xf numFmtId="181" fontId="270" fillId="0" borderId="1" xfId="10" applyNumberFormat="1" applyFont="1" applyBorder="1" applyAlignment="1">
      <alignment horizontal="center" vertical="center" wrapText="1" shrinkToFit="1"/>
    </xf>
    <xf numFmtId="180" fontId="270" fillId="0" borderId="5" xfId="10" applyNumberFormat="1" applyFont="1" applyBorder="1" applyAlignment="1">
      <alignment horizontal="right" vertical="center" wrapText="1" shrinkToFit="1"/>
    </xf>
    <xf numFmtId="180" fontId="270" fillId="0" borderId="54" xfId="10" applyNumberFormat="1" applyFont="1" applyBorder="1" applyAlignment="1">
      <alignment horizontal="right" vertical="center" wrapText="1" shrinkToFit="1"/>
    </xf>
    <xf numFmtId="0" fontId="270" fillId="0" borderId="54" xfId="10" applyFont="1" applyBorder="1" applyAlignment="1">
      <alignment horizontal="left" vertical="center" wrapText="1" shrinkToFit="1"/>
    </xf>
    <xf numFmtId="0" fontId="270" fillId="0" borderId="3" xfId="10" applyFont="1" applyBorder="1" applyAlignment="1">
      <alignment horizontal="left" vertical="center" wrapText="1" shrinkToFit="1"/>
    </xf>
    <xf numFmtId="181" fontId="272" fillId="0" borderId="1" xfId="10" applyNumberFormat="1" applyFont="1" applyBorder="1" applyAlignment="1">
      <alignment horizontal="center" vertical="center" wrapText="1" shrinkToFit="1"/>
    </xf>
    <xf numFmtId="0" fontId="270" fillId="0" borderId="5" xfId="10" applyFont="1" applyBorder="1" applyAlignment="1">
      <alignment horizontal="right" vertical="center" wrapText="1" shrinkToFit="1"/>
    </xf>
    <xf numFmtId="0" fontId="270" fillId="0" borderId="54" xfId="10" applyFont="1" applyBorder="1" applyAlignment="1">
      <alignment horizontal="right" vertical="center" wrapText="1" shrinkToFit="1"/>
    </xf>
    <xf numFmtId="184" fontId="270" fillId="0" borderId="54" xfId="10" applyNumberFormat="1" applyFont="1" applyBorder="1" applyAlignment="1">
      <alignment horizontal="left" vertical="center" wrapText="1" shrinkToFit="1"/>
    </xf>
    <xf numFmtId="10" fontId="270" fillId="0" borderId="3" xfId="10" applyNumberFormat="1" applyFont="1" applyBorder="1" applyAlignment="1">
      <alignment horizontal="left" vertical="center" wrapText="1" shrinkToFit="1"/>
    </xf>
    <xf numFmtId="9" fontId="270" fillId="0" borderId="13" xfId="10" applyNumberFormat="1" applyFont="1" applyBorder="1" applyAlignment="1">
      <alignment horizontal="left" vertical="center" wrapText="1" shrinkToFit="1"/>
    </xf>
    <xf numFmtId="9" fontId="270" fillId="0" borderId="2" xfId="10" applyNumberFormat="1" applyFont="1" applyBorder="1" applyAlignment="1">
      <alignment horizontal="left" vertical="center" wrapText="1" shrinkToFit="1"/>
    </xf>
    <xf numFmtId="9" fontId="270" fillId="0" borderId="1" xfId="10" applyNumberFormat="1" applyFont="1" applyBorder="1" applyAlignment="1">
      <alignment horizontal="center" vertical="center" wrapText="1" shrinkToFit="1"/>
    </xf>
    <xf numFmtId="10" fontId="270" fillId="7" borderId="54" xfId="10" applyNumberFormat="1" applyFont="1" applyFill="1" applyBorder="1" applyAlignment="1">
      <alignment horizontal="left" vertical="center" wrapText="1" shrinkToFit="1"/>
    </xf>
    <xf numFmtId="10" fontId="270" fillId="7" borderId="3" xfId="10" applyNumberFormat="1" applyFont="1" applyFill="1" applyBorder="1" applyAlignment="1">
      <alignment horizontal="left" vertical="center" wrapText="1" shrinkToFit="1"/>
    </xf>
    <xf numFmtId="10" fontId="270" fillId="0" borderId="1" xfId="10" applyNumberFormat="1" applyFont="1" applyBorder="1" applyAlignment="1">
      <alignment horizontal="center" vertical="center" wrapText="1" shrinkToFit="1"/>
    </xf>
    <xf numFmtId="10" fontId="270" fillId="0" borderId="54" xfId="10" applyNumberFormat="1" applyFont="1" applyBorder="1" applyAlignment="1">
      <alignment horizontal="left" vertical="center" wrapText="1" shrinkToFit="1"/>
    </xf>
    <xf numFmtId="10" fontId="270" fillId="0" borderId="5" xfId="10" applyNumberFormat="1" applyFont="1" applyBorder="1" applyAlignment="1">
      <alignment horizontal="center" vertical="center" wrapText="1" shrinkToFit="1"/>
    </xf>
    <xf numFmtId="10" fontId="270" fillId="0" borderId="3" xfId="10" applyNumberFormat="1" applyFont="1" applyBorder="1" applyAlignment="1">
      <alignment horizontal="center" vertical="center" wrapText="1" shrinkToFit="1"/>
    </xf>
    <xf numFmtId="10" fontId="272" fillId="0" borderId="1" xfId="10" applyNumberFormat="1" applyFont="1" applyBorder="1" applyAlignment="1">
      <alignment horizontal="center" vertical="center" wrapText="1" shrinkToFit="1"/>
    </xf>
    <xf numFmtId="182" fontId="272" fillId="0" borderId="1" xfId="10" applyNumberFormat="1" applyFont="1" applyBorder="1" applyAlignment="1">
      <alignment horizontal="center" vertical="center" wrapText="1" shrinkToFit="1"/>
    </xf>
    <xf numFmtId="179" fontId="270" fillId="25" borderId="46" xfId="10" applyNumberFormat="1" applyFont="1" applyFill="1" applyBorder="1" applyAlignment="1">
      <alignment horizontal="center" vertical="center" wrapText="1" shrinkToFit="1"/>
    </xf>
    <xf numFmtId="179" fontId="270" fillId="25" borderId="36" xfId="10" applyNumberFormat="1" applyFont="1" applyFill="1" applyBorder="1" applyAlignment="1">
      <alignment horizontal="center" vertical="center" wrapText="1" shrinkToFit="1"/>
    </xf>
    <xf numFmtId="179" fontId="270" fillId="25" borderId="22" xfId="10" applyNumberFormat="1" applyFont="1" applyFill="1" applyBorder="1" applyAlignment="1">
      <alignment horizontal="center" vertical="center" wrapText="1" shrinkToFit="1"/>
    </xf>
    <xf numFmtId="179" fontId="270" fillId="25" borderId="4" xfId="10" applyNumberFormat="1" applyFont="1" applyFill="1" applyBorder="1" applyAlignment="1">
      <alignment horizontal="center" vertical="center" wrapText="1" shrinkToFit="1"/>
    </xf>
    <xf numFmtId="179" fontId="270" fillId="25" borderId="60" xfId="10" applyNumberFormat="1" applyFont="1" applyFill="1" applyBorder="1" applyAlignment="1">
      <alignment horizontal="center" vertical="center" wrapText="1" shrinkToFit="1"/>
    </xf>
    <xf numFmtId="179" fontId="270" fillId="25" borderId="7" xfId="10" applyNumberFormat="1" applyFont="1" applyFill="1" applyBorder="1" applyAlignment="1">
      <alignment horizontal="center" vertical="center" wrapText="1" shrinkToFit="1"/>
    </xf>
    <xf numFmtId="178" fontId="271" fillId="0" borderId="1" xfId="10" applyNumberFormat="1" applyFont="1" applyBorder="1" applyAlignment="1">
      <alignment horizontal="center" vertical="center" wrapText="1"/>
    </xf>
    <xf numFmtId="0" fontId="270" fillId="27" borderId="1" xfId="10" applyFont="1" applyFill="1" applyBorder="1" applyAlignment="1">
      <alignment horizontal="center" vertical="center"/>
    </xf>
    <xf numFmtId="0" fontId="276" fillId="26" borderId="0" xfId="10" applyFont="1" applyFill="1" applyAlignment="1">
      <alignment horizontal="center" vertical="center" wrapText="1"/>
    </xf>
    <xf numFmtId="0" fontId="271" fillId="0" borderId="1" xfId="10" applyFont="1" applyBorder="1" applyAlignment="1">
      <alignment horizontal="center" vertical="center" wrapText="1"/>
    </xf>
    <xf numFmtId="179" fontId="271" fillId="0" borderId="1" xfId="10" applyNumberFormat="1" applyFont="1" applyBorder="1" applyAlignment="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23"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166" fillId="0" borderId="23" xfId="0" applyFont="1" applyFill="1" applyBorder="1" applyAlignment="1" applyProtection="1">
      <alignment horizontal="center" vertical="center" wrapText="1"/>
      <protection locked="0"/>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166" fillId="0" borderId="3" xfId="0" applyFont="1" applyFill="1" applyBorder="1" applyAlignment="1" applyProtection="1">
      <alignment horizontal="center" vertical="center" wrapText="1"/>
      <protection locked="0"/>
    </xf>
    <xf numFmtId="178" fontId="271" fillId="5" borderId="1" xfId="10" applyNumberFormat="1" applyFont="1" applyFill="1" applyBorder="1" applyAlignment="1">
      <alignment horizontal="center" vertical="center"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9" fontId="270" fillId="5" borderId="1" xfId="10" applyNumberFormat="1" applyFont="1" applyFill="1" applyBorder="1" applyAlignment="1">
      <alignment horizontal="center" vertical="center" wrapText="1" shrinkToFi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7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externalLink" Target="externalLinks/externalLink3.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externalLink" Target="externalLinks/externalLink2.xml"/><Relationship Id="rId65"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image" Target="../media/image12.png"/><Relationship Id="rId13" Type="http://schemas.openxmlformats.org/officeDocument/2006/relationships/image" Target="../media/image17.png"/><Relationship Id="rId3" Type="http://schemas.openxmlformats.org/officeDocument/2006/relationships/image" Target="../media/image7.png"/><Relationship Id="rId7" Type="http://schemas.openxmlformats.org/officeDocument/2006/relationships/image" Target="../media/image11.png"/><Relationship Id="rId12" Type="http://schemas.openxmlformats.org/officeDocument/2006/relationships/image" Target="../media/image16.png"/><Relationship Id="rId2" Type="http://schemas.openxmlformats.org/officeDocument/2006/relationships/image" Target="../media/image6.png"/><Relationship Id="rId16" Type="http://schemas.openxmlformats.org/officeDocument/2006/relationships/image" Target="../media/image20.png"/><Relationship Id="rId1" Type="http://schemas.openxmlformats.org/officeDocument/2006/relationships/image" Target="../media/image5.png"/><Relationship Id="rId6" Type="http://schemas.openxmlformats.org/officeDocument/2006/relationships/image" Target="../media/image10.png"/><Relationship Id="rId11" Type="http://schemas.openxmlformats.org/officeDocument/2006/relationships/image" Target="../media/image15.png"/><Relationship Id="rId5" Type="http://schemas.openxmlformats.org/officeDocument/2006/relationships/image" Target="../media/image9.png"/><Relationship Id="rId15" Type="http://schemas.openxmlformats.org/officeDocument/2006/relationships/image" Target="../media/image19.png"/><Relationship Id="rId10" Type="http://schemas.openxmlformats.org/officeDocument/2006/relationships/image" Target="../media/image14.png"/><Relationship Id="rId4" Type="http://schemas.openxmlformats.org/officeDocument/2006/relationships/image" Target="../media/image8.png"/><Relationship Id="rId9" Type="http://schemas.openxmlformats.org/officeDocument/2006/relationships/image" Target="../media/image13.png"/><Relationship Id="rId14" Type="http://schemas.openxmlformats.org/officeDocument/2006/relationships/image" Target="../media/image18.png"/></Relationships>
</file>

<file path=xl/drawings/_rels/drawing4.xml.rels><?xml version="1.0" encoding="UTF-8" standalone="yes"?>
<Relationships xmlns="http://schemas.openxmlformats.org/package/2006/relationships"><Relationship Id="rId8" Type="http://schemas.openxmlformats.org/officeDocument/2006/relationships/image" Target="../media/image28.png"/><Relationship Id="rId3" Type="http://schemas.openxmlformats.org/officeDocument/2006/relationships/image" Target="../media/image23.png"/><Relationship Id="rId7" Type="http://schemas.openxmlformats.org/officeDocument/2006/relationships/image" Target="../media/image27.png"/><Relationship Id="rId2" Type="http://schemas.openxmlformats.org/officeDocument/2006/relationships/image" Target="../media/image22.png"/><Relationship Id="rId1" Type="http://schemas.openxmlformats.org/officeDocument/2006/relationships/image" Target="../media/image21.png"/><Relationship Id="rId6" Type="http://schemas.openxmlformats.org/officeDocument/2006/relationships/image" Target="../media/image26.png"/><Relationship Id="rId5" Type="http://schemas.openxmlformats.org/officeDocument/2006/relationships/image" Target="../media/image25.png"/><Relationship Id="rId4" Type="http://schemas.openxmlformats.org/officeDocument/2006/relationships/image" Target="../media/image24.png"/></Relationships>
</file>

<file path=xl/drawings/_rels/drawing5.xml.rels><?xml version="1.0" encoding="UTF-8" standalone="yes"?>
<Relationships xmlns="http://schemas.openxmlformats.org/package/2006/relationships"><Relationship Id="rId8" Type="http://schemas.openxmlformats.org/officeDocument/2006/relationships/image" Target="../media/image36.png"/><Relationship Id="rId3" Type="http://schemas.openxmlformats.org/officeDocument/2006/relationships/image" Target="../media/image31.png"/><Relationship Id="rId7" Type="http://schemas.openxmlformats.org/officeDocument/2006/relationships/image" Target="../media/image35.png"/><Relationship Id="rId2" Type="http://schemas.openxmlformats.org/officeDocument/2006/relationships/image" Target="../media/image30.png"/><Relationship Id="rId1" Type="http://schemas.openxmlformats.org/officeDocument/2006/relationships/image" Target="../media/image29.png"/><Relationship Id="rId6" Type="http://schemas.openxmlformats.org/officeDocument/2006/relationships/image" Target="../media/image34.png"/><Relationship Id="rId11" Type="http://schemas.openxmlformats.org/officeDocument/2006/relationships/image" Target="../media/image39.png"/><Relationship Id="rId5" Type="http://schemas.openxmlformats.org/officeDocument/2006/relationships/image" Target="../media/image33.png"/><Relationship Id="rId10" Type="http://schemas.openxmlformats.org/officeDocument/2006/relationships/image" Target="../media/image38.png"/><Relationship Id="rId4" Type="http://schemas.openxmlformats.org/officeDocument/2006/relationships/image" Target="../media/image32.png"/><Relationship Id="rId9" Type="http://schemas.openxmlformats.org/officeDocument/2006/relationships/image" Target="../media/image37.png"/></Relationships>
</file>

<file path=xl/drawings/_rels/drawing6.xml.rels><?xml version="1.0" encoding="UTF-8" standalone="yes"?>
<Relationships xmlns="http://schemas.openxmlformats.org/package/2006/relationships"><Relationship Id="rId8" Type="http://schemas.openxmlformats.org/officeDocument/2006/relationships/image" Target="../media/image47.png"/><Relationship Id="rId13" Type="http://schemas.openxmlformats.org/officeDocument/2006/relationships/image" Target="../media/image52.png"/><Relationship Id="rId3" Type="http://schemas.openxmlformats.org/officeDocument/2006/relationships/image" Target="../media/image42.png"/><Relationship Id="rId7" Type="http://schemas.openxmlformats.org/officeDocument/2006/relationships/image" Target="../media/image46.png"/><Relationship Id="rId12" Type="http://schemas.openxmlformats.org/officeDocument/2006/relationships/image" Target="../media/image51.png"/><Relationship Id="rId2" Type="http://schemas.openxmlformats.org/officeDocument/2006/relationships/image" Target="../media/image41.png"/><Relationship Id="rId1" Type="http://schemas.openxmlformats.org/officeDocument/2006/relationships/image" Target="../media/image40.png"/><Relationship Id="rId6" Type="http://schemas.openxmlformats.org/officeDocument/2006/relationships/image" Target="../media/image45.png"/><Relationship Id="rId11" Type="http://schemas.openxmlformats.org/officeDocument/2006/relationships/image" Target="../media/image50.png"/><Relationship Id="rId5" Type="http://schemas.openxmlformats.org/officeDocument/2006/relationships/image" Target="../media/image44.png"/><Relationship Id="rId10" Type="http://schemas.openxmlformats.org/officeDocument/2006/relationships/image" Target="../media/image49.png"/><Relationship Id="rId4" Type="http://schemas.openxmlformats.org/officeDocument/2006/relationships/image" Target="../media/image43.png"/><Relationship Id="rId9" Type="http://schemas.openxmlformats.org/officeDocument/2006/relationships/image" Target="../media/image48.png"/><Relationship Id="rId14" Type="http://schemas.openxmlformats.org/officeDocument/2006/relationships/image" Target="../media/image5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11</xdr:col>
      <xdr:colOff>137160</xdr:colOff>
      <xdr:row>5</xdr:row>
      <xdr:rowOff>22860</xdr:rowOff>
    </xdr:from>
    <xdr:to>
      <xdr:col>16</xdr:col>
      <xdr:colOff>279636</xdr:colOff>
      <xdr:row>10</xdr:row>
      <xdr:rowOff>98917</xdr:rowOff>
    </xdr:to>
    <xdr:pic>
      <xdr:nvPicPr>
        <xdr:cNvPr id="2" name="图片 1"/>
        <xdr:cNvPicPr>
          <a:picLocks noChangeAspect="1"/>
        </xdr:cNvPicPr>
      </xdr:nvPicPr>
      <xdr:blipFill>
        <a:blip xmlns:r="http://schemas.openxmlformats.org/officeDocument/2006/relationships" r:embed="rId1"/>
        <a:stretch>
          <a:fillRect/>
        </a:stretch>
      </xdr:blipFill>
      <xdr:spPr>
        <a:xfrm>
          <a:off x="9006840" y="937260"/>
          <a:ext cx="3190476" cy="114285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510540</xdr:colOff>
      <xdr:row>0</xdr:row>
      <xdr:rowOff>0</xdr:rowOff>
    </xdr:from>
    <xdr:to>
      <xdr:col>19</xdr:col>
      <xdr:colOff>557473</xdr:colOff>
      <xdr:row>46</xdr:row>
      <xdr:rowOff>120853</xdr:rowOff>
    </xdr:to>
    <xdr:pic>
      <xdr:nvPicPr>
        <xdr:cNvPr id="2" name="图片 1"/>
        <xdr:cNvPicPr>
          <a:picLocks noChangeAspect="1"/>
        </xdr:cNvPicPr>
      </xdr:nvPicPr>
      <xdr:blipFill>
        <a:blip xmlns:r="http://schemas.openxmlformats.org/officeDocument/2006/relationships" r:embed="rId1"/>
        <a:stretch>
          <a:fillRect/>
        </a:stretch>
      </xdr:blipFill>
      <xdr:spPr>
        <a:xfrm>
          <a:off x="6606540" y="0"/>
          <a:ext cx="5533333" cy="853333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151181</xdr:colOff>
      <xdr:row>9</xdr:row>
      <xdr:rowOff>47426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752381" cy="1590476"/>
        </a:xfrm>
        <a:prstGeom prst="rect">
          <a:avLst/>
        </a:prstGeom>
      </xdr:spPr>
    </xdr:pic>
    <xdr:clientData/>
  </xdr:twoCellAnchor>
  <xdr:twoCellAnchor editAs="oneCell">
    <xdr:from>
      <xdr:col>0</xdr:col>
      <xdr:colOff>0</xdr:colOff>
      <xdr:row>9</xdr:row>
      <xdr:rowOff>0</xdr:rowOff>
    </xdr:from>
    <xdr:to>
      <xdr:col>13</xdr:col>
      <xdr:colOff>303648</xdr:colOff>
      <xdr:row>20</xdr:row>
      <xdr:rowOff>37860</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543050"/>
          <a:ext cx="9219048" cy="1923810"/>
        </a:xfrm>
        <a:prstGeom prst="rect">
          <a:avLst/>
        </a:prstGeom>
      </xdr:spPr>
    </xdr:pic>
    <xdr:clientData/>
  </xdr:twoCellAnchor>
  <xdr:twoCellAnchor editAs="oneCell">
    <xdr:from>
      <xdr:col>0</xdr:col>
      <xdr:colOff>0</xdr:colOff>
      <xdr:row>20</xdr:row>
      <xdr:rowOff>0</xdr:rowOff>
    </xdr:from>
    <xdr:to>
      <xdr:col>13</xdr:col>
      <xdr:colOff>313171</xdr:colOff>
      <xdr:row>30</xdr:row>
      <xdr:rowOff>28357</xdr:rowOff>
    </xdr:to>
    <xdr:pic>
      <xdr:nvPicPr>
        <xdr:cNvPr id="4" name="图片 3"/>
        <xdr:cNvPicPr>
          <a:picLocks noChangeAspect="1"/>
        </xdr:cNvPicPr>
      </xdr:nvPicPr>
      <xdr:blipFill>
        <a:blip xmlns:r="http://schemas.openxmlformats.org/officeDocument/2006/relationships" r:embed="rId3"/>
        <a:stretch>
          <a:fillRect/>
        </a:stretch>
      </xdr:blipFill>
      <xdr:spPr>
        <a:xfrm>
          <a:off x="0" y="3429000"/>
          <a:ext cx="9228571" cy="1742857"/>
        </a:xfrm>
        <a:prstGeom prst="rect">
          <a:avLst/>
        </a:prstGeom>
      </xdr:spPr>
    </xdr:pic>
    <xdr:clientData/>
  </xdr:twoCellAnchor>
  <xdr:twoCellAnchor editAs="oneCell">
    <xdr:from>
      <xdr:col>0</xdr:col>
      <xdr:colOff>0</xdr:colOff>
      <xdr:row>31</xdr:row>
      <xdr:rowOff>0</xdr:rowOff>
    </xdr:from>
    <xdr:to>
      <xdr:col>13</xdr:col>
      <xdr:colOff>598886</xdr:colOff>
      <xdr:row>53</xdr:row>
      <xdr:rowOff>9052</xdr:rowOff>
    </xdr:to>
    <xdr:pic>
      <xdr:nvPicPr>
        <xdr:cNvPr id="5" name="图片 4"/>
        <xdr:cNvPicPr>
          <a:picLocks noChangeAspect="1"/>
        </xdr:cNvPicPr>
      </xdr:nvPicPr>
      <xdr:blipFill>
        <a:blip xmlns:r="http://schemas.openxmlformats.org/officeDocument/2006/relationships" r:embed="rId4"/>
        <a:stretch>
          <a:fillRect/>
        </a:stretch>
      </xdr:blipFill>
      <xdr:spPr>
        <a:xfrm>
          <a:off x="0" y="5314950"/>
          <a:ext cx="9514286" cy="3780952"/>
        </a:xfrm>
        <a:prstGeom prst="rect">
          <a:avLst/>
        </a:prstGeom>
      </xdr:spPr>
    </xdr:pic>
    <xdr:clientData/>
  </xdr:twoCellAnchor>
  <xdr:twoCellAnchor editAs="oneCell">
    <xdr:from>
      <xdr:col>0</xdr:col>
      <xdr:colOff>0</xdr:colOff>
      <xdr:row>53</xdr:row>
      <xdr:rowOff>0</xdr:rowOff>
    </xdr:from>
    <xdr:to>
      <xdr:col>14</xdr:col>
      <xdr:colOff>132133</xdr:colOff>
      <xdr:row>63</xdr:row>
      <xdr:rowOff>47405</xdr:rowOff>
    </xdr:to>
    <xdr:pic>
      <xdr:nvPicPr>
        <xdr:cNvPr id="6" name="图片 5"/>
        <xdr:cNvPicPr>
          <a:picLocks noChangeAspect="1"/>
        </xdr:cNvPicPr>
      </xdr:nvPicPr>
      <xdr:blipFill>
        <a:blip xmlns:r="http://schemas.openxmlformats.org/officeDocument/2006/relationships" r:embed="rId5"/>
        <a:stretch>
          <a:fillRect/>
        </a:stretch>
      </xdr:blipFill>
      <xdr:spPr>
        <a:xfrm>
          <a:off x="0" y="9086850"/>
          <a:ext cx="9733333" cy="1761905"/>
        </a:xfrm>
        <a:prstGeom prst="rect">
          <a:avLst/>
        </a:prstGeom>
      </xdr:spPr>
    </xdr:pic>
    <xdr:clientData/>
  </xdr:twoCellAnchor>
  <xdr:twoCellAnchor editAs="oneCell">
    <xdr:from>
      <xdr:col>0</xdr:col>
      <xdr:colOff>0</xdr:colOff>
      <xdr:row>64</xdr:row>
      <xdr:rowOff>0</xdr:rowOff>
    </xdr:from>
    <xdr:to>
      <xdr:col>14</xdr:col>
      <xdr:colOff>151181</xdr:colOff>
      <xdr:row>75</xdr:row>
      <xdr:rowOff>18812</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0972800"/>
          <a:ext cx="9752381" cy="1904762"/>
        </a:xfrm>
        <a:prstGeom prst="rect">
          <a:avLst/>
        </a:prstGeom>
      </xdr:spPr>
    </xdr:pic>
    <xdr:clientData/>
  </xdr:twoCellAnchor>
  <xdr:twoCellAnchor editAs="oneCell">
    <xdr:from>
      <xdr:col>0</xdr:col>
      <xdr:colOff>0</xdr:colOff>
      <xdr:row>76</xdr:row>
      <xdr:rowOff>0</xdr:rowOff>
    </xdr:from>
    <xdr:to>
      <xdr:col>13</xdr:col>
      <xdr:colOff>341743</xdr:colOff>
      <xdr:row>87</xdr:row>
      <xdr:rowOff>28336</xdr:rowOff>
    </xdr:to>
    <xdr:pic>
      <xdr:nvPicPr>
        <xdr:cNvPr id="8" name="图片 7"/>
        <xdr:cNvPicPr>
          <a:picLocks noChangeAspect="1"/>
        </xdr:cNvPicPr>
      </xdr:nvPicPr>
      <xdr:blipFill>
        <a:blip xmlns:r="http://schemas.openxmlformats.org/officeDocument/2006/relationships" r:embed="rId7"/>
        <a:stretch>
          <a:fillRect/>
        </a:stretch>
      </xdr:blipFill>
      <xdr:spPr>
        <a:xfrm>
          <a:off x="0" y="13030200"/>
          <a:ext cx="9257143" cy="1914286"/>
        </a:xfrm>
        <a:prstGeom prst="rect">
          <a:avLst/>
        </a:prstGeom>
      </xdr:spPr>
    </xdr:pic>
    <xdr:clientData/>
  </xdr:twoCellAnchor>
  <xdr:twoCellAnchor editAs="oneCell">
    <xdr:from>
      <xdr:col>0</xdr:col>
      <xdr:colOff>0</xdr:colOff>
      <xdr:row>88</xdr:row>
      <xdr:rowOff>0</xdr:rowOff>
    </xdr:from>
    <xdr:to>
      <xdr:col>13</xdr:col>
      <xdr:colOff>684600</xdr:colOff>
      <xdr:row>98</xdr:row>
      <xdr:rowOff>171214</xdr:rowOff>
    </xdr:to>
    <xdr:pic>
      <xdr:nvPicPr>
        <xdr:cNvPr id="9" name="图片 8"/>
        <xdr:cNvPicPr>
          <a:picLocks noChangeAspect="1"/>
        </xdr:cNvPicPr>
      </xdr:nvPicPr>
      <xdr:blipFill>
        <a:blip xmlns:r="http://schemas.openxmlformats.org/officeDocument/2006/relationships" r:embed="rId8"/>
        <a:stretch>
          <a:fillRect/>
        </a:stretch>
      </xdr:blipFill>
      <xdr:spPr>
        <a:xfrm>
          <a:off x="0" y="15087600"/>
          <a:ext cx="9600000" cy="1885714"/>
        </a:xfrm>
        <a:prstGeom prst="rect">
          <a:avLst/>
        </a:prstGeom>
      </xdr:spPr>
    </xdr:pic>
    <xdr:clientData/>
  </xdr:twoCellAnchor>
  <xdr:twoCellAnchor editAs="oneCell">
    <xdr:from>
      <xdr:col>0</xdr:col>
      <xdr:colOff>0</xdr:colOff>
      <xdr:row>100</xdr:row>
      <xdr:rowOff>0</xdr:rowOff>
    </xdr:from>
    <xdr:to>
      <xdr:col>13</xdr:col>
      <xdr:colOff>446505</xdr:colOff>
      <xdr:row>110</xdr:row>
      <xdr:rowOff>133119</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17145000"/>
          <a:ext cx="9361905" cy="1847619"/>
        </a:xfrm>
        <a:prstGeom prst="rect">
          <a:avLst/>
        </a:prstGeom>
      </xdr:spPr>
    </xdr:pic>
    <xdr:clientData/>
  </xdr:twoCellAnchor>
  <xdr:twoCellAnchor editAs="oneCell">
    <xdr:from>
      <xdr:col>0</xdr:col>
      <xdr:colOff>0</xdr:colOff>
      <xdr:row>112</xdr:row>
      <xdr:rowOff>0</xdr:rowOff>
    </xdr:from>
    <xdr:to>
      <xdr:col>14</xdr:col>
      <xdr:colOff>94038</xdr:colOff>
      <xdr:row>122</xdr:row>
      <xdr:rowOff>104548</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19202400"/>
          <a:ext cx="9695238" cy="1819048"/>
        </a:xfrm>
        <a:prstGeom prst="rect">
          <a:avLst/>
        </a:prstGeom>
      </xdr:spPr>
    </xdr:pic>
    <xdr:clientData/>
  </xdr:twoCellAnchor>
  <xdr:twoCellAnchor editAs="oneCell">
    <xdr:from>
      <xdr:col>0</xdr:col>
      <xdr:colOff>0</xdr:colOff>
      <xdr:row>123</xdr:row>
      <xdr:rowOff>0</xdr:rowOff>
    </xdr:from>
    <xdr:to>
      <xdr:col>13</xdr:col>
      <xdr:colOff>598886</xdr:colOff>
      <xdr:row>132</xdr:row>
      <xdr:rowOff>152188</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21088350"/>
          <a:ext cx="9514286" cy="1695238"/>
        </a:xfrm>
        <a:prstGeom prst="rect">
          <a:avLst/>
        </a:prstGeom>
      </xdr:spPr>
    </xdr:pic>
    <xdr:clientData/>
  </xdr:twoCellAnchor>
  <xdr:twoCellAnchor editAs="oneCell">
    <xdr:from>
      <xdr:col>0</xdr:col>
      <xdr:colOff>0</xdr:colOff>
      <xdr:row>133</xdr:row>
      <xdr:rowOff>0</xdr:rowOff>
    </xdr:from>
    <xdr:to>
      <xdr:col>13</xdr:col>
      <xdr:colOff>351267</xdr:colOff>
      <xdr:row>144</xdr:row>
      <xdr:rowOff>47383</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22802850"/>
          <a:ext cx="9266667" cy="1933333"/>
        </a:xfrm>
        <a:prstGeom prst="rect">
          <a:avLst/>
        </a:prstGeom>
      </xdr:spPr>
    </xdr:pic>
    <xdr:clientData/>
  </xdr:twoCellAnchor>
  <xdr:twoCellAnchor editAs="oneCell">
    <xdr:from>
      <xdr:col>13</xdr:col>
      <xdr:colOff>224790</xdr:colOff>
      <xdr:row>113</xdr:row>
      <xdr:rowOff>137160</xdr:rowOff>
    </xdr:from>
    <xdr:to>
      <xdr:col>28</xdr:col>
      <xdr:colOff>90180</xdr:colOff>
      <xdr:row>124</xdr:row>
      <xdr:rowOff>108353</xdr:rowOff>
    </xdr:to>
    <xdr:pic>
      <xdr:nvPicPr>
        <xdr:cNvPr id="14" name="图片 13"/>
        <xdr:cNvPicPr>
          <a:picLocks noChangeAspect="1"/>
        </xdr:cNvPicPr>
      </xdr:nvPicPr>
      <xdr:blipFill>
        <a:blip xmlns:r="http://schemas.openxmlformats.org/officeDocument/2006/relationships" r:embed="rId13"/>
        <a:stretch>
          <a:fillRect/>
        </a:stretch>
      </xdr:blipFill>
      <xdr:spPr>
        <a:xfrm>
          <a:off x="8149590" y="20802600"/>
          <a:ext cx="9009390" cy="1982873"/>
        </a:xfrm>
        <a:prstGeom prst="rect">
          <a:avLst/>
        </a:prstGeom>
      </xdr:spPr>
    </xdr:pic>
    <xdr:clientData/>
  </xdr:twoCellAnchor>
  <xdr:twoCellAnchor editAs="oneCell">
    <xdr:from>
      <xdr:col>13</xdr:col>
      <xdr:colOff>552450</xdr:colOff>
      <xdr:row>0</xdr:row>
      <xdr:rowOff>0</xdr:rowOff>
    </xdr:from>
    <xdr:to>
      <xdr:col>27</xdr:col>
      <xdr:colOff>608393</xdr:colOff>
      <xdr:row>11</xdr:row>
      <xdr:rowOff>18812</xdr:rowOff>
    </xdr:to>
    <xdr:pic>
      <xdr:nvPicPr>
        <xdr:cNvPr id="15" name="图片 14"/>
        <xdr:cNvPicPr>
          <a:picLocks noChangeAspect="1"/>
        </xdr:cNvPicPr>
      </xdr:nvPicPr>
      <xdr:blipFill>
        <a:blip xmlns:r="http://schemas.openxmlformats.org/officeDocument/2006/relationships" r:embed="rId14"/>
        <a:stretch>
          <a:fillRect/>
        </a:stretch>
      </xdr:blipFill>
      <xdr:spPr>
        <a:xfrm>
          <a:off x="9467850" y="0"/>
          <a:ext cx="9657143" cy="1904762"/>
        </a:xfrm>
        <a:prstGeom prst="rect">
          <a:avLst/>
        </a:prstGeom>
      </xdr:spPr>
    </xdr:pic>
    <xdr:clientData/>
  </xdr:twoCellAnchor>
  <xdr:twoCellAnchor editAs="oneCell">
    <xdr:from>
      <xdr:col>0</xdr:col>
      <xdr:colOff>0</xdr:colOff>
      <xdr:row>145</xdr:row>
      <xdr:rowOff>142875</xdr:rowOff>
    </xdr:from>
    <xdr:to>
      <xdr:col>13</xdr:col>
      <xdr:colOff>646505</xdr:colOff>
      <xdr:row>156</xdr:row>
      <xdr:rowOff>133115</xdr:rowOff>
    </xdr:to>
    <xdr:pic>
      <xdr:nvPicPr>
        <xdr:cNvPr id="16" name="图片 15"/>
        <xdr:cNvPicPr>
          <a:picLocks noChangeAspect="1"/>
        </xdr:cNvPicPr>
      </xdr:nvPicPr>
      <xdr:blipFill>
        <a:blip xmlns:r="http://schemas.openxmlformats.org/officeDocument/2006/relationships" r:embed="rId15"/>
        <a:stretch>
          <a:fillRect/>
        </a:stretch>
      </xdr:blipFill>
      <xdr:spPr>
        <a:xfrm>
          <a:off x="0" y="25003125"/>
          <a:ext cx="9561905" cy="1876190"/>
        </a:xfrm>
        <a:prstGeom prst="rect">
          <a:avLst/>
        </a:prstGeom>
      </xdr:spPr>
    </xdr:pic>
    <xdr:clientData/>
  </xdr:twoCellAnchor>
  <xdr:twoCellAnchor editAs="oneCell">
    <xdr:from>
      <xdr:col>13</xdr:col>
      <xdr:colOff>495300</xdr:colOff>
      <xdr:row>11</xdr:row>
      <xdr:rowOff>85725</xdr:rowOff>
    </xdr:from>
    <xdr:to>
      <xdr:col>27</xdr:col>
      <xdr:colOff>570290</xdr:colOff>
      <xdr:row>21</xdr:row>
      <xdr:rowOff>114082</xdr:rowOff>
    </xdr:to>
    <xdr:pic>
      <xdr:nvPicPr>
        <xdr:cNvPr id="17" name="图片 16"/>
        <xdr:cNvPicPr>
          <a:picLocks noChangeAspect="1"/>
        </xdr:cNvPicPr>
      </xdr:nvPicPr>
      <xdr:blipFill>
        <a:blip xmlns:r="http://schemas.openxmlformats.org/officeDocument/2006/relationships" r:embed="rId16"/>
        <a:stretch>
          <a:fillRect/>
        </a:stretch>
      </xdr:blipFill>
      <xdr:spPr>
        <a:xfrm>
          <a:off x="9410700" y="1971675"/>
          <a:ext cx="9676190" cy="174285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579838</xdr:colOff>
      <xdr:row>10</xdr:row>
      <xdr:rowOff>133119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495238" cy="1847619"/>
        </a:xfrm>
        <a:prstGeom prst="rect">
          <a:avLst/>
        </a:prstGeom>
      </xdr:spPr>
    </xdr:pic>
    <xdr:clientData/>
  </xdr:twoCellAnchor>
  <xdr:twoCellAnchor editAs="oneCell">
    <xdr:from>
      <xdr:col>0</xdr:col>
      <xdr:colOff>104775</xdr:colOff>
      <xdr:row>11</xdr:row>
      <xdr:rowOff>47625</xdr:rowOff>
    </xdr:from>
    <xdr:to>
      <xdr:col>14</xdr:col>
      <xdr:colOff>55956</xdr:colOff>
      <xdr:row>20</xdr:row>
      <xdr:rowOff>104575</xdr:rowOff>
    </xdr:to>
    <xdr:pic>
      <xdr:nvPicPr>
        <xdr:cNvPr id="3" name="图片 2"/>
        <xdr:cNvPicPr>
          <a:picLocks noChangeAspect="1"/>
        </xdr:cNvPicPr>
      </xdr:nvPicPr>
      <xdr:blipFill>
        <a:blip xmlns:r="http://schemas.openxmlformats.org/officeDocument/2006/relationships" r:embed="rId2"/>
        <a:stretch>
          <a:fillRect/>
        </a:stretch>
      </xdr:blipFill>
      <xdr:spPr>
        <a:xfrm>
          <a:off x="104775" y="1933575"/>
          <a:ext cx="9552381" cy="1600000"/>
        </a:xfrm>
        <a:prstGeom prst="rect">
          <a:avLst/>
        </a:prstGeom>
      </xdr:spPr>
    </xdr:pic>
    <xdr:clientData/>
  </xdr:twoCellAnchor>
  <xdr:twoCellAnchor editAs="oneCell">
    <xdr:from>
      <xdr:col>0</xdr:col>
      <xdr:colOff>0</xdr:colOff>
      <xdr:row>21</xdr:row>
      <xdr:rowOff>0</xdr:rowOff>
    </xdr:from>
    <xdr:to>
      <xdr:col>13</xdr:col>
      <xdr:colOff>665552</xdr:colOff>
      <xdr:row>39</xdr:row>
      <xdr:rowOff>75805</xdr:rowOff>
    </xdr:to>
    <xdr:pic>
      <xdr:nvPicPr>
        <xdr:cNvPr id="4" name="图片 3"/>
        <xdr:cNvPicPr>
          <a:picLocks noChangeAspect="1"/>
        </xdr:cNvPicPr>
      </xdr:nvPicPr>
      <xdr:blipFill>
        <a:blip xmlns:r="http://schemas.openxmlformats.org/officeDocument/2006/relationships" r:embed="rId3"/>
        <a:stretch>
          <a:fillRect/>
        </a:stretch>
      </xdr:blipFill>
      <xdr:spPr>
        <a:xfrm>
          <a:off x="0" y="3600450"/>
          <a:ext cx="9580952" cy="3161905"/>
        </a:xfrm>
        <a:prstGeom prst="rect">
          <a:avLst/>
        </a:prstGeom>
      </xdr:spPr>
    </xdr:pic>
    <xdr:clientData/>
  </xdr:twoCellAnchor>
  <xdr:twoCellAnchor editAs="oneCell">
    <xdr:from>
      <xdr:col>0</xdr:col>
      <xdr:colOff>0</xdr:colOff>
      <xdr:row>40</xdr:row>
      <xdr:rowOff>57150</xdr:rowOff>
    </xdr:from>
    <xdr:to>
      <xdr:col>14</xdr:col>
      <xdr:colOff>170228</xdr:colOff>
      <xdr:row>48</xdr:row>
      <xdr:rowOff>171264</xdr:rowOff>
    </xdr:to>
    <xdr:pic>
      <xdr:nvPicPr>
        <xdr:cNvPr id="5" name="图片 4"/>
        <xdr:cNvPicPr>
          <a:picLocks noChangeAspect="1"/>
        </xdr:cNvPicPr>
      </xdr:nvPicPr>
      <xdr:blipFill>
        <a:blip xmlns:r="http://schemas.openxmlformats.org/officeDocument/2006/relationships" r:embed="rId4"/>
        <a:stretch>
          <a:fillRect/>
        </a:stretch>
      </xdr:blipFill>
      <xdr:spPr>
        <a:xfrm>
          <a:off x="0" y="6915150"/>
          <a:ext cx="9771428" cy="1485714"/>
        </a:xfrm>
        <a:prstGeom prst="rect">
          <a:avLst/>
        </a:prstGeom>
      </xdr:spPr>
    </xdr:pic>
    <xdr:clientData/>
  </xdr:twoCellAnchor>
  <xdr:twoCellAnchor editAs="oneCell">
    <xdr:from>
      <xdr:col>0</xdr:col>
      <xdr:colOff>0</xdr:colOff>
      <xdr:row>49</xdr:row>
      <xdr:rowOff>0</xdr:rowOff>
    </xdr:from>
    <xdr:to>
      <xdr:col>14</xdr:col>
      <xdr:colOff>265467</xdr:colOff>
      <xdr:row>57</xdr:row>
      <xdr:rowOff>152210</xdr:rowOff>
    </xdr:to>
    <xdr:pic>
      <xdr:nvPicPr>
        <xdr:cNvPr id="6" name="图片 5"/>
        <xdr:cNvPicPr>
          <a:picLocks noChangeAspect="1"/>
        </xdr:cNvPicPr>
      </xdr:nvPicPr>
      <xdr:blipFill>
        <a:blip xmlns:r="http://schemas.openxmlformats.org/officeDocument/2006/relationships" r:embed="rId5"/>
        <a:stretch>
          <a:fillRect/>
        </a:stretch>
      </xdr:blipFill>
      <xdr:spPr>
        <a:xfrm>
          <a:off x="0" y="8401050"/>
          <a:ext cx="9866667" cy="1523810"/>
        </a:xfrm>
        <a:prstGeom prst="rect">
          <a:avLst/>
        </a:prstGeom>
      </xdr:spPr>
    </xdr:pic>
    <xdr:clientData/>
  </xdr:twoCellAnchor>
  <xdr:twoCellAnchor editAs="oneCell">
    <xdr:from>
      <xdr:col>0</xdr:col>
      <xdr:colOff>0</xdr:colOff>
      <xdr:row>58</xdr:row>
      <xdr:rowOff>0</xdr:rowOff>
    </xdr:from>
    <xdr:to>
      <xdr:col>14</xdr:col>
      <xdr:colOff>160705</xdr:colOff>
      <xdr:row>66</xdr:row>
      <xdr:rowOff>114114</xdr:rowOff>
    </xdr:to>
    <xdr:pic>
      <xdr:nvPicPr>
        <xdr:cNvPr id="7" name="图片 6"/>
        <xdr:cNvPicPr>
          <a:picLocks noChangeAspect="1"/>
        </xdr:cNvPicPr>
      </xdr:nvPicPr>
      <xdr:blipFill>
        <a:blip xmlns:r="http://schemas.openxmlformats.org/officeDocument/2006/relationships" r:embed="rId6"/>
        <a:stretch>
          <a:fillRect/>
        </a:stretch>
      </xdr:blipFill>
      <xdr:spPr>
        <a:xfrm>
          <a:off x="0" y="9944100"/>
          <a:ext cx="9761905" cy="1485714"/>
        </a:xfrm>
        <a:prstGeom prst="rect">
          <a:avLst/>
        </a:prstGeom>
      </xdr:spPr>
    </xdr:pic>
    <xdr:clientData/>
  </xdr:twoCellAnchor>
  <xdr:twoCellAnchor editAs="oneCell">
    <xdr:from>
      <xdr:col>0</xdr:col>
      <xdr:colOff>0</xdr:colOff>
      <xdr:row>68</xdr:row>
      <xdr:rowOff>0</xdr:rowOff>
    </xdr:from>
    <xdr:to>
      <xdr:col>13</xdr:col>
      <xdr:colOff>656028</xdr:colOff>
      <xdr:row>77</xdr:row>
      <xdr:rowOff>161712</xdr:rowOff>
    </xdr:to>
    <xdr:pic>
      <xdr:nvPicPr>
        <xdr:cNvPr id="8" name="图片 7"/>
        <xdr:cNvPicPr>
          <a:picLocks noChangeAspect="1"/>
        </xdr:cNvPicPr>
      </xdr:nvPicPr>
      <xdr:blipFill>
        <a:blip xmlns:r="http://schemas.openxmlformats.org/officeDocument/2006/relationships" r:embed="rId7"/>
        <a:stretch>
          <a:fillRect/>
        </a:stretch>
      </xdr:blipFill>
      <xdr:spPr>
        <a:xfrm>
          <a:off x="0" y="11658600"/>
          <a:ext cx="9571428" cy="1704762"/>
        </a:xfrm>
        <a:prstGeom prst="rect">
          <a:avLst/>
        </a:prstGeom>
      </xdr:spPr>
    </xdr:pic>
    <xdr:clientData/>
  </xdr:twoCellAnchor>
  <xdr:twoCellAnchor editAs="oneCell">
    <xdr:from>
      <xdr:col>15</xdr:col>
      <xdr:colOff>0</xdr:colOff>
      <xdr:row>52</xdr:row>
      <xdr:rowOff>0</xdr:rowOff>
    </xdr:from>
    <xdr:to>
      <xdr:col>26</xdr:col>
      <xdr:colOff>456200</xdr:colOff>
      <xdr:row>80</xdr:row>
      <xdr:rowOff>56543</xdr:rowOff>
    </xdr:to>
    <xdr:pic>
      <xdr:nvPicPr>
        <xdr:cNvPr id="9" name="图片 8"/>
        <xdr:cNvPicPr>
          <a:picLocks noChangeAspect="1"/>
        </xdr:cNvPicPr>
      </xdr:nvPicPr>
      <xdr:blipFill>
        <a:blip xmlns:r="http://schemas.openxmlformats.org/officeDocument/2006/relationships" r:embed="rId8"/>
        <a:stretch>
          <a:fillRect/>
        </a:stretch>
      </xdr:blipFill>
      <xdr:spPr>
        <a:xfrm>
          <a:off x="10287000" y="8915400"/>
          <a:ext cx="8000000" cy="485714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627971</xdr:colOff>
      <xdr:row>25</xdr:row>
      <xdr:rowOff>8988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5428571" cy="4295238"/>
        </a:xfrm>
        <a:prstGeom prst="rect">
          <a:avLst/>
        </a:prstGeom>
      </xdr:spPr>
    </xdr:pic>
    <xdr:clientData/>
  </xdr:twoCellAnchor>
  <xdr:twoCellAnchor editAs="oneCell">
    <xdr:from>
      <xdr:col>7</xdr:col>
      <xdr:colOff>666750</xdr:colOff>
      <xdr:row>0</xdr:row>
      <xdr:rowOff>66675</xdr:rowOff>
    </xdr:from>
    <xdr:to>
      <xdr:col>16</xdr:col>
      <xdr:colOff>361217</xdr:colOff>
      <xdr:row>19</xdr:row>
      <xdr:rowOff>151982</xdr:rowOff>
    </xdr:to>
    <xdr:pic>
      <xdr:nvPicPr>
        <xdr:cNvPr id="3" name="图片 2"/>
        <xdr:cNvPicPr>
          <a:picLocks noChangeAspect="1"/>
        </xdr:cNvPicPr>
      </xdr:nvPicPr>
      <xdr:blipFill>
        <a:blip xmlns:r="http://schemas.openxmlformats.org/officeDocument/2006/relationships" r:embed="rId2"/>
        <a:stretch>
          <a:fillRect/>
        </a:stretch>
      </xdr:blipFill>
      <xdr:spPr>
        <a:xfrm>
          <a:off x="5467350" y="66675"/>
          <a:ext cx="5866667" cy="3342857"/>
        </a:xfrm>
        <a:prstGeom prst="rect">
          <a:avLst/>
        </a:prstGeom>
      </xdr:spPr>
    </xdr:pic>
    <xdr:clientData/>
  </xdr:twoCellAnchor>
  <xdr:twoCellAnchor editAs="oneCell">
    <xdr:from>
      <xdr:col>0</xdr:col>
      <xdr:colOff>0</xdr:colOff>
      <xdr:row>22</xdr:row>
      <xdr:rowOff>85725</xdr:rowOff>
    </xdr:from>
    <xdr:to>
      <xdr:col>14</xdr:col>
      <xdr:colOff>532133</xdr:colOff>
      <xdr:row>53</xdr:row>
      <xdr:rowOff>56489</xdr:rowOff>
    </xdr:to>
    <xdr:pic>
      <xdr:nvPicPr>
        <xdr:cNvPr id="4" name="图片 3"/>
        <xdr:cNvPicPr>
          <a:picLocks noChangeAspect="1"/>
        </xdr:cNvPicPr>
      </xdr:nvPicPr>
      <xdr:blipFill>
        <a:blip xmlns:r="http://schemas.openxmlformats.org/officeDocument/2006/relationships" r:embed="rId3"/>
        <a:stretch>
          <a:fillRect/>
        </a:stretch>
      </xdr:blipFill>
      <xdr:spPr>
        <a:xfrm>
          <a:off x="0" y="3857625"/>
          <a:ext cx="10133333" cy="5285714"/>
        </a:xfrm>
        <a:prstGeom prst="rect">
          <a:avLst/>
        </a:prstGeom>
      </xdr:spPr>
    </xdr:pic>
    <xdr:clientData/>
  </xdr:twoCellAnchor>
  <xdr:twoCellAnchor editAs="oneCell">
    <xdr:from>
      <xdr:col>0</xdr:col>
      <xdr:colOff>0</xdr:colOff>
      <xdr:row>56</xdr:row>
      <xdr:rowOff>0</xdr:rowOff>
    </xdr:from>
    <xdr:to>
      <xdr:col>8</xdr:col>
      <xdr:colOff>189790</xdr:colOff>
      <xdr:row>83</xdr:row>
      <xdr:rowOff>18469</xdr:rowOff>
    </xdr:to>
    <xdr:pic>
      <xdr:nvPicPr>
        <xdr:cNvPr id="5" name="图片 4"/>
        <xdr:cNvPicPr>
          <a:picLocks noChangeAspect="1"/>
        </xdr:cNvPicPr>
      </xdr:nvPicPr>
      <xdr:blipFill>
        <a:blip xmlns:r="http://schemas.openxmlformats.org/officeDocument/2006/relationships" r:embed="rId4"/>
        <a:stretch>
          <a:fillRect/>
        </a:stretch>
      </xdr:blipFill>
      <xdr:spPr>
        <a:xfrm>
          <a:off x="0" y="9601200"/>
          <a:ext cx="5676190" cy="4647619"/>
        </a:xfrm>
        <a:prstGeom prst="rect">
          <a:avLst/>
        </a:prstGeom>
      </xdr:spPr>
    </xdr:pic>
    <xdr:clientData/>
  </xdr:twoCellAnchor>
  <xdr:twoCellAnchor editAs="oneCell">
    <xdr:from>
      <xdr:col>8</xdr:col>
      <xdr:colOff>285750</xdr:colOff>
      <xdr:row>56</xdr:row>
      <xdr:rowOff>9525</xdr:rowOff>
    </xdr:from>
    <xdr:to>
      <xdr:col>20</xdr:col>
      <xdr:colOff>399007</xdr:colOff>
      <xdr:row>86</xdr:row>
      <xdr:rowOff>66025</xdr:rowOff>
    </xdr:to>
    <xdr:pic>
      <xdr:nvPicPr>
        <xdr:cNvPr id="6" name="图片 5"/>
        <xdr:cNvPicPr>
          <a:picLocks noChangeAspect="1"/>
        </xdr:cNvPicPr>
      </xdr:nvPicPr>
      <xdr:blipFill>
        <a:blip xmlns:r="http://schemas.openxmlformats.org/officeDocument/2006/relationships" r:embed="rId5"/>
        <a:stretch>
          <a:fillRect/>
        </a:stretch>
      </xdr:blipFill>
      <xdr:spPr>
        <a:xfrm>
          <a:off x="5772150" y="9610725"/>
          <a:ext cx="8342857" cy="5200000"/>
        </a:xfrm>
        <a:prstGeom prst="rect">
          <a:avLst/>
        </a:prstGeom>
      </xdr:spPr>
    </xdr:pic>
    <xdr:clientData/>
  </xdr:twoCellAnchor>
  <xdr:twoCellAnchor editAs="oneCell">
    <xdr:from>
      <xdr:col>0</xdr:col>
      <xdr:colOff>0</xdr:colOff>
      <xdr:row>89</xdr:row>
      <xdr:rowOff>0</xdr:rowOff>
    </xdr:from>
    <xdr:to>
      <xdr:col>8</xdr:col>
      <xdr:colOff>132648</xdr:colOff>
      <xdr:row>109</xdr:row>
      <xdr:rowOff>18619</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5259050"/>
          <a:ext cx="5619048" cy="3447619"/>
        </a:xfrm>
        <a:prstGeom prst="rect">
          <a:avLst/>
        </a:prstGeom>
      </xdr:spPr>
    </xdr:pic>
    <xdr:clientData/>
  </xdr:twoCellAnchor>
  <xdr:twoCellAnchor editAs="oneCell">
    <xdr:from>
      <xdr:col>8</xdr:col>
      <xdr:colOff>180975</xdr:colOff>
      <xdr:row>90</xdr:row>
      <xdr:rowOff>0</xdr:rowOff>
    </xdr:from>
    <xdr:to>
      <xdr:col>20</xdr:col>
      <xdr:colOff>256137</xdr:colOff>
      <xdr:row>115</xdr:row>
      <xdr:rowOff>132798</xdr:rowOff>
    </xdr:to>
    <xdr:pic>
      <xdr:nvPicPr>
        <xdr:cNvPr id="8" name="图片 7"/>
        <xdr:cNvPicPr>
          <a:picLocks noChangeAspect="1"/>
        </xdr:cNvPicPr>
      </xdr:nvPicPr>
      <xdr:blipFill>
        <a:blip xmlns:r="http://schemas.openxmlformats.org/officeDocument/2006/relationships" r:embed="rId7"/>
        <a:stretch>
          <a:fillRect/>
        </a:stretch>
      </xdr:blipFill>
      <xdr:spPr>
        <a:xfrm>
          <a:off x="5667375" y="15430500"/>
          <a:ext cx="8304762" cy="4419048"/>
        </a:xfrm>
        <a:prstGeom prst="rect">
          <a:avLst/>
        </a:prstGeom>
      </xdr:spPr>
    </xdr:pic>
    <xdr:clientData/>
  </xdr:twoCellAnchor>
  <xdr:twoCellAnchor editAs="oneCell">
    <xdr:from>
      <xdr:col>0</xdr:col>
      <xdr:colOff>0</xdr:colOff>
      <xdr:row>117</xdr:row>
      <xdr:rowOff>0</xdr:rowOff>
    </xdr:from>
    <xdr:to>
      <xdr:col>17</xdr:col>
      <xdr:colOff>55686</xdr:colOff>
      <xdr:row>148</xdr:row>
      <xdr:rowOff>104098</xdr:rowOff>
    </xdr:to>
    <xdr:pic>
      <xdr:nvPicPr>
        <xdr:cNvPr id="9" name="图片 8"/>
        <xdr:cNvPicPr>
          <a:picLocks noChangeAspect="1"/>
        </xdr:cNvPicPr>
      </xdr:nvPicPr>
      <xdr:blipFill>
        <a:blip xmlns:r="http://schemas.openxmlformats.org/officeDocument/2006/relationships" r:embed="rId8"/>
        <a:stretch>
          <a:fillRect/>
        </a:stretch>
      </xdr:blipFill>
      <xdr:spPr>
        <a:xfrm>
          <a:off x="0" y="20059650"/>
          <a:ext cx="11714286" cy="5419048"/>
        </a:xfrm>
        <a:prstGeom prst="rect">
          <a:avLst/>
        </a:prstGeom>
      </xdr:spPr>
    </xdr:pic>
    <xdr:clientData/>
  </xdr:twoCellAnchor>
  <xdr:twoCellAnchor editAs="oneCell">
    <xdr:from>
      <xdr:col>0</xdr:col>
      <xdr:colOff>0</xdr:colOff>
      <xdr:row>149</xdr:row>
      <xdr:rowOff>0</xdr:rowOff>
    </xdr:from>
    <xdr:to>
      <xdr:col>17</xdr:col>
      <xdr:colOff>646162</xdr:colOff>
      <xdr:row>178</xdr:row>
      <xdr:rowOff>104140</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25546050"/>
          <a:ext cx="12304762" cy="5076190"/>
        </a:xfrm>
        <a:prstGeom prst="rect">
          <a:avLst/>
        </a:prstGeom>
      </xdr:spPr>
    </xdr:pic>
    <xdr:clientData/>
  </xdr:twoCellAnchor>
  <xdr:twoCellAnchor editAs="oneCell">
    <xdr:from>
      <xdr:col>0</xdr:col>
      <xdr:colOff>0</xdr:colOff>
      <xdr:row>179</xdr:row>
      <xdr:rowOff>0</xdr:rowOff>
    </xdr:from>
    <xdr:to>
      <xdr:col>17</xdr:col>
      <xdr:colOff>8067</xdr:colOff>
      <xdr:row>208</xdr:row>
      <xdr:rowOff>132712</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30689550"/>
          <a:ext cx="11666667" cy="5104762"/>
        </a:xfrm>
        <a:prstGeom prst="rect">
          <a:avLst/>
        </a:prstGeom>
      </xdr:spPr>
    </xdr:pic>
    <xdr:clientData/>
  </xdr:twoCellAnchor>
  <xdr:twoCellAnchor editAs="oneCell">
    <xdr:from>
      <xdr:col>8</xdr:col>
      <xdr:colOff>211455</xdr:colOff>
      <xdr:row>93</xdr:row>
      <xdr:rowOff>7621</xdr:rowOff>
    </xdr:from>
    <xdr:to>
      <xdr:col>20</xdr:col>
      <xdr:colOff>243840</xdr:colOff>
      <xdr:row>98</xdr:row>
      <xdr:rowOff>109623</xdr:rowOff>
    </xdr:to>
    <xdr:pic>
      <xdr:nvPicPr>
        <xdr:cNvPr id="12" name="图片 11"/>
        <xdr:cNvPicPr>
          <a:picLocks noChangeAspect="1"/>
        </xdr:cNvPicPr>
      </xdr:nvPicPr>
      <xdr:blipFill>
        <a:blip xmlns:r="http://schemas.openxmlformats.org/officeDocument/2006/relationships" r:embed="rId11"/>
        <a:stretch>
          <a:fillRect/>
        </a:stretch>
      </xdr:blipFill>
      <xdr:spPr>
        <a:xfrm>
          <a:off x="5088255" y="17015461"/>
          <a:ext cx="7347585" cy="101640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11</xdr:row>
      <xdr:rowOff>0</xdr:rowOff>
    </xdr:from>
    <xdr:to>
      <xdr:col>12</xdr:col>
      <xdr:colOff>160748</xdr:colOff>
      <xdr:row>21</xdr:row>
      <xdr:rowOff>95024</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419048" cy="1809524"/>
        </a:xfrm>
        <a:prstGeom prst="rect">
          <a:avLst/>
        </a:prstGeom>
      </xdr:spPr>
    </xdr:pic>
    <xdr:clientData/>
  </xdr:twoCellAnchor>
  <xdr:twoCellAnchor editAs="oneCell">
    <xdr:from>
      <xdr:col>0</xdr:col>
      <xdr:colOff>0</xdr:colOff>
      <xdr:row>22</xdr:row>
      <xdr:rowOff>0</xdr:rowOff>
    </xdr:from>
    <xdr:to>
      <xdr:col>12</xdr:col>
      <xdr:colOff>398843</xdr:colOff>
      <xdr:row>44</xdr:row>
      <xdr:rowOff>37624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885950"/>
          <a:ext cx="9657143" cy="3809524"/>
        </a:xfrm>
        <a:prstGeom prst="rect">
          <a:avLst/>
        </a:prstGeom>
      </xdr:spPr>
    </xdr:pic>
    <xdr:clientData/>
  </xdr:twoCellAnchor>
  <xdr:twoCellAnchor editAs="oneCell">
    <xdr:from>
      <xdr:col>0</xdr:col>
      <xdr:colOff>0</xdr:colOff>
      <xdr:row>45</xdr:row>
      <xdr:rowOff>0</xdr:rowOff>
    </xdr:from>
    <xdr:to>
      <xdr:col>12</xdr:col>
      <xdr:colOff>360748</xdr:colOff>
      <xdr:row>66</xdr:row>
      <xdr:rowOff>151931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5829300"/>
          <a:ext cx="9619048" cy="3752381"/>
        </a:xfrm>
        <a:prstGeom prst="rect">
          <a:avLst/>
        </a:prstGeom>
      </xdr:spPr>
    </xdr:pic>
    <xdr:clientData/>
  </xdr:twoCellAnchor>
  <xdr:twoCellAnchor editAs="oneCell">
    <xdr:from>
      <xdr:col>0</xdr:col>
      <xdr:colOff>0</xdr:colOff>
      <xdr:row>68</xdr:row>
      <xdr:rowOff>0</xdr:rowOff>
    </xdr:from>
    <xdr:to>
      <xdr:col>12</xdr:col>
      <xdr:colOff>246462</xdr:colOff>
      <xdr:row>89</xdr:row>
      <xdr:rowOff>151931</xdr:rowOff>
    </xdr:to>
    <xdr:pic>
      <xdr:nvPicPr>
        <xdr:cNvPr id="5" name="图片 4"/>
        <xdr:cNvPicPr>
          <a:picLocks noChangeAspect="1"/>
        </xdr:cNvPicPr>
      </xdr:nvPicPr>
      <xdr:blipFill>
        <a:blip xmlns:r="http://schemas.openxmlformats.org/officeDocument/2006/relationships" r:embed="rId4"/>
        <a:stretch>
          <a:fillRect/>
        </a:stretch>
      </xdr:blipFill>
      <xdr:spPr>
        <a:xfrm>
          <a:off x="0" y="9772650"/>
          <a:ext cx="9504762" cy="3752381"/>
        </a:xfrm>
        <a:prstGeom prst="rect">
          <a:avLst/>
        </a:prstGeom>
      </xdr:spPr>
    </xdr:pic>
    <xdr:clientData/>
  </xdr:twoCellAnchor>
  <xdr:twoCellAnchor editAs="oneCell">
    <xdr:from>
      <xdr:col>0</xdr:col>
      <xdr:colOff>0</xdr:colOff>
      <xdr:row>91</xdr:row>
      <xdr:rowOff>0</xdr:rowOff>
    </xdr:from>
    <xdr:to>
      <xdr:col>12</xdr:col>
      <xdr:colOff>46462</xdr:colOff>
      <xdr:row>113</xdr:row>
      <xdr:rowOff>28100</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3716000"/>
          <a:ext cx="9304762" cy="3800000"/>
        </a:xfrm>
        <a:prstGeom prst="rect">
          <a:avLst/>
        </a:prstGeom>
      </xdr:spPr>
    </xdr:pic>
    <xdr:clientData/>
  </xdr:twoCellAnchor>
  <xdr:twoCellAnchor editAs="oneCell">
    <xdr:from>
      <xdr:col>0</xdr:col>
      <xdr:colOff>0</xdr:colOff>
      <xdr:row>114</xdr:row>
      <xdr:rowOff>0</xdr:rowOff>
    </xdr:from>
    <xdr:to>
      <xdr:col>12</xdr:col>
      <xdr:colOff>246462</xdr:colOff>
      <xdr:row>137</xdr:row>
      <xdr:rowOff>161412</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7659350"/>
          <a:ext cx="9504762" cy="4104762"/>
        </a:xfrm>
        <a:prstGeom prst="rect">
          <a:avLst/>
        </a:prstGeom>
      </xdr:spPr>
    </xdr:pic>
    <xdr:clientData/>
  </xdr:twoCellAnchor>
  <xdr:twoCellAnchor editAs="oneCell">
    <xdr:from>
      <xdr:col>0</xdr:col>
      <xdr:colOff>0</xdr:colOff>
      <xdr:row>138</xdr:row>
      <xdr:rowOff>0</xdr:rowOff>
    </xdr:from>
    <xdr:to>
      <xdr:col>12</xdr:col>
      <xdr:colOff>17890</xdr:colOff>
      <xdr:row>148</xdr:row>
      <xdr:rowOff>152167</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1774150"/>
          <a:ext cx="9276190" cy="1866667"/>
        </a:xfrm>
        <a:prstGeom prst="rect">
          <a:avLst/>
        </a:prstGeom>
      </xdr:spPr>
    </xdr:pic>
    <xdr:clientData/>
  </xdr:twoCellAnchor>
  <xdr:twoCellAnchor editAs="oneCell">
    <xdr:from>
      <xdr:col>0</xdr:col>
      <xdr:colOff>0</xdr:colOff>
      <xdr:row>150</xdr:row>
      <xdr:rowOff>0</xdr:rowOff>
    </xdr:from>
    <xdr:to>
      <xdr:col>12</xdr:col>
      <xdr:colOff>313128</xdr:colOff>
      <xdr:row>172</xdr:row>
      <xdr:rowOff>66195</xdr:rowOff>
    </xdr:to>
    <xdr:pic>
      <xdr:nvPicPr>
        <xdr:cNvPr id="9" name="图片 8"/>
        <xdr:cNvPicPr>
          <a:picLocks noChangeAspect="1"/>
        </xdr:cNvPicPr>
      </xdr:nvPicPr>
      <xdr:blipFill>
        <a:blip xmlns:r="http://schemas.openxmlformats.org/officeDocument/2006/relationships" r:embed="rId8"/>
        <a:stretch>
          <a:fillRect/>
        </a:stretch>
      </xdr:blipFill>
      <xdr:spPr>
        <a:xfrm>
          <a:off x="0" y="23831550"/>
          <a:ext cx="9571428" cy="3838095"/>
        </a:xfrm>
        <a:prstGeom prst="rect">
          <a:avLst/>
        </a:prstGeom>
      </xdr:spPr>
    </xdr:pic>
    <xdr:clientData/>
  </xdr:twoCellAnchor>
  <xdr:twoCellAnchor editAs="oneCell">
    <xdr:from>
      <xdr:col>0</xdr:col>
      <xdr:colOff>0</xdr:colOff>
      <xdr:row>174</xdr:row>
      <xdr:rowOff>0</xdr:rowOff>
    </xdr:from>
    <xdr:to>
      <xdr:col>12</xdr:col>
      <xdr:colOff>503605</xdr:colOff>
      <xdr:row>196</xdr:row>
      <xdr:rowOff>161433</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27946350"/>
          <a:ext cx="9761905" cy="3933333"/>
        </a:xfrm>
        <a:prstGeom prst="rect">
          <a:avLst/>
        </a:prstGeom>
      </xdr:spPr>
    </xdr:pic>
    <xdr:clientData/>
  </xdr:twoCellAnchor>
  <xdr:twoCellAnchor editAs="oneCell">
    <xdr:from>
      <xdr:col>0</xdr:col>
      <xdr:colOff>0</xdr:colOff>
      <xdr:row>197</xdr:row>
      <xdr:rowOff>0</xdr:rowOff>
    </xdr:from>
    <xdr:to>
      <xdr:col>12</xdr:col>
      <xdr:colOff>503605</xdr:colOff>
      <xdr:row>219</xdr:row>
      <xdr:rowOff>123338</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31889700"/>
          <a:ext cx="9761905" cy="3895238"/>
        </a:xfrm>
        <a:prstGeom prst="rect">
          <a:avLst/>
        </a:prstGeom>
      </xdr:spPr>
    </xdr:pic>
    <xdr:clientData/>
  </xdr:twoCellAnchor>
  <xdr:twoCellAnchor editAs="oneCell">
    <xdr:from>
      <xdr:col>0</xdr:col>
      <xdr:colOff>0</xdr:colOff>
      <xdr:row>220</xdr:row>
      <xdr:rowOff>0</xdr:rowOff>
    </xdr:from>
    <xdr:to>
      <xdr:col>12</xdr:col>
      <xdr:colOff>246462</xdr:colOff>
      <xdr:row>242</xdr:row>
      <xdr:rowOff>28100</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35833050"/>
          <a:ext cx="9504762" cy="3800000"/>
        </a:xfrm>
        <a:prstGeom prst="rect">
          <a:avLst/>
        </a:prstGeom>
      </xdr:spPr>
    </xdr:pic>
    <xdr:clientData/>
  </xdr:twoCellAnchor>
  <xdr:twoCellAnchor editAs="oneCell">
    <xdr:from>
      <xdr:col>0</xdr:col>
      <xdr:colOff>0</xdr:colOff>
      <xdr:row>244</xdr:row>
      <xdr:rowOff>0</xdr:rowOff>
    </xdr:from>
    <xdr:to>
      <xdr:col>12</xdr:col>
      <xdr:colOff>132176</xdr:colOff>
      <xdr:row>266</xdr:row>
      <xdr:rowOff>56671</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39947850"/>
          <a:ext cx="9390476" cy="3828571"/>
        </a:xfrm>
        <a:prstGeom prst="rect">
          <a:avLst/>
        </a:prstGeom>
      </xdr:spPr>
    </xdr:pic>
    <xdr:clientData/>
  </xdr:twoCellAnchor>
  <xdr:twoCellAnchor editAs="oneCell">
    <xdr:from>
      <xdr:col>11</xdr:col>
      <xdr:colOff>523875</xdr:colOff>
      <xdr:row>0</xdr:row>
      <xdr:rowOff>0</xdr:rowOff>
    </xdr:from>
    <xdr:to>
      <xdr:col>22</xdr:col>
      <xdr:colOff>237218</xdr:colOff>
      <xdr:row>27</xdr:row>
      <xdr:rowOff>18469</xdr:rowOff>
    </xdr:to>
    <xdr:pic>
      <xdr:nvPicPr>
        <xdr:cNvPr id="14" name="图片 13"/>
        <xdr:cNvPicPr>
          <a:picLocks noChangeAspect="1"/>
        </xdr:cNvPicPr>
      </xdr:nvPicPr>
      <xdr:blipFill>
        <a:blip xmlns:r="http://schemas.openxmlformats.org/officeDocument/2006/relationships" r:embed="rId13"/>
        <a:stretch>
          <a:fillRect/>
        </a:stretch>
      </xdr:blipFill>
      <xdr:spPr>
        <a:xfrm>
          <a:off x="9096375" y="0"/>
          <a:ext cx="7257143" cy="4647619"/>
        </a:xfrm>
        <a:prstGeom prst="rect">
          <a:avLst/>
        </a:prstGeom>
      </xdr:spPr>
    </xdr:pic>
    <xdr:clientData/>
  </xdr:twoCellAnchor>
  <xdr:twoCellAnchor editAs="oneCell">
    <xdr:from>
      <xdr:col>11</xdr:col>
      <xdr:colOff>504825</xdr:colOff>
      <xdr:row>28</xdr:row>
      <xdr:rowOff>9525</xdr:rowOff>
    </xdr:from>
    <xdr:to>
      <xdr:col>23</xdr:col>
      <xdr:colOff>465701</xdr:colOff>
      <xdr:row>58</xdr:row>
      <xdr:rowOff>8882</xdr:rowOff>
    </xdr:to>
    <xdr:pic>
      <xdr:nvPicPr>
        <xdr:cNvPr id="15" name="图片 14"/>
        <xdr:cNvPicPr>
          <a:picLocks noChangeAspect="1"/>
        </xdr:cNvPicPr>
      </xdr:nvPicPr>
      <xdr:blipFill>
        <a:blip xmlns:r="http://schemas.openxmlformats.org/officeDocument/2006/relationships" r:embed="rId14"/>
        <a:stretch>
          <a:fillRect/>
        </a:stretch>
      </xdr:blipFill>
      <xdr:spPr>
        <a:xfrm>
          <a:off x="9077325" y="4810125"/>
          <a:ext cx="8190476" cy="514285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win10/Desktop/&#27979;&#31639;-&#39318;&#24320;&#29081;&#24742;&#22825;&#34903;.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26446;&#35799;&#38678;\&#35799;&#38678;wuli&#25253;&#21578;&#20204;\2020&#24180;\&#39033;&#30446;\&#31199;&#37329;\2020-1-0355-F01ZLGJ6%20&#21271;&#20140;&#24066;&#26397;&#38451;&#21306;&#22433;&#22836;&#22320;&#21306;&#28966;&#21270;&#21378;&#20844;&#31199;&#25151;&#39033;&#30446;&#21830;&#19994;&#29992;&#25151;&#25151;&#22320;&#20135;&#24066;&#22330;&#31199;&#37329;&#35780;&#20272;\F01\&#32456;&#29256;\&#27979;&#31639;-&#28966;&#21270;&#21378;&#21830;&#19994;&#29992;&#25151;2020-11-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D:\&#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典型户型修正"/>
      <sheetName val="分套面积表"/>
      <sheetName val="Sheet1"/>
      <sheetName val="Sheet4"/>
      <sheetName val="结果"/>
      <sheetName val="结果汇总"/>
      <sheetName val="结果表1层商业"/>
      <sheetName val="租金比较法-商业"/>
      <sheetName val="商业租金案例"/>
      <sheetName val="收益法倒推租金"/>
      <sheetName val="比较法-商业售价"/>
      <sheetName val="房山区商业平均售价"/>
      <sheetName val="在售"/>
      <sheetName val="商住售价"/>
      <sheetName val="商业出售案例"/>
      <sheetName val="成本法-商业"/>
      <sheetName val="基准地价修正"/>
      <sheetName val="比较法-车位"/>
      <sheetName val="收益法-车位"/>
      <sheetName val="比较法-仓储"/>
      <sheetName val="收益法-仓储"/>
      <sheetName val="仓储租金案例"/>
      <sheetName val="成本法-仓储"/>
      <sheetName val="成本法 (元)"/>
      <sheetName val="假设开发法"/>
      <sheetName val="收益法 (元)"/>
      <sheetName val="收益法-酒店模型"/>
      <sheetName val="收益法（汇总）"/>
      <sheetName val="比较法-住宅"/>
      <sheetName val="比较法-办公"/>
      <sheetName val="比较法-工业"/>
      <sheetName val="土地比较法-住宅、综合"/>
      <sheetName val="土地比较法-工业"/>
      <sheetName val="修正"/>
      <sheetName val="容积率修正"/>
      <sheetName val="基准地价（汇总）"/>
      <sheetName val="地价"/>
      <sheetName val="成本法（废）"/>
      <sheetName val="区片价"/>
      <sheetName val="因素修正幅度"/>
      <sheetName val="存贷款利率"/>
      <sheetName val="系统读取表"/>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sheetData sheetId="14">
        <row r="33">
          <cell r="B33">
            <v>0.03</v>
          </cell>
        </row>
        <row r="35">
          <cell r="B35">
            <v>200</v>
          </cell>
        </row>
        <row r="36">
          <cell r="B36">
            <v>1.4999999999999999E-2</v>
          </cell>
        </row>
        <row r="51">
          <cell r="B51">
            <v>0.12</v>
          </cell>
        </row>
      </sheetData>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row r="62">
          <cell r="A62" t="str">
            <v>交易情况</v>
          </cell>
          <cell r="B62">
            <v>0</v>
          </cell>
          <cell r="C62" t="str">
            <v>正常</v>
          </cell>
          <cell r="D62">
            <v>0</v>
          </cell>
          <cell r="E62">
            <v>0</v>
          </cell>
          <cell r="F62">
            <v>0</v>
          </cell>
          <cell r="G62">
            <v>0</v>
          </cell>
          <cell r="H62">
            <v>0</v>
          </cell>
          <cell r="I62">
            <v>0</v>
          </cell>
          <cell r="J62">
            <v>0</v>
          </cell>
          <cell r="K62">
            <v>0</v>
          </cell>
          <cell r="L62">
            <v>0</v>
          </cell>
          <cell r="M62">
            <v>0</v>
          </cell>
        </row>
        <row r="87">
          <cell r="B87" t="str">
            <v>毗邻道路的类型与等级</v>
          </cell>
          <cell r="C87">
            <v>0</v>
          </cell>
          <cell r="D87">
            <v>0</v>
          </cell>
          <cell r="E87">
            <v>0</v>
          </cell>
          <cell r="F87">
            <v>0</v>
          </cell>
          <cell r="G87">
            <v>0</v>
          </cell>
          <cell r="H87">
            <v>0</v>
          </cell>
          <cell r="I87">
            <v>0</v>
          </cell>
          <cell r="J87">
            <v>0</v>
          </cell>
          <cell r="K87">
            <v>0</v>
          </cell>
          <cell r="L87">
            <v>0</v>
          </cell>
          <cell r="M87">
            <v>0</v>
          </cell>
        </row>
        <row r="115">
          <cell r="B115" t="str">
            <v>物业管理</v>
          </cell>
          <cell r="C115">
            <v>0</v>
          </cell>
          <cell r="D115">
            <v>0</v>
          </cell>
          <cell r="E115">
            <v>0</v>
          </cell>
          <cell r="F115">
            <v>0</v>
          </cell>
          <cell r="G115">
            <v>0</v>
          </cell>
          <cell r="H115">
            <v>0</v>
          </cell>
          <cell r="I115">
            <v>0</v>
          </cell>
          <cell r="J115">
            <v>0</v>
          </cell>
          <cell r="K115">
            <v>0</v>
          </cell>
          <cell r="L115">
            <v>0</v>
          </cell>
          <cell r="M115">
            <v>0</v>
          </cell>
        </row>
      </sheetData>
      <sheetData sheetId="46"/>
      <sheetData sheetId="47"/>
      <sheetData sheetId="48"/>
      <sheetData sheetId="49"/>
      <sheetData sheetId="50"/>
      <sheetData sheetId="51"/>
      <sheetData sheetId="52"/>
      <sheetData sheetId="53"/>
      <sheetData sheetId="54"/>
      <sheetData sheetId="55"/>
      <sheetData sheetId="56"/>
      <sheetData sheetId="57"/>
      <sheetData sheetId="58"/>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容积率设定"/>
      <sheetName val="土地级别"/>
      <sheetName val="项目基本情况"/>
      <sheetName val="抵押物清单（分楼）"/>
      <sheetName val="数据-基础表"/>
      <sheetName val="数据-汇总表"/>
      <sheetName val="结果汇总表-分租"/>
      <sheetName val="数据-取费表"/>
      <sheetName val="面积总表2020-11-12"/>
      <sheetName val="Sheet2"/>
      <sheetName val="结果表-分业态"/>
      <sheetName val="结果汇总表-整租"/>
      <sheetName val="地上商业测绘面积表"/>
      <sheetName val="地下商业面积依据"/>
      <sheetName val="估价对象房地状况"/>
      <sheetName val="收益法倒推租金"/>
      <sheetName val="结果表"/>
      <sheetName val="比较法-商业"/>
      <sheetName val="商业出售案例"/>
      <sheetName val="成本法"/>
      <sheetName val="成本法 (元)"/>
      <sheetName val="假设开发法"/>
      <sheetName val="基准地价修正"/>
      <sheetName val="收益法"/>
      <sheetName val="收益法 (元)"/>
      <sheetName val="收益法（汇总）"/>
      <sheetName val="酒店收入计算"/>
      <sheetName val="比较法-住宅"/>
      <sheetName val="比较法-办公"/>
      <sheetName val="比较法-工业"/>
      <sheetName val="比较法-车位"/>
      <sheetName val="比较法-仓储"/>
      <sheetName val="土地比较法-住宅、综合"/>
      <sheetName val="土地比较法-工业"/>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系统读取表"/>
      <sheetName val="委托人提供的面积表"/>
      <sheetName val="面积汇总表2020-6-30"/>
      <sheetName val="商业面积汇总表2020-7-13"/>
      <sheetName val="面积汇总表2020-11-12"/>
      <sheetName val="面积明细表2020-11-12"/>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v>0</v>
          </cell>
        </row>
        <row r="6">
          <cell r="A6" t="str">
            <v>叶凌</v>
          </cell>
        </row>
        <row r="7">
          <cell r="A7" t="str">
            <v>王鹏</v>
          </cell>
        </row>
        <row r="8">
          <cell r="A8" t="str">
            <v>欧红伟</v>
          </cell>
        </row>
        <row r="9">
          <cell r="A9" t="str">
            <v>吴薇</v>
          </cell>
        </row>
        <row r="10">
          <cell r="A10" t="str">
            <v>陈颖</v>
          </cell>
        </row>
        <row r="11">
          <cell r="A11" t="str">
            <v>崔锴</v>
          </cell>
        </row>
        <row r="12">
          <cell r="A12">
            <v>0</v>
          </cell>
        </row>
        <row r="13">
          <cell r="A13" t="str">
            <v>郑燚</v>
          </cell>
        </row>
        <row r="14">
          <cell r="A14" t="str">
            <v>苏海</v>
          </cell>
        </row>
        <row r="15">
          <cell r="A15">
            <v>0</v>
          </cell>
        </row>
        <row r="16">
          <cell r="A16">
            <v>0</v>
          </cell>
        </row>
        <row r="17">
          <cell r="A17">
            <v>0</v>
          </cell>
        </row>
        <row r="18">
          <cell r="A18" t="str">
            <v>赵璠</v>
          </cell>
        </row>
        <row r="19">
          <cell r="A19">
            <v>0</v>
          </cell>
        </row>
        <row r="20">
          <cell r="A20">
            <v>0</v>
          </cell>
        </row>
        <row r="21">
          <cell r="A21">
            <v>0</v>
          </cell>
        </row>
        <row r="22">
          <cell r="A22" t="str">
            <v>刘敬东</v>
          </cell>
        </row>
        <row r="23">
          <cell r="A23" t="str">
            <v>刘俊财</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H8">
            <v>0</v>
          </cell>
          <cell r="I8" t="str">
            <v>0-10（含）</v>
          </cell>
        </row>
        <row r="9">
          <cell r="A9" t="str">
            <v>联排</v>
          </cell>
          <cell r="B9" t="str">
            <v>比较法-商业</v>
          </cell>
          <cell r="C9" t="str">
            <v>八级</v>
          </cell>
          <cell r="F9" t="str">
            <v>仓储</v>
          </cell>
          <cell r="H9">
            <v>0</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G1/G3/G4/G5/G6商业楼</v>
          </cell>
          <cell r="B28" t="str">
            <v>*</v>
          </cell>
        </row>
        <row r="29">
          <cell r="A29" t="str">
            <v>下沉商业</v>
          </cell>
          <cell r="B29" t="str">
            <v>*</v>
          </cell>
        </row>
        <row r="30">
          <cell r="A30" t="str">
            <v>城市之眼商业楼</v>
          </cell>
          <cell r="B30" t="str">
            <v>*</v>
          </cell>
        </row>
        <row r="31">
          <cell r="A31" t="str">
            <v>地下通廊商业</v>
          </cell>
          <cell r="B31" t="str">
            <v>*</v>
          </cell>
        </row>
        <row r="32">
          <cell r="A32">
            <v>0</v>
          </cell>
          <cell r="B32" t="str">
            <v>*</v>
          </cell>
        </row>
        <row r="33">
          <cell r="A33">
            <v>0</v>
          </cell>
          <cell r="B33" t="str">
            <v>*</v>
          </cell>
        </row>
        <row r="34">
          <cell r="A34" t="str">
            <v>一层</v>
          </cell>
          <cell r="B34" t="str">
            <v>*</v>
          </cell>
        </row>
        <row r="35">
          <cell r="A35" t="str">
            <v>二层</v>
          </cell>
          <cell r="B35" t="str">
            <v>*</v>
          </cell>
        </row>
        <row r="36">
          <cell r="A36" t="str">
            <v>三层</v>
          </cell>
          <cell r="B36" t="str">
            <v>*</v>
          </cell>
        </row>
        <row r="37">
          <cell r="A37" t="str">
            <v>四层</v>
          </cell>
          <cell r="B37" t="str">
            <v>*</v>
          </cell>
        </row>
        <row r="38">
          <cell r="A38" t="str">
            <v>五层</v>
          </cell>
          <cell r="B38" t="str">
            <v>*</v>
          </cell>
        </row>
        <row r="39">
          <cell r="A39" t="str">
            <v>地下一层</v>
          </cell>
          <cell r="B39" t="str">
            <v>*</v>
          </cell>
        </row>
        <row r="40">
          <cell r="A40" t="str">
            <v>地下二层</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sheetData sheetId="14"/>
      <sheetData sheetId="15">
        <row r="17">
          <cell r="C17" t="str">
            <v>项目类型</v>
          </cell>
        </row>
        <row r="18">
          <cell r="C18">
            <v>0</v>
          </cell>
        </row>
        <row r="19">
          <cell r="C19" t="str">
            <v>商业</v>
          </cell>
        </row>
        <row r="20">
          <cell r="C20">
            <v>0</v>
          </cell>
        </row>
        <row r="21">
          <cell r="C21">
            <v>0</v>
          </cell>
        </row>
        <row r="22">
          <cell r="C22">
            <v>0</v>
          </cell>
        </row>
        <row r="23">
          <cell r="C23">
            <v>0</v>
          </cell>
        </row>
        <row r="24">
          <cell r="C24">
            <v>0</v>
          </cell>
        </row>
        <row r="25">
          <cell r="C25">
            <v>0</v>
          </cell>
        </row>
        <row r="26">
          <cell r="C26">
            <v>0</v>
          </cell>
        </row>
      </sheetData>
      <sheetData sheetId="16"/>
      <sheetData sheetId="17">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8"/>
      <sheetData sheetId="19"/>
      <sheetData sheetId="20"/>
      <sheetData sheetId="21"/>
      <sheetData sheetId="22"/>
      <sheetData sheetId="23"/>
      <sheetData sheetId="24"/>
      <sheetData sheetId="25"/>
      <sheetData sheetId="26">
        <row r="20">
          <cell r="G20">
            <v>22536</v>
          </cell>
        </row>
      </sheetData>
      <sheetData sheetId="27">
        <row r="61">
          <cell r="A61" t="str">
            <v>交易情况</v>
          </cell>
          <cell r="B61">
            <v>0</v>
          </cell>
          <cell r="C61" t="str">
            <v>正常</v>
          </cell>
          <cell r="D61" t="str">
            <v>挂牌</v>
          </cell>
          <cell r="E61">
            <v>0</v>
          </cell>
          <cell r="F61">
            <v>0</v>
          </cell>
          <cell r="G61">
            <v>0</v>
          </cell>
          <cell r="H61">
            <v>0</v>
          </cell>
          <cell r="I61">
            <v>0</v>
          </cell>
          <cell r="J61">
            <v>0</v>
          </cell>
          <cell r="K61">
            <v>0</v>
          </cell>
          <cell r="L61">
            <v>0</v>
          </cell>
          <cell r="M61">
            <v>0</v>
          </cell>
        </row>
        <row r="63">
          <cell r="B63" t="str">
            <v>用途</v>
          </cell>
          <cell r="C63" t="str">
            <v>商业</v>
          </cell>
          <cell r="D63">
            <v>0</v>
          </cell>
          <cell r="E63">
            <v>0</v>
          </cell>
          <cell r="F63">
            <v>0</v>
          </cell>
          <cell r="G63">
            <v>0</v>
          </cell>
          <cell r="H63">
            <v>0</v>
          </cell>
          <cell r="I63">
            <v>0</v>
          </cell>
          <cell r="J63">
            <v>0</v>
          </cell>
          <cell r="K63">
            <v>0</v>
          </cell>
          <cell r="L63">
            <v>0</v>
          </cell>
          <cell r="M63">
            <v>0</v>
          </cell>
        </row>
        <row r="86">
          <cell r="B86" t="str">
            <v>临街状况</v>
          </cell>
          <cell r="C86" t="str">
            <v>双面临街</v>
          </cell>
          <cell r="D86" t="str">
            <v>单面临街</v>
          </cell>
          <cell r="E86" t="str">
            <v>不临街</v>
          </cell>
          <cell r="F86">
            <v>0</v>
          </cell>
          <cell r="G86">
            <v>0</v>
          </cell>
          <cell r="H86">
            <v>0</v>
          </cell>
          <cell r="I86">
            <v>0</v>
          </cell>
          <cell r="J86">
            <v>0</v>
          </cell>
          <cell r="K86">
            <v>0</v>
          </cell>
          <cell r="L86">
            <v>0</v>
          </cell>
          <cell r="M86">
            <v>0</v>
          </cell>
        </row>
        <row r="90">
          <cell r="B90" t="str">
            <v>人流量</v>
          </cell>
          <cell r="C90" t="str">
            <v>好</v>
          </cell>
          <cell r="D90" t="str">
            <v>较好</v>
          </cell>
          <cell r="E90" t="str">
            <v>一般</v>
          </cell>
          <cell r="F90" t="str">
            <v>较差</v>
          </cell>
          <cell r="G90" t="str">
            <v>差</v>
          </cell>
          <cell r="H90">
            <v>0</v>
          </cell>
          <cell r="I90">
            <v>0</v>
          </cell>
          <cell r="J90">
            <v>0</v>
          </cell>
          <cell r="K90">
            <v>0</v>
          </cell>
          <cell r="L90">
            <v>0</v>
          </cell>
          <cell r="M90">
            <v>0</v>
          </cell>
        </row>
        <row r="92">
          <cell r="B92" t="str">
            <v>楼层</v>
          </cell>
          <cell r="C92" t="str">
            <v>一层</v>
          </cell>
          <cell r="D92">
            <v>0</v>
          </cell>
          <cell r="E92">
            <v>0</v>
          </cell>
          <cell r="F92">
            <v>0</v>
          </cell>
          <cell r="G92">
            <v>0</v>
          </cell>
          <cell r="H92">
            <v>0</v>
          </cell>
          <cell r="I92">
            <v>0</v>
          </cell>
          <cell r="J92">
            <v>0</v>
          </cell>
          <cell r="K92">
            <v>0</v>
          </cell>
          <cell r="L92">
            <v>0</v>
          </cell>
          <cell r="M92">
            <v>0</v>
          </cell>
        </row>
        <row r="100">
          <cell r="B100" t="str">
            <v>商业类型</v>
          </cell>
          <cell r="C100" t="str">
            <v>商业街</v>
          </cell>
          <cell r="D100" t="str">
            <v>住宅底商</v>
          </cell>
          <cell r="E100">
            <v>0</v>
          </cell>
          <cell r="F100">
            <v>0</v>
          </cell>
          <cell r="G100">
            <v>0</v>
          </cell>
          <cell r="H100">
            <v>0</v>
          </cell>
          <cell r="I100">
            <v>0</v>
          </cell>
          <cell r="J100">
            <v>0</v>
          </cell>
          <cell r="K100">
            <v>0</v>
          </cell>
          <cell r="L100">
            <v>0</v>
          </cell>
          <cell r="M100">
            <v>0</v>
          </cell>
        </row>
        <row r="105">
          <cell r="B105" t="str">
            <v>建筑结构</v>
          </cell>
          <cell r="C105" t="str">
            <v>钢混</v>
          </cell>
          <cell r="D105" t="str">
            <v>混合</v>
          </cell>
          <cell r="E105">
            <v>0</v>
          </cell>
          <cell r="F105">
            <v>0</v>
          </cell>
          <cell r="G105">
            <v>0</v>
          </cell>
          <cell r="H105">
            <v>0</v>
          </cell>
          <cell r="I105">
            <v>0</v>
          </cell>
          <cell r="J105">
            <v>0</v>
          </cell>
          <cell r="K105">
            <v>0</v>
          </cell>
          <cell r="L105">
            <v>0</v>
          </cell>
          <cell r="M105">
            <v>0</v>
          </cell>
        </row>
        <row r="107">
          <cell r="B107" t="str">
            <v>公共部分装修</v>
          </cell>
          <cell r="C107">
            <v>0</v>
          </cell>
          <cell r="D107">
            <v>0</v>
          </cell>
          <cell r="E107">
            <v>0</v>
          </cell>
          <cell r="F107">
            <v>0</v>
          </cell>
          <cell r="G107">
            <v>0</v>
          </cell>
          <cell r="H107">
            <v>0</v>
          </cell>
          <cell r="I107">
            <v>0</v>
          </cell>
          <cell r="J107">
            <v>0</v>
          </cell>
          <cell r="K107">
            <v>0</v>
          </cell>
          <cell r="L107">
            <v>0</v>
          </cell>
          <cell r="M107">
            <v>0</v>
          </cell>
        </row>
        <row r="112">
          <cell r="B112" t="str">
            <v>市政基础设施</v>
          </cell>
          <cell r="C112" t="str">
            <v>七通</v>
          </cell>
          <cell r="D112" t="str">
            <v>六通</v>
          </cell>
          <cell r="E112" t="str">
            <v>五通</v>
          </cell>
          <cell r="F112" t="str">
            <v>四通</v>
          </cell>
          <cell r="G112" t="str">
            <v>三通</v>
          </cell>
          <cell r="H112">
            <v>0</v>
          </cell>
          <cell r="I112">
            <v>0</v>
          </cell>
          <cell r="J112">
            <v>0</v>
          </cell>
          <cell r="K112">
            <v>0</v>
          </cell>
          <cell r="L112">
            <v>0</v>
          </cell>
          <cell r="M112">
            <v>0</v>
          </cell>
        </row>
        <row r="114">
          <cell r="B114" t="str">
            <v>业态</v>
          </cell>
          <cell r="C114">
            <v>0</v>
          </cell>
          <cell r="D114">
            <v>0</v>
          </cell>
          <cell r="E114">
            <v>0</v>
          </cell>
          <cell r="F114">
            <v>0</v>
          </cell>
          <cell r="G114">
            <v>0</v>
          </cell>
          <cell r="H114">
            <v>0</v>
          </cell>
          <cell r="I114">
            <v>0</v>
          </cell>
          <cell r="J114">
            <v>0</v>
          </cell>
          <cell r="K114">
            <v>0</v>
          </cell>
          <cell r="L114">
            <v>0</v>
          </cell>
          <cell r="M114">
            <v>0</v>
          </cell>
        </row>
        <row r="116">
          <cell r="B116" t="str">
            <v>层高</v>
          </cell>
          <cell r="C116">
            <v>0</v>
          </cell>
          <cell r="D116">
            <v>0</v>
          </cell>
          <cell r="E116">
            <v>0</v>
          </cell>
          <cell r="F116">
            <v>0</v>
          </cell>
          <cell r="G116">
            <v>0</v>
          </cell>
          <cell r="H116">
            <v>0</v>
          </cell>
          <cell r="I116">
            <v>0</v>
          </cell>
          <cell r="J116">
            <v>0</v>
          </cell>
          <cell r="K116">
            <v>0</v>
          </cell>
          <cell r="L116">
            <v>0</v>
          </cell>
          <cell r="M116">
            <v>0</v>
          </cell>
        </row>
        <row r="120">
          <cell r="B120" t="str">
            <v>进深比</v>
          </cell>
          <cell r="C120" t="str">
            <v>好</v>
          </cell>
          <cell r="D120" t="str">
            <v>较好</v>
          </cell>
          <cell r="E120" t="str">
            <v>一般</v>
          </cell>
          <cell r="F120" t="str">
            <v>较差</v>
          </cell>
          <cell r="G120" t="str">
            <v>差</v>
          </cell>
          <cell r="H120">
            <v>0</v>
          </cell>
          <cell r="I120">
            <v>0</v>
          </cell>
          <cell r="J120">
            <v>0</v>
          </cell>
          <cell r="K120">
            <v>0</v>
          </cell>
          <cell r="L120">
            <v>0</v>
          </cell>
          <cell r="M120">
            <v>0</v>
          </cell>
        </row>
        <row r="122">
          <cell r="B122" t="str">
            <v>内部装修</v>
          </cell>
          <cell r="C122" t="str">
            <v>精装修</v>
          </cell>
          <cell r="D122" t="str">
            <v>普通装修</v>
          </cell>
          <cell r="E122" t="str">
            <v>简单装修</v>
          </cell>
          <cell r="F122" t="str">
            <v>毛坯</v>
          </cell>
          <cell r="G122">
            <v>0</v>
          </cell>
          <cell r="H122">
            <v>0</v>
          </cell>
          <cell r="I122">
            <v>0</v>
          </cell>
          <cell r="J122">
            <v>0</v>
          </cell>
          <cell r="K122">
            <v>0</v>
          </cell>
          <cell r="L122">
            <v>0</v>
          </cell>
          <cell r="M122">
            <v>0</v>
          </cell>
        </row>
      </sheetData>
      <sheetData sheetId="28"/>
      <sheetData sheetId="29"/>
      <sheetData sheetId="30"/>
      <sheetData sheetId="31"/>
      <sheetData sheetId="32"/>
      <sheetData sheetId="33"/>
      <sheetData sheetId="34"/>
      <sheetData sheetId="35"/>
      <sheetData sheetId="36"/>
      <sheetData sheetId="37">
        <row r="61">
          <cell r="A61" t="str">
            <v>交易情况</v>
          </cell>
          <cell r="B61">
            <v>0</v>
          </cell>
          <cell r="C61" t="str">
            <v>正常</v>
          </cell>
          <cell r="D61">
            <v>0</v>
          </cell>
          <cell r="E61">
            <v>0</v>
          </cell>
          <cell r="F61">
            <v>0</v>
          </cell>
          <cell r="G61">
            <v>0</v>
          </cell>
          <cell r="H61">
            <v>0</v>
          </cell>
          <cell r="I61">
            <v>0</v>
          </cell>
          <cell r="J61">
            <v>0</v>
          </cell>
          <cell r="K61">
            <v>0</v>
          </cell>
          <cell r="L61">
            <v>0</v>
          </cell>
          <cell r="M61">
            <v>0</v>
          </cell>
        </row>
        <row r="63">
          <cell r="B63" t="str">
            <v>用途</v>
          </cell>
          <cell r="C63">
            <v>0</v>
          </cell>
          <cell r="D63">
            <v>0</v>
          </cell>
          <cell r="E63">
            <v>0</v>
          </cell>
          <cell r="F63">
            <v>0</v>
          </cell>
          <cell r="G63">
            <v>0</v>
          </cell>
          <cell r="H63">
            <v>0</v>
          </cell>
          <cell r="I63">
            <v>0</v>
          </cell>
          <cell r="J63">
            <v>0</v>
          </cell>
          <cell r="K63">
            <v>0</v>
          </cell>
          <cell r="L63">
            <v>0</v>
          </cell>
          <cell r="M63">
            <v>0</v>
          </cell>
        </row>
        <row r="86">
          <cell r="B86" t="str">
            <v>楼层-1</v>
          </cell>
          <cell r="C86">
            <v>0</v>
          </cell>
          <cell r="D86">
            <v>0</v>
          </cell>
          <cell r="E86">
            <v>0</v>
          </cell>
          <cell r="F86">
            <v>0</v>
          </cell>
          <cell r="G86">
            <v>0</v>
          </cell>
          <cell r="H86">
            <v>0</v>
          </cell>
          <cell r="I86">
            <v>0</v>
          </cell>
          <cell r="J86">
            <v>0</v>
          </cell>
          <cell r="K86">
            <v>0</v>
          </cell>
          <cell r="L86">
            <v>0</v>
          </cell>
          <cell r="M86">
            <v>0</v>
          </cell>
        </row>
        <row r="88">
          <cell r="B88" t="str">
            <v>朝向</v>
          </cell>
          <cell r="C88">
            <v>0</v>
          </cell>
          <cell r="D88">
            <v>0</v>
          </cell>
          <cell r="E88">
            <v>0</v>
          </cell>
          <cell r="F88">
            <v>0</v>
          </cell>
          <cell r="G88">
            <v>0</v>
          </cell>
          <cell r="H88">
            <v>0</v>
          </cell>
          <cell r="I88">
            <v>0</v>
          </cell>
          <cell r="J88">
            <v>0</v>
          </cell>
          <cell r="K88">
            <v>0</v>
          </cell>
          <cell r="L88">
            <v>0</v>
          </cell>
          <cell r="M88">
            <v>0</v>
          </cell>
        </row>
        <row r="100">
          <cell r="B100" t="str">
            <v>建筑类型</v>
          </cell>
          <cell r="C100">
            <v>0</v>
          </cell>
          <cell r="D100">
            <v>0</v>
          </cell>
          <cell r="E100">
            <v>0</v>
          </cell>
          <cell r="F100">
            <v>0</v>
          </cell>
          <cell r="G100">
            <v>0</v>
          </cell>
          <cell r="H100">
            <v>0</v>
          </cell>
          <cell r="I100">
            <v>0</v>
          </cell>
          <cell r="J100">
            <v>0</v>
          </cell>
          <cell r="K100">
            <v>0</v>
          </cell>
          <cell r="L100">
            <v>0</v>
          </cell>
          <cell r="M100">
            <v>0</v>
          </cell>
        </row>
        <row r="105">
          <cell r="B105" t="str">
            <v>建筑结构</v>
          </cell>
          <cell r="C105">
            <v>0</v>
          </cell>
          <cell r="D105">
            <v>0</v>
          </cell>
          <cell r="E105">
            <v>0</v>
          </cell>
          <cell r="F105">
            <v>0</v>
          </cell>
          <cell r="G105">
            <v>0</v>
          </cell>
          <cell r="H105">
            <v>0</v>
          </cell>
          <cell r="I105">
            <v>0</v>
          </cell>
          <cell r="J105">
            <v>0</v>
          </cell>
          <cell r="K105">
            <v>0</v>
          </cell>
          <cell r="L105">
            <v>0</v>
          </cell>
          <cell r="M105">
            <v>0</v>
          </cell>
        </row>
        <row r="107">
          <cell r="B107" t="str">
            <v>建筑品质</v>
          </cell>
          <cell r="C107">
            <v>0</v>
          </cell>
          <cell r="D107">
            <v>0</v>
          </cell>
          <cell r="E107">
            <v>0</v>
          </cell>
          <cell r="F107">
            <v>0</v>
          </cell>
          <cell r="G107">
            <v>0</v>
          </cell>
          <cell r="H107">
            <v>0</v>
          </cell>
          <cell r="I107">
            <v>0</v>
          </cell>
          <cell r="J107">
            <v>0</v>
          </cell>
          <cell r="K107">
            <v>0</v>
          </cell>
          <cell r="L107">
            <v>0</v>
          </cell>
          <cell r="M107">
            <v>0</v>
          </cell>
        </row>
        <row r="109">
          <cell r="B109" t="str">
            <v>公共部分装修</v>
          </cell>
          <cell r="C109">
            <v>0</v>
          </cell>
          <cell r="D109">
            <v>0</v>
          </cell>
          <cell r="E109">
            <v>0</v>
          </cell>
          <cell r="F109">
            <v>0</v>
          </cell>
          <cell r="G109">
            <v>0</v>
          </cell>
          <cell r="H109">
            <v>0</v>
          </cell>
          <cell r="I109">
            <v>0</v>
          </cell>
          <cell r="J109">
            <v>0</v>
          </cell>
          <cell r="K109">
            <v>0</v>
          </cell>
          <cell r="L109">
            <v>0</v>
          </cell>
          <cell r="M109">
            <v>0</v>
          </cell>
        </row>
        <row r="114">
          <cell r="B114" t="str">
            <v>物业管理</v>
          </cell>
          <cell r="C114">
            <v>0</v>
          </cell>
          <cell r="D114">
            <v>0</v>
          </cell>
          <cell r="E114">
            <v>0</v>
          </cell>
          <cell r="F114">
            <v>0</v>
          </cell>
          <cell r="G114">
            <v>0</v>
          </cell>
          <cell r="H114">
            <v>0</v>
          </cell>
          <cell r="I114">
            <v>0</v>
          </cell>
          <cell r="J114">
            <v>0</v>
          </cell>
          <cell r="K114">
            <v>0</v>
          </cell>
          <cell r="L114">
            <v>0</v>
          </cell>
          <cell r="M114">
            <v>0</v>
          </cell>
        </row>
        <row r="116">
          <cell r="B116" t="str">
            <v>市政基础设施</v>
          </cell>
          <cell r="C116">
            <v>0</v>
          </cell>
          <cell r="D116">
            <v>0</v>
          </cell>
          <cell r="E116">
            <v>0</v>
          </cell>
          <cell r="F116">
            <v>0</v>
          </cell>
          <cell r="G116">
            <v>0</v>
          </cell>
          <cell r="H116">
            <v>0</v>
          </cell>
          <cell r="I116">
            <v>0</v>
          </cell>
          <cell r="J116">
            <v>0</v>
          </cell>
          <cell r="K116">
            <v>0</v>
          </cell>
          <cell r="L116">
            <v>0</v>
          </cell>
          <cell r="M116">
            <v>0</v>
          </cell>
        </row>
        <row r="118">
          <cell r="B118" t="str">
            <v>房型</v>
          </cell>
          <cell r="C118">
            <v>0</v>
          </cell>
          <cell r="D118">
            <v>0</v>
          </cell>
          <cell r="E118">
            <v>0</v>
          </cell>
          <cell r="F118">
            <v>0</v>
          </cell>
          <cell r="G118">
            <v>0</v>
          </cell>
          <cell r="H118">
            <v>0</v>
          </cell>
          <cell r="I118">
            <v>0</v>
          </cell>
          <cell r="J118">
            <v>0</v>
          </cell>
          <cell r="K118">
            <v>0</v>
          </cell>
          <cell r="L118">
            <v>0</v>
          </cell>
          <cell r="M118">
            <v>0</v>
          </cell>
        </row>
        <row r="122">
          <cell r="B122" t="str">
            <v>内部装修</v>
          </cell>
          <cell r="C122">
            <v>0</v>
          </cell>
          <cell r="D122">
            <v>0</v>
          </cell>
          <cell r="E122">
            <v>0</v>
          </cell>
          <cell r="F122">
            <v>0</v>
          </cell>
          <cell r="G122">
            <v>0</v>
          </cell>
          <cell r="H122">
            <v>0</v>
          </cell>
          <cell r="I122">
            <v>0</v>
          </cell>
          <cell r="J122">
            <v>0</v>
          </cell>
          <cell r="K122">
            <v>0</v>
          </cell>
          <cell r="L122">
            <v>0</v>
          </cell>
          <cell r="M122">
            <v>0</v>
          </cell>
        </row>
      </sheetData>
      <sheetData sheetId="38">
        <row r="62">
          <cell r="A62" t="str">
            <v>交易情况</v>
          </cell>
          <cell r="B62">
            <v>0</v>
          </cell>
          <cell r="C62" t="str">
            <v>正常</v>
          </cell>
          <cell r="D62">
            <v>0</v>
          </cell>
          <cell r="E62">
            <v>0</v>
          </cell>
          <cell r="F62">
            <v>0</v>
          </cell>
          <cell r="G62">
            <v>0</v>
          </cell>
          <cell r="H62">
            <v>0</v>
          </cell>
          <cell r="I62">
            <v>0</v>
          </cell>
          <cell r="J62">
            <v>0</v>
          </cell>
          <cell r="K62">
            <v>0</v>
          </cell>
          <cell r="L62">
            <v>0</v>
          </cell>
          <cell r="M62">
            <v>0</v>
          </cell>
        </row>
        <row r="64">
          <cell r="B64" t="str">
            <v>用途</v>
          </cell>
          <cell r="C64">
            <v>0</v>
          </cell>
          <cell r="D64">
            <v>0</v>
          </cell>
          <cell r="E64">
            <v>0</v>
          </cell>
          <cell r="F64">
            <v>0</v>
          </cell>
          <cell r="G64">
            <v>0</v>
          </cell>
          <cell r="H64">
            <v>0</v>
          </cell>
          <cell r="I64">
            <v>0</v>
          </cell>
          <cell r="J64">
            <v>0</v>
          </cell>
          <cell r="K64">
            <v>0</v>
          </cell>
          <cell r="L64">
            <v>0</v>
          </cell>
          <cell r="M64">
            <v>0</v>
          </cell>
        </row>
        <row r="87">
          <cell r="B87" t="str">
            <v>毗邻道路的类型与等级</v>
          </cell>
          <cell r="C87">
            <v>0</v>
          </cell>
          <cell r="D87">
            <v>0</v>
          </cell>
          <cell r="E87">
            <v>0</v>
          </cell>
          <cell r="F87">
            <v>0</v>
          </cell>
          <cell r="G87">
            <v>0</v>
          </cell>
          <cell r="H87">
            <v>0</v>
          </cell>
          <cell r="I87">
            <v>0</v>
          </cell>
          <cell r="J87">
            <v>0</v>
          </cell>
          <cell r="K87">
            <v>0</v>
          </cell>
          <cell r="L87">
            <v>0</v>
          </cell>
          <cell r="M87">
            <v>0</v>
          </cell>
        </row>
        <row r="89">
          <cell r="B89" t="str">
            <v>楼层</v>
          </cell>
          <cell r="C89">
            <v>0</v>
          </cell>
          <cell r="D89">
            <v>0</v>
          </cell>
          <cell r="E89">
            <v>0</v>
          </cell>
          <cell r="F89">
            <v>0</v>
          </cell>
          <cell r="G89">
            <v>0</v>
          </cell>
          <cell r="H89">
            <v>0</v>
          </cell>
          <cell r="I89">
            <v>0</v>
          </cell>
          <cell r="J89">
            <v>0</v>
          </cell>
          <cell r="K89">
            <v>0</v>
          </cell>
          <cell r="L89">
            <v>0</v>
          </cell>
          <cell r="M89">
            <v>0</v>
          </cell>
        </row>
        <row r="91">
          <cell r="B91" t="str">
            <v>朝向</v>
          </cell>
          <cell r="C91">
            <v>0</v>
          </cell>
          <cell r="D91">
            <v>0</v>
          </cell>
          <cell r="E91">
            <v>0</v>
          </cell>
          <cell r="F91">
            <v>0</v>
          </cell>
          <cell r="G91">
            <v>0</v>
          </cell>
          <cell r="H91">
            <v>0</v>
          </cell>
          <cell r="I91">
            <v>0</v>
          </cell>
          <cell r="J91">
            <v>0</v>
          </cell>
          <cell r="K91">
            <v>0</v>
          </cell>
          <cell r="L91">
            <v>0</v>
          </cell>
          <cell r="M91">
            <v>0</v>
          </cell>
        </row>
        <row r="101">
          <cell r="B101" t="str">
            <v>建筑类型</v>
          </cell>
          <cell r="C101">
            <v>0</v>
          </cell>
          <cell r="D101">
            <v>0</v>
          </cell>
          <cell r="E101">
            <v>0</v>
          </cell>
          <cell r="F101">
            <v>0</v>
          </cell>
          <cell r="G101">
            <v>0</v>
          </cell>
          <cell r="H101">
            <v>0</v>
          </cell>
          <cell r="I101">
            <v>0</v>
          </cell>
          <cell r="J101">
            <v>0</v>
          </cell>
          <cell r="K101">
            <v>0</v>
          </cell>
          <cell r="L101">
            <v>0</v>
          </cell>
          <cell r="M101">
            <v>0</v>
          </cell>
        </row>
        <row r="106">
          <cell r="B106" t="str">
            <v>建筑结构</v>
          </cell>
          <cell r="C106">
            <v>0</v>
          </cell>
          <cell r="D106">
            <v>0</v>
          </cell>
          <cell r="E106">
            <v>0</v>
          </cell>
          <cell r="F106">
            <v>0</v>
          </cell>
          <cell r="G106">
            <v>0</v>
          </cell>
          <cell r="H106">
            <v>0</v>
          </cell>
          <cell r="I106">
            <v>0</v>
          </cell>
          <cell r="J106">
            <v>0</v>
          </cell>
          <cell r="K106">
            <v>0</v>
          </cell>
          <cell r="L106">
            <v>0</v>
          </cell>
          <cell r="M106">
            <v>0</v>
          </cell>
        </row>
        <row r="108">
          <cell r="B108" t="str">
            <v>公共部分装修</v>
          </cell>
          <cell r="C108">
            <v>0</v>
          </cell>
          <cell r="D108">
            <v>0</v>
          </cell>
          <cell r="E108">
            <v>0</v>
          </cell>
          <cell r="F108">
            <v>0</v>
          </cell>
          <cell r="G108">
            <v>0</v>
          </cell>
          <cell r="H108">
            <v>0</v>
          </cell>
          <cell r="I108">
            <v>0</v>
          </cell>
          <cell r="J108">
            <v>0</v>
          </cell>
          <cell r="K108">
            <v>0</v>
          </cell>
          <cell r="L108">
            <v>0</v>
          </cell>
          <cell r="M108">
            <v>0</v>
          </cell>
        </row>
        <row r="113">
          <cell r="B113" t="str">
            <v>写字楼等级</v>
          </cell>
          <cell r="C113">
            <v>0</v>
          </cell>
          <cell r="D113">
            <v>0</v>
          </cell>
          <cell r="E113">
            <v>0</v>
          </cell>
          <cell r="F113">
            <v>0</v>
          </cell>
          <cell r="G113">
            <v>0</v>
          </cell>
          <cell r="H113">
            <v>0</v>
          </cell>
          <cell r="I113">
            <v>0</v>
          </cell>
          <cell r="J113">
            <v>0</v>
          </cell>
          <cell r="K113">
            <v>0</v>
          </cell>
          <cell r="L113">
            <v>0</v>
          </cell>
          <cell r="M113">
            <v>0</v>
          </cell>
        </row>
        <row r="115">
          <cell r="B115" t="str">
            <v>物业管理</v>
          </cell>
          <cell r="C115">
            <v>0</v>
          </cell>
          <cell r="D115">
            <v>0</v>
          </cell>
          <cell r="E115">
            <v>0</v>
          </cell>
          <cell r="F115">
            <v>0</v>
          </cell>
          <cell r="G115">
            <v>0</v>
          </cell>
          <cell r="H115">
            <v>0</v>
          </cell>
          <cell r="I115">
            <v>0</v>
          </cell>
          <cell r="J115">
            <v>0</v>
          </cell>
          <cell r="K115">
            <v>0</v>
          </cell>
          <cell r="L115">
            <v>0</v>
          </cell>
          <cell r="M115">
            <v>0</v>
          </cell>
        </row>
        <row r="117">
          <cell r="B117" t="str">
            <v>市政基础设施</v>
          </cell>
          <cell r="C117">
            <v>0</v>
          </cell>
          <cell r="D117">
            <v>0</v>
          </cell>
          <cell r="E117">
            <v>0</v>
          </cell>
          <cell r="F117">
            <v>0</v>
          </cell>
          <cell r="G117">
            <v>0</v>
          </cell>
          <cell r="H117">
            <v>0</v>
          </cell>
          <cell r="I117">
            <v>0</v>
          </cell>
          <cell r="J117">
            <v>0</v>
          </cell>
          <cell r="K117">
            <v>0</v>
          </cell>
          <cell r="L117">
            <v>0</v>
          </cell>
          <cell r="M117">
            <v>0</v>
          </cell>
        </row>
        <row r="119">
          <cell r="B119" t="str">
            <v>层高</v>
          </cell>
          <cell r="C119">
            <v>0</v>
          </cell>
          <cell r="D119">
            <v>0</v>
          </cell>
          <cell r="E119">
            <v>0</v>
          </cell>
          <cell r="F119">
            <v>0</v>
          </cell>
          <cell r="G119">
            <v>0</v>
          </cell>
          <cell r="H119">
            <v>0</v>
          </cell>
          <cell r="I119">
            <v>0</v>
          </cell>
          <cell r="J119">
            <v>0</v>
          </cell>
          <cell r="K119">
            <v>0</v>
          </cell>
          <cell r="L119">
            <v>0</v>
          </cell>
          <cell r="M119">
            <v>0</v>
          </cell>
        </row>
        <row r="123">
          <cell r="B123" t="str">
            <v>内部装修</v>
          </cell>
          <cell r="C123">
            <v>0</v>
          </cell>
          <cell r="D123">
            <v>0</v>
          </cell>
          <cell r="E123">
            <v>0</v>
          </cell>
          <cell r="F123">
            <v>0</v>
          </cell>
          <cell r="G123">
            <v>0</v>
          </cell>
          <cell r="H123">
            <v>0</v>
          </cell>
          <cell r="I123">
            <v>0</v>
          </cell>
          <cell r="J123">
            <v>0</v>
          </cell>
          <cell r="K123">
            <v>0</v>
          </cell>
          <cell r="L123">
            <v>0</v>
          </cell>
          <cell r="M123">
            <v>0</v>
          </cell>
        </row>
      </sheetData>
      <sheetData sheetId="39">
        <row r="55">
          <cell r="A55" t="str">
            <v>交易情况</v>
          </cell>
          <cell r="B55">
            <v>0</v>
          </cell>
          <cell r="C55" t="str">
            <v>正常</v>
          </cell>
          <cell r="D55">
            <v>0</v>
          </cell>
          <cell r="E55">
            <v>0</v>
          </cell>
          <cell r="F55">
            <v>0</v>
          </cell>
          <cell r="G55">
            <v>0</v>
          </cell>
          <cell r="H55">
            <v>0</v>
          </cell>
          <cell r="I55">
            <v>0</v>
          </cell>
          <cell r="J55">
            <v>0</v>
          </cell>
          <cell r="K55">
            <v>0</v>
          </cell>
          <cell r="L55">
            <v>0</v>
          </cell>
          <cell r="M55">
            <v>0</v>
          </cell>
        </row>
        <row r="57">
          <cell r="B57" t="str">
            <v>用途</v>
          </cell>
          <cell r="C57">
            <v>0</v>
          </cell>
          <cell r="D57">
            <v>0</v>
          </cell>
          <cell r="E57">
            <v>0</v>
          </cell>
          <cell r="F57">
            <v>0</v>
          </cell>
          <cell r="G57">
            <v>0</v>
          </cell>
          <cell r="H57">
            <v>0</v>
          </cell>
          <cell r="I57">
            <v>0</v>
          </cell>
          <cell r="J57">
            <v>0</v>
          </cell>
          <cell r="K57">
            <v>0</v>
          </cell>
          <cell r="L57">
            <v>0</v>
          </cell>
          <cell r="M57">
            <v>0</v>
          </cell>
        </row>
        <row r="88">
          <cell r="B88" t="str">
            <v>建筑类型</v>
          </cell>
          <cell r="C88">
            <v>0</v>
          </cell>
          <cell r="D88">
            <v>0</v>
          </cell>
          <cell r="E88">
            <v>0</v>
          </cell>
          <cell r="F88">
            <v>0</v>
          </cell>
          <cell r="G88">
            <v>0</v>
          </cell>
          <cell r="H88">
            <v>0</v>
          </cell>
          <cell r="I88">
            <v>0</v>
          </cell>
          <cell r="J88">
            <v>0</v>
          </cell>
          <cell r="K88">
            <v>0</v>
          </cell>
          <cell r="L88">
            <v>0</v>
          </cell>
          <cell r="M88">
            <v>0</v>
          </cell>
        </row>
        <row r="93">
          <cell r="B93" t="str">
            <v>建筑结构</v>
          </cell>
          <cell r="C93">
            <v>0</v>
          </cell>
          <cell r="D93">
            <v>0</v>
          </cell>
          <cell r="E93">
            <v>0</v>
          </cell>
          <cell r="F93">
            <v>0</v>
          </cell>
          <cell r="G93">
            <v>0</v>
          </cell>
          <cell r="H93">
            <v>0</v>
          </cell>
          <cell r="I93">
            <v>0</v>
          </cell>
          <cell r="J93">
            <v>0</v>
          </cell>
          <cell r="K93">
            <v>0</v>
          </cell>
          <cell r="L93">
            <v>0</v>
          </cell>
          <cell r="M93">
            <v>0</v>
          </cell>
        </row>
        <row r="95">
          <cell r="B95" t="str">
            <v>公共部分装修</v>
          </cell>
          <cell r="C95">
            <v>0</v>
          </cell>
          <cell r="D95">
            <v>0</v>
          </cell>
          <cell r="E95">
            <v>0</v>
          </cell>
          <cell r="F95">
            <v>0</v>
          </cell>
          <cell r="G95">
            <v>0</v>
          </cell>
          <cell r="H95">
            <v>0</v>
          </cell>
          <cell r="I95">
            <v>0</v>
          </cell>
          <cell r="J95">
            <v>0</v>
          </cell>
          <cell r="K95">
            <v>0</v>
          </cell>
          <cell r="L95">
            <v>0</v>
          </cell>
          <cell r="M95">
            <v>0</v>
          </cell>
        </row>
        <row r="100">
          <cell r="B100" t="str">
            <v>物业管理</v>
          </cell>
          <cell r="C100">
            <v>0</v>
          </cell>
          <cell r="D100">
            <v>0</v>
          </cell>
          <cell r="E100">
            <v>0</v>
          </cell>
          <cell r="F100">
            <v>0</v>
          </cell>
          <cell r="G100">
            <v>0</v>
          </cell>
          <cell r="H100">
            <v>0</v>
          </cell>
          <cell r="I100">
            <v>0</v>
          </cell>
          <cell r="J100">
            <v>0</v>
          </cell>
          <cell r="K100">
            <v>0</v>
          </cell>
          <cell r="L100">
            <v>0</v>
          </cell>
          <cell r="M100">
            <v>0</v>
          </cell>
        </row>
        <row r="102">
          <cell r="B102" t="str">
            <v>市政基础设施</v>
          </cell>
          <cell r="C102">
            <v>0</v>
          </cell>
          <cell r="D102">
            <v>0</v>
          </cell>
          <cell r="E102">
            <v>0</v>
          </cell>
          <cell r="F102">
            <v>0</v>
          </cell>
          <cell r="G102">
            <v>0</v>
          </cell>
          <cell r="H102">
            <v>0</v>
          </cell>
          <cell r="I102">
            <v>0</v>
          </cell>
          <cell r="J102">
            <v>0</v>
          </cell>
          <cell r="K102">
            <v>0</v>
          </cell>
          <cell r="L102">
            <v>0</v>
          </cell>
          <cell r="M102">
            <v>0</v>
          </cell>
        </row>
        <row r="104">
          <cell r="B104" t="str">
            <v>内部装修</v>
          </cell>
          <cell r="C104">
            <v>0</v>
          </cell>
          <cell r="D104">
            <v>0</v>
          </cell>
          <cell r="E104">
            <v>0</v>
          </cell>
          <cell r="F104">
            <v>0</v>
          </cell>
          <cell r="G104">
            <v>0</v>
          </cell>
          <cell r="H104">
            <v>0</v>
          </cell>
          <cell r="I104">
            <v>0</v>
          </cell>
          <cell r="J104">
            <v>0</v>
          </cell>
          <cell r="K104">
            <v>0</v>
          </cell>
          <cell r="L104">
            <v>0</v>
          </cell>
          <cell r="M104">
            <v>0</v>
          </cell>
        </row>
      </sheetData>
      <sheetData sheetId="40">
        <row r="51">
          <cell r="A51" t="str">
            <v>交易情况</v>
          </cell>
          <cell r="B51">
            <v>0</v>
          </cell>
          <cell r="C51" t="str">
            <v>正常</v>
          </cell>
          <cell r="D51">
            <v>0</v>
          </cell>
          <cell r="E51">
            <v>0</v>
          </cell>
          <cell r="F51">
            <v>0</v>
          </cell>
          <cell r="G51">
            <v>0</v>
          </cell>
          <cell r="H51">
            <v>0</v>
          </cell>
          <cell r="I51">
            <v>0</v>
          </cell>
          <cell r="J51">
            <v>0</v>
          </cell>
          <cell r="K51">
            <v>0</v>
          </cell>
          <cell r="L51">
            <v>0</v>
          </cell>
          <cell r="M51">
            <v>0</v>
          </cell>
        </row>
        <row r="53">
          <cell r="B53" t="str">
            <v>用途</v>
          </cell>
          <cell r="C53">
            <v>0</v>
          </cell>
          <cell r="D53">
            <v>0</v>
          </cell>
          <cell r="E53">
            <v>0</v>
          </cell>
          <cell r="F53">
            <v>0</v>
          </cell>
          <cell r="G53">
            <v>0</v>
          </cell>
          <cell r="H53">
            <v>0</v>
          </cell>
          <cell r="I53">
            <v>0</v>
          </cell>
          <cell r="J53">
            <v>0</v>
          </cell>
          <cell r="K53">
            <v>0</v>
          </cell>
          <cell r="L53">
            <v>0</v>
          </cell>
          <cell r="M53">
            <v>0</v>
          </cell>
        </row>
        <row r="71">
          <cell r="B71" t="str">
            <v>楼层</v>
          </cell>
          <cell r="C71">
            <v>0</v>
          </cell>
          <cell r="D71">
            <v>0</v>
          </cell>
          <cell r="E71">
            <v>0</v>
          </cell>
          <cell r="F71">
            <v>0</v>
          </cell>
          <cell r="G71">
            <v>0</v>
          </cell>
          <cell r="H71">
            <v>0</v>
          </cell>
          <cell r="I71">
            <v>0</v>
          </cell>
          <cell r="J71">
            <v>0</v>
          </cell>
          <cell r="K71">
            <v>0</v>
          </cell>
          <cell r="L71">
            <v>0</v>
          </cell>
          <cell r="M71">
            <v>0</v>
          </cell>
        </row>
        <row r="79">
          <cell r="B79" t="str">
            <v>配套类型（地上主用途）</v>
          </cell>
          <cell r="C79">
            <v>0</v>
          </cell>
          <cell r="D79">
            <v>0</v>
          </cell>
          <cell r="E79">
            <v>0</v>
          </cell>
          <cell r="F79">
            <v>0</v>
          </cell>
          <cell r="G79">
            <v>0</v>
          </cell>
          <cell r="H79">
            <v>0</v>
          </cell>
          <cell r="I79">
            <v>0</v>
          </cell>
          <cell r="J79">
            <v>0</v>
          </cell>
          <cell r="K79">
            <v>0</v>
          </cell>
          <cell r="L79">
            <v>0</v>
          </cell>
          <cell r="M79">
            <v>0</v>
          </cell>
        </row>
        <row r="83">
          <cell r="B83" t="str">
            <v>公共部分装修</v>
          </cell>
          <cell r="C83">
            <v>0</v>
          </cell>
          <cell r="D83">
            <v>0</v>
          </cell>
          <cell r="E83">
            <v>0</v>
          </cell>
          <cell r="F83">
            <v>0</v>
          </cell>
          <cell r="G83">
            <v>0</v>
          </cell>
          <cell r="H83">
            <v>0</v>
          </cell>
          <cell r="I83">
            <v>0</v>
          </cell>
          <cell r="J83">
            <v>0</v>
          </cell>
          <cell r="K83">
            <v>0</v>
          </cell>
          <cell r="L83">
            <v>0</v>
          </cell>
          <cell r="M83">
            <v>0</v>
          </cell>
        </row>
        <row r="88">
          <cell r="B88" t="str">
            <v>物业等级</v>
          </cell>
          <cell r="C88">
            <v>0</v>
          </cell>
          <cell r="D88">
            <v>0</v>
          </cell>
          <cell r="E88">
            <v>0</v>
          </cell>
          <cell r="F88">
            <v>0</v>
          </cell>
          <cell r="G88">
            <v>0</v>
          </cell>
          <cell r="H88">
            <v>0</v>
          </cell>
          <cell r="I88">
            <v>0</v>
          </cell>
          <cell r="J88">
            <v>0</v>
          </cell>
          <cell r="K88">
            <v>0</v>
          </cell>
          <cell r="L88">
            <v>0</v>
          </cell>
          <cell r="M88">
            <v>0</v>
          </cell>
        </row>
        <row r="93">
          <cell r="B93" t="str">
            <v>车位类型</v>
          </cell>
          <cell r="C93">
            <v>0</v>
          </cell>
          <cell r="D93">
            <v>0</v>
          </cell>
          <cell r="E93">
            <v>0</v>
          </cell>
          <cell r="F93">
            <v>0</v>
          </cell>
          <cell r="G93">
            <v>0</v>
          </cell>
          <cell r="H93">
            <v>0</v>
          </cell>
          <cell r="I93">
            <v>0</v>
          </cell>
          <cell r="J93">
            <v>0</v>
          </cell>
          <cell r="K93">
            <v>0</v>
          </cell>
          <cell r="L93">
            <v>0</v>
          </cell>
          <cell r="M93">
            <v>0</v>
          </cell>
        </row>
        <row r="95">
          <cell r="B95" t="str">
            <v>是否直接入户</v>
          </cell>
          <cell r="C95">
            <v>0</v>
          </cell>
          <cell r="D95">
            <v>0</v>
          </cell>
          <cell r="E95">
            <v>0</v>
          </cell>
          <cell r="F95">
            <v>0</v>
          </cell>
          <cell r="G95">
            <v>0</v>
          </cell>
          <cell r="H95">
            <v>0</v>
          </cell>
          <cell r="I95">
            <v>0</v>
          </cell>
          <cell r="J95">
            <v>0</v>
          </cell>
          <cell r="K95">
            <v>0</v>
          </cell>
          <cell r="L95">
            <v>0</v>
          </cell>
          <cell r="M95">
            <v>0</v>
          </cell>
        </row>
      </sheetData>
      <sheetData sheetId="41">
        <row r="49">
          <cell r="A49" t="str">
            <v>交易情况</v>
          </cell>
          <cell r="B49">
            <v>0</v>
          </cell>
          <cell r="C49" t="str">
            <v>正常</v>
          </cell>
          <cell r="D49">
            <v>0</v>
          </cell>
          <cell r="E49">
            <v>0</v>
          </cell>
          <cell r="F49">
            <v>0</v>
          </cell>
          <cell r="G49">
            <v>0</v>
          </cell>
          <cell r="H49">
            <v>0</v>
          </cell>
          <cell r="I49">
            <v>0</v>
          </cell>
          <cell r="J49">
            <v>0</v>
          </cell>
          <cell r="K49">
            <v>0</v>
          </cell>
          <cell r="L49">
            <v>0</v>
          </cell>
          <cell r="M49">
            <v>0</v>
          </cell>
        </row>
        <row r="51">
          <cell r="B51" t="str">
            <v>用途</v>
          </cell>
          <cell r="C51">
            <v>0</v>
          </cell>
          <cell r="D51">
            <v>0</v>
          </cell>
          <cell r="E51">
            <v>0</v>
          </cell>
          <cell r="F51">
            <v>0</v>
          </cell>
          <cell r="G51">
            <v>0</v>
          </cell>
          <cell r="H51">
            <v>0</v>
          </cell>
          <cell r="I51">
            <v>0</v>
          </cell>
          <cell r="J51">
            <v>0</v>
          </cell>
          <cell r="K51">
            <v>0</v>
          </cell>
          <cell r="L51">
            <v>0</v>
          </cell>
          <cell r="M51">
            <v>0</v>
          </cell>
        </row>
        <row r="69">
          <cell r="B69" t="str">
            <v>楼层</v>
          </cell>
          <cell r="C69">
            <v>0</v>
          </cell>
          <cell r="D69">
            <v>0</v>
          </cell>
          <cell r="E69">
            <v>0</v>
          </cell>
          <cell r="F69">
            <v>0</v>
          </cell>
          <cell r="G69">
            <v>0</v>
          </cell>
          <cell r="H69">
            <v>0</v>
          </cell>
          <cell r="I69">
            <v>0</v>
          </cell>
          <cell r="J69">
            <v>0</v>
          </cell>
          <cell r="K69">
            <v>0</v>
          </cell>
          <cell r="L69">
            <v>0</v>
          </cell>
          <cell r="M69">
            <v>0</v>
          </cell>
        </row>
        <row r="77">
          <cell r="B77" t="str">
            <v>公共部分装修</v>
          </cell>
          <cell r="C77">
            <v>0</v>
          </cell>
          <cell r="D77">
            <v>0</v>
          </cell>
          <cell r="E77">
            <v>0</v>
          </cell>
          <cell r="F77">
            <v>0</v>
          </cell>
          <cell r="G77">
            <v>0</v>
          </cell>
          <cell r="H77">
            <v>0</v>
          </cell>
          <cell r="I77">
            <v>0</v>
          </cell>
          <cell r="J77">
            <v>0</v>
          </cell>
          <cell r="K77">
            <v>0</v>
          </cell>
          <cell r="L77">
            <v>0</v>
          </cell>
          <cell r="M77">
            <v>0</v>
          </cell>
        </row>
        <row r="82">
          <cell r="B82" t="str">
            <v>物业等级</v>
          </cell>
          <cell r="C82">
            <v>0</v>
          </cell>
          <cell r="D82">
            <v>0</v>
          </cell>
          <cell r="E82">
            <v>0</v>
          </cell>
          <cell r="F82">
            <v>0</v>
          </cell>
          <cell r="G82">
            <v>0</v>
          </cell>
          <cell r="H82">
            <v>0</v>
          </cell>
          <cell r="I82">
            <v>0</v>
          </cell>
          <cell r="J82">
            <v>0</v>
          </cell>
          <cell r="K82">
            <v>0</v>
          </cell>
          <cell r="L82">
            <v>0</v>
          </cell>
          <cell r="M82">
            <v>0</v>
          </cell>
        </row>
        <row r="84">
          <cell r="B84" t="str">
            <v>有无电梯</v>
          </cell>
          <cell r="C84">
            <v>0</v>
          </cell>
          <cell r="D84">
            <v>0</v>
          </cell>
          <cell r="E84">
            <v>0</v>
          </cell>
          <cell r="F84">
            <v>0</v>
          </cell>
          <cell r="G84">
            <v>0</v>
          </cell>
          <cell r="H84">
            <v>0</v>
          </cell>
          <cell r="I84">
            <v>0</v>
          </cell>
          <cell r="J84">
            <v>0</v>
          </cell>
          <cell r="K84">
            <v>0</v>
          </cell>
          <cell r="L84">
            <v>0</v>
          </cell>
          <cell r="M84">
            <v>0</v>
          </cell>
        </row>
        <row r="89">
          <cell r="B89" t="str">
            <v>是否封闭</v>
          </cell>
          <cell r="C89">
            <v>0</v>
          </cell>
          <cell r="D89">
            <v>0</v>
          </cell>
          <cell r="E89">
            <v>0</v>
          </cell>
          <cell r="F89">
            <v>0</v>
          </cell>
          <cell r="G89">
            <v>0</v>
          </cell>
          <cell r="H89">
            <v>0</v>
          </cell>
          <cell r="I89">
            <v>0</v>
          </cell>
          <cell r="J89">
            <v>0</v>
          </cell>
          <cell r="K89">
            <v>0</v>
          </cell>
          <cell r="L89">
            <v>0</v>
          </cell>
          <cell r="M89">
            <v>0</v>
          </cell>
        </row>
      </sheetData>
      <sheetData sheetId="42">
        <row r="73">
          <cell r="A73" t="str">
            <v>交易情况</v>
          </cell>
          <cell r="B73">
            <v>0</v>
          </cell>
          <cell r="C73" t="str">
            <v>正常</v>
          </cell>
          <cell r="D73">
            <v>0</v>
          </cell>
          <cell r="E73">
            <v>0</v>
          </cell>
          <cell r="F73">
            <v>0</v>
          </cell>
          <cell r="G73">
            <v>0</v>
          </cell>
          <cell r="H73">
            <v>0</v>
          </cell>
          <cell r="I73">
            <v>0</v>
          </cell>
          <cell r="J73">
            <v>0</v>
          </cell>
          <cell r="K73">
            <v>0</v>
          </cell>
          <cell r="L73">
            <v>0</v>
          </cell>
          <cell r="M73">
            <v>0</v>
          </cell>
        </row>
        <row r="75">
          <cell r="B75" t="str">
            <v>用途</v>
          </cell>
          <cell r="C75">
            <v>0</v>
          </cell>
          <cell r="D75">
            <v>0</v>
          </cell>
          <cell r="E75">
            <v>0</v>
          </cell>
          <cell r="F75">
            <v>0</v>
          </cell>
          <cell r="G75">
            <v>0</v>
          </cell>
          <cell r="H75">
            <v>0</v>
          </cell>
          <cell r="I75">
            <v>0</v>
          </cell>
          <cell r="J75">
            <v>0</v>
          </cell>
          <cell r="K75">
            <v>0</v>
          </cell>
          <cell r="L75">
            <v>0</v>
          </cell>
          <cell r="M75">
            <v>0</v>
          </cell>
        </row>
        <row r="106">
          <cell r="B106" t="str">
            <v>毗邻道路的类型与等级</v>
          </cell>
          <cell r="C106">
            <v>0</v>
          </cell>
          <cell r="D106">
            <v>0</v>
          </cell>
          <cell r="E106">
            <v>0</v>
          </cell>
          <cell r="F106">
            <v>0</v>
          </cell>
          <cell r="G106">
            <v>0</v>
          </cell>
          <cell r="H106">
            <v>0</v>
          </cell>
          <cell r="I106">
            <v>0</v>
          </cell>
          <cell r="J106">
            <v>0</v>
          </cell>
          <cell r="K106">
            <v>0</v>
          </cell>
          <cell r="L106">
            <v>0</v>
          </cell>
          <cell r="M106">
            <v>0</v>
          </cell>
        </row>
        <row r="108">
          <cell r="B108" t="str">
            <v>土地级别</v>
          </cell>
          <cell r="C108">
            <v>0</v>
          </cell>
          <cell r="D108">
            <v>0</v>
          </cell>
          <cell r="E108">
            <v>0</v>
          </cell>
          <cell r="F108">
            <v>0</v>
          </cell>
          <cell r="G108">
            <v>0</v>
          </cell>
          <cell r="H108">
            <v>0</v>
          </cell>
          <cell r="I108">
            <v>0</v>
          </cell>
          <cell r="J108">
            <v>0</v>
          </cell>
          <cell r="K108">
            <v>0</v>
          </cell>
          <cell r="L108">
            <v>0</v>
          </cell>
          <cell r="M108">
            <v>0</v>
          </cell>
        </row>
        <row r="119">
          <cell r="B119" t="str">
            <v>宗地形状</v>
          </cell>
          <cell r="C119">
            <v>0</v>
          </cell>
          <cell r="D119">
            <v>0</v>
          </cell>
          <cell r="E119">
            <v>0</v>
          </cell>
          <cell r="F119">
            <v>0</v>
          </cell>
          <cell r="G119">
            <v>0</v>
          </cell>
          <cell r="H119">
            <v>0</v>
          </cell>
          <cell r="I119">
            <v>0</v>
          </cell>
          <cell r="J119">
            <v>0</v>
          </cell>
          <cell r="K119">
            <v>0</v>
          </cell>
          <cell r="L119">
            <v>0</v>
          </cell>
          <cell r="M119">
            <v>0</v>
          </cell>
        </row>
        <row r="121">
          <cell r="B121" t="str">
            <v>临街宽度及深度</v>
          </cell>
          <cell r="C121">
            <v>0</v>
          </cell>
          <cell r="D121">
            <v>0</v>
          </cell>
          <cell r="E121">
            <v>0</v>
          </cell>
          <cell r="F121">
            <v>0</v>
          </cell>
          <cell r="G121">
            <v>0</v>
          </cell>
          <cell r="H121">
            <v>0</v>
          </cell>
          <cell r="I121">
            <v>0</v>
          </cell>
          <cell r="J121">
            <v>0</v>
          </cell>
          <cell r="K121">
            <v>0</v>
          </cell>
          <cell r="L121">
            <v>0</v>
          </cell>
          <cell r="M121">
            <v>0</v>
          </cell>
        </row>
        <row r="123">
          <cell r="B123" t="str">
            <v>宗地开发程度</v>
          </cell>
          <cell r="C123">
            <v>0</v>
          </cell>
          <cell r="D123">
            <v>0</v>
          </cell>
          <cell r="E123">
            <v>0</v>
          </cell>
          <cell r="F123">
            <v>0</v>
          </cell>
          <cell r="G123">
            <v>0</v>
          </cell>
          <cell r="H123">
            <v>0</v>
          </cell>
          <cell r="I123">
            <v>0</v>
          </cell>
          <cell r="J123">
            <v>0</v>
          </cell>
          <cell r="K123">
            <v>0</v>
          </cell>
          <cell r="L123">
            <v>0</v>
          </cell>
          <cell r="M123">
            <v>0</v>
          </cell>
        </row>
        <row r="125">
          <cell r="B125" t="str">
            <v>工程地质条件</v>
          </cell>
          <cell r="C125">
            <v>0</v>
          </cell>
          <cell r="D125">
            <v>0</v>
          </cell>
          <cell r="E125">
            <v>0</v>
          </cell>
          <cell r="F125">
            <v>0</v>
          </cell>
          <cell r="G125">
            <v>0</v>
          </cell>
          <cell r="H125">
            <v>0</v>
          </cell>
          <cell r="I125">
            <v>0</v>
          </cell>
          <cell r="J125">
            <v>0</v>
          </cell>
          <cell r="K125">
            <v>0</v>
          </cell>
          <cell r="L125">
            <v>0</v>
          </cell>
          <cell r="M125">
            <v>0</v>
          </cell>
        </row>
      </sheetData>
      <sheetData sheetId="43">
        <row r="70">
          <cell r="B70" t="str">
            <v>用途</v>
          </cell>
          <cell r="C70">
            <v>0</v>
          </cell>
          <cell r="D70">
            <v>0</v>
          </cell>
          <cell r="E70">
            <v>0</v>
          </cell>
          <cell r="F70">
            <v>0</v>
          </cell>
          <cell r="G70">
            <v>0</v>
          </cell>
          <cell r="H70">
            <v>0</v>
          </cell>
          <cell r="I70">
            <v>0</v>
          </cell>
          <cell r="J70">
            <v>0</v>
          </cell>
          <cell r="K70">
            <v>0</v>
          </cell>
          <cell r="L70">
            <v>0</v>
          </cell>
          <cell r="M70">
            <v>0</v>
          </cell>
        </row>
        <row r="97">
          <cell r="B97" t="str">
            <v>毗邻道路的类型与等级</v>
          </cell>
          <cell r="C97">
            <v>0</v>
          </cell>
          <cell r="D97">
            <v>0</v>
          </cell>
          <cell r="E97">
            <v>0</v>
          </cell>
          <cell r="F97">
            <v>0</v>
          </cell>
          <cell r="G97">
            <v>0</v>
          </cell>
          <cell r="H97">
            <v>0</v>
          </cell>
          <cell r="I97">
            <v>0</v>
          </cell>
          <cell r="J97">
            <v>0</v>
          </cell>
          <cell r="K97">
            <v>0</v>
          </cell>
          <cell r="L97">
            <v>0</v>
          </cell>
          <cell r="M97">
            <v>0</v>
          </cell>
        </row>
        <row r="99">
          <cell r="B99" t="str">
            <v>土地级别</v>
          </cell>
          <cell r="C99">
            <v>0</v>
          </cell>
          <cell r="D99">
            <v>0</v>
          </cell>
          <cell r="E99">
            <v>0</v>
          </cell>
          <cell r="F99">
            <v>0</v>
          </cell>
          <cell r="G99">
            <v>0</v>
          </cell>
          <cell r="H99">
            <v>0</v>
          </cell>
          <cell r="I99">
            <v>0</v>
          </cell>
          <cell r="J99">
            <v>0</v>
          </cell>
          <cell r="K99">
            <v>0</v>
          </cell>
          <cell r="L99">
            <v>0</v>
          </cell>
          <cell r="M99">
            <v>0</v>
          </cell>
        </row>
        <row r="110">
          <cell r="B110" t="str">
            <v>宗地形状</v>
          </cell>
          <cell r="C110">
            <v>0</v>
          </cell>
          <cell r="D110">
            <v>0</v>
          </cell>
          <cell r="E110">
            <v>0</v>
          </cell>
          <cell r="F110">
            <v>0</v>
          </cell>
          <cell r="G110">
            <v>0</v>
          </cell>
          <cell r="H110">
            <v>0</v>
          </cell>
          <cell r="I110">
            <v>0</v>
          </cell>
          <cell r="J110">
            <v>0</v>
          </cell>
          <cell r="K110">
            <v>0</v>
          </cell>
          <cell r="L110">
            <v>0</v>
          </cell>
          <cell r="M110">
            <v>0</v>
          </cell>
        </row>
        <row r="112">
          <cell r="B112" t="str">
            <v>宗地开发程度</v>
          </cell>
          <cell r="C112">
            <v>0</v>
          </cell>
          <cell r="D112">
            <v>0</v>
          </cell>
          <cell r="E112">
            <v>0</v>
          </cell>
          <cell r="F112">
            <v>0</v>
          </cell>
          <cell r="G112">
            <v>0</v>
          </cell>
          <cell r="H112">
            <v>0</v>
          </cell>
          <cell r="I112">
            <v>0</v>
          </cell>
          <cell r="J112">
            <v>0</v>
          </cell>
          <cell r="K112">
            <v>0</v>
          </cell>
          <cell r="L112">
            <v>0</v>
          </cell>
          <cell r="M112">
            <v>0</v>
          </cell>
        </row>
        <row r="114">
          <cell r="B114" t="str">
            <v>工程地质条件</v>
          </cell>
          <cell r="C114">
            <v>0</v>
          </cell>
          <cell r="D114">
            <v>0</v>
          </cell>
          <cell r="E114">
            <v>0</v>
          </cell>
          <cell r="F114">
            <v>0</v>
          </cell>
          <cell r="G114">
            <v>0</v>
          </cell>
          <cell r="H114">
            <v>0</v>
          </cell>
          <cell r="I114">
            <v>0</v>
          </cell>
          <cell r="J114">
            <v>0</v>
          </cell>
          <cell r="K114">
            <v>0</v>
          </cell>
          <cell r="L114">
            <v>0</v>
          </cell>
          <cell r="M114">
            <v>0</v>
          </cell>
        </row>
      </sheetData>
      <sheetData sheetId="4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45"/>
      <sheetData sheetId="46"/>
      <sheetData sheetId="47"/>
      <sheetData sheetId="48">
        <row r="5">
          <cell r="A5">
            <v>0</v>
          </cell>
          <cell r="B5">
            <v>0</v>
          </cell>
          <cell r="C5">
            <v>0</v>
          </cell>
          <cell r="D5">
            <v>0</v>
          </cell>
          <cell r="E5">
            <v>0</v>
          </cell>
          <cell r="F5">
            <v>0</v>
          </cell>
          <cell r="G5">
            <v>0</v>
          </cell>
          <cell r="H5">
            <v>0</v>
          </cell>
          <cell r="I5">
            <v>0</v>
          </cell>
          <cell r="J5">
            <v>0</v>
          </cell>
          <cell r="K5">
            <v>0</v>
          </cell>
          <cell r="L5">
            <v>0</v>
          </cell>
          <cell r="M5">
            <v>0</v>
          </cell>
          <cell r="N5">
            <v>0</v>
          </cell>
          <cell r="O5">
            <v>0</v>
          </cell>
          <cell r="P5">
            <v>0</v>
          </cell>
          <cell r="Q5">
            <v>0</v>
          </cell>
          <cell r="R5">
            <v>0</v>
          </cell>
          <cell r="S5">
            <v>0</v>
          </cell>
          <cell r="T5">
            <v>0</v>
          </cell>
          <cell r="U5">
            <v>0</v>
          </cell>
          <cell r="V5">
            <v>0</v>
          </cell>
          <cell r="W5">
            <v>0</v>
          </cell>
          <cell r="X5">
            <v>0</v>
          </cell>
          <cell r="Y5">
            <v>0</v>
          </cell>
          <cell r="Z5">
            <v>0</v>
          </cell>
          <cell r="AA5">
            <v>0</v>
          </cell>
          <cell r="AB5">
            <v>0</v>
          </cell>
          <cell r="AC5">
            <v>0</v>
          </cell>
          <cell r="AD5">
            <v>0</v>
          </cell>
          <cell r="AE5">
            <v>0</v>
          </cell>
          <cell r="AF5">
            <v>0</v>
          </cell>
          <cell r="AG5">
            <v>0</v>
          </cell>
          <cell r="AH5">
            <v>0</v>
          </cell>
          <cell r="AI5">
            <v>0</v>
          </cell>
          <cell r="AJ5">
            <v>0</v>
          </cell>
          <cell r="AK5">
            <v>0</v>
          </cell>
          <cell r="AL5">
            <v>0</v>
          </cell>
          <cell r="AM5">
            <v>0</v>
          </cell>
          <cell r="AN5">
            <v>0</v>
          </cell>
          <cell r="AO5">
            <v>0</v>
          </cell>
          <cell r="AP5">
            <v>0</v>
          </cell>
          <cell r="AQ5">
            <v>0</v>
          </cell>
          <cell r="AR5">
            <v>0</v>
          </cell>
          <cell r="AS5">
            <v>0</v>
          </cell>
        </row>
        <row r="7">
          <cell r="A7">
            <v>0</v>
          </cell>
          <cell r="B7" t="str">
            <v>修正项3</v>
          </cell>
          <cell r="C7">
            <v>0</v>
          </cell>
          <cell r="D7">
            <v>0</v>
          </cell>
          <cell r="E7">
            <v>0</v>
          </cell>
          <cell r="F7">
            <v>0</v>
          </cell>
          <cell r="G7">
            <v>0</v>
          </cell>
          <cell r="H7">
            <v>0</v>
          </cell>
          <cell r="I7">
            <v>0</v>
          </cell>
          <cell r="J7">
            <v>0</v>
          </cell>
          <cell r="K7">
            <v>0</v>
          </cell>
          <cell r="L7">
            <v>0</v>
          </cell>
          <cell r="M7">
            <v>0</v>
          </cell>
          <cell r="N7">
            <v>0</v>
          </cell>
          <cell r="O7">
            <v>0</v>
          </cell>
          <cell r="P7">
            <v>0</v>
          </cell>
          <cell r="Q7">
            <v>0</v>
          </cell>
          <cell r="R7">
            <v>0</v>
          </cell>
          <cell r="S7">
            <v>0</v>
          </cell>
          <cell r="T7">
            <v>0</v>
          </cell>
          <cell r="U7">
            <v>0</v>
          </cell>
          <cell r="V7">
            <v>0</v>
          </cell>
          <cell r="W7">
            <v>0</v>
          </cell>
          <cell r="X7">
            <v>0</v>
          </cell>
          <cell r="Y7">
            <v>0</v>
          </cell>
          <cell r="Z7">
            <v>0</v>
          </cell>
          <cell r="AA7">
            <v>0</v>
          </cell>
          <cell r="AB7">
            <v>0</v>
          </cell>
          <cell r="AC7">
            <v>0</v>
          </cell>
          <cell r="AD7">
            <v>0</v>
          </cell>
          <cell r="AE7">
            <v>0</v>
          </cell>
          <cell r="AF7">
            <v>0</v>
          </cell>
          <cell r="AG7">
            <v>0</v>
          </cell>
          <cell r="AH7">
            <v>0</v>
          </cell>
          <cell r="AI7">
            <v>0</v>
          </cell>
          <cell r="AJ7">
            <v>0</v>
          </cell>
          <cell r="AK7">
            <v>0</v>
          </cell>
          <cell r="AL7">
            <v>0</v>
          </cell>
          <cell r="AM7">
            <v>0</v>
          </cell>
          <cell r="AN7">
            <v>0</v>
          </cell>
          <cell r="AO7">
            <v>0</v>
          </cell>
          <cell r="AP7">
            <v>0</v>
          </cell>
          <cell r="AQ7">
            <v>0</v>
          </cell>
          <cell r="AR7">
            <v>0</v>
          </cell>
          <cell r="AS7">
            <v>0</v>
          </cell>
        </row>
        <row r="9">
          <cell r="A9">
            <v>0</v>
          </cell>
          <cell r="B9" t="str">
            <v>修正项4</v>
          </cell>
          <cell r="C9">
            <v>0</v>
          </cell>
          <cell r="D9">
            <v>0</v>
          </cell>
          <cell r="E9">
            <v>0</v>
          </cell>
          <cell r="F9">
            <v>0</v>
          </cell>
          <cell r="G9">
            <v>0</v>
          </cell>
          <cell r="H9">
            <v>0</v>
          </cell>
          <cell r="I9">
            <v>0</v>
          </cell>
          <cell r="J9">
            <v>0</v>
          </cell>
          <cell r="K9">
            <v>0</v>
          </cell>
          <cell r="L9">
            <v>0</v>
          </cell>
          <cell r="M9">
            <v>0</v>
          </cell>
          <cell r="N9">
            <v>0</v>
          </cell>
          <cell r="O9">
            <v>0</v>
          </cell>
          <cell r="P9">
            <v>0</v>
          </cell>
          <cell r="Q9">
            <v>0</v>
          </cell>
          <cell r="R9">
            <v>0</v>
          </cell>
          <cell r="S9">
            <v>0</v>
          </cell>
          <cell r="T9">
            <v>0</v>
          </cell>
          <cell r="U9">
            <v>0</v>
          </cell>
          <cell r="V9">
            <v>0</v>
          </cell>
          <cell r="W9">
            <v>0</v>
          </cell>
          <cell r="X9">
            <v>0</v>
          </cell>
          <cell r="Y9">
            <v>0</v>
          </cell>
          <cell r="Z9">
            <v>0</v>
          </cell>
          <cell r="AA9">
            <v>0</v>
          </cell>
          <cell r="AB9">
            <v>0</v>
          </cell>
          <cell r="AC9">
            <v>0</v>
          </cell>
          <cell r="AD9">
            <v>0</v>
          </cell>
          <cell r="AE9">
            <v>0</v>
          </cell>
          <cell r="AF9">
            <v>0</v>
          </cell>
          <cell r="AG9">
            <v>0</v>
          </cell>
          <cell r="AH9">
            <v>0</v>
          </cell>
          <cell r="AI9">
            <v>0</v>
          </cell>
          <cell r="AJ9">
            <v>0</v>
          </cell>
          <cell r="AK9">
            <v>0</v>
          </cell>
          <cell r="AL9">
            <v>0</v>
          </cell>
          <cell r="AM9">
            <v>0</v>
          </cell>
          <cell r="AN9">
            <v>0</v>
          </cell>
          <cell r="AO9">
            <v>0</v>
          </cell>
          <cell r="AP9">
            <v>0</v>
          </cell>
          <cell r="AQ9">
            <v>0</v>
          </cell>
          <cell r="AR9">
            <v>0</v>
          </cell>
          <cell r="AS9">
            <v>0</v>
          </cell>
        </row>
        <row r="11">
          <cell r="A11">
            <v>0</v>
          </cell>
          <cell r="B11" t="str">
            <v>修正项5</v>
          </cell>
          <cell r="C11">
            <v>0</v>
          </cell>
          <cell r="D11">
            <v>0</v>
          </cell>
          <cell r="E11">
            <v>0</v>
          </cell>
          <cell r="F11">
            <v>0</v>
          </cell>
          <cell r="G11">
            <v>0</v>
          </cell>
          <cell r="H11">
            <v>0</v>
          </cell>
          <cell r="I11">
            <v>0</v>
          </cell>
          <cell r="J11">
            <v>0</v>
          </cell>
          <cell r="K11">
            <v>0</v>
          </cell>
          <cell r="L11">
            <v>0</v>
          </cell>
          <cell r="M11">
            <v>0</v>
          </cell>
          <cell r="N11">
            <v>0</v>
          </cell>
          <cell r="O11">
            <v>0</v>
          </cell>
          <cell r="P11">
            <v>0</v>
          </cell>
          <cell r="Q11">
            <v>0</v>
          </cell>
          <cell r="R11">
            <v>0</v>
          </cell>
          <cell r="S11">
            <v>0</v>
          </cell>
          <cell r="T11">
            <v>0</v>
          </cell>
          <cell r="U11">
            <v>0</v>
          </cell>
          <cell r="V11">
            <v>0</v>
          </cell>
          <cell r="W11">
            <v>0</v>
          </cell>
          <cell r="X11">
            <v>0</v>
          </cell>
          <cell r="Y11">
            <v>0</v>
          </cell>
          <cell r="Z11">
            <v>0</v>
          </cell>
          <cell r="AA11">
            <v>0</v>
          </cell>
          <cell r="AB11">
            <v>0</v>
          </cell>
          <cell r="AC11">
            <v>0</v>
          </cell>
          <cell r="AD11">
            <v>0</v>
          </cell>
          <cell r="AE11">
            <v>0</v>
          </cell>
          <cell r="AF11">
            <v>0</v>
          </cell>
          <cell r="AG11">
            <v>0</v>
          </cell>
          <cell r="AH11">
            <v>0</v>
          </cell>
          <cell r="AI11">
            <v>0</v>
          </cell>
          <cell r="AJ11">
            <v>0</v>
          </cell>
          <cell r="AK11">
            <v>0</v>
          </cell>
          <cell r="AL11">
            <v>0</v>
          </cell>
          <cell r="AM11">
            <v>0</v>
          </cell>
          <cell r="AN11">
            <v>0</v>
          </cell>
          <cell r="AO11">
            <v>0</v>
          </cell>
          <cell r="AP11">
            <v>0</v>
          </cell>
          <cell r="AQ11">
            <v>0</v>
          </cell>
          <cell r="AR11">
            <v>0</v>
          </cell>
          <cell r="AS11">
            <v>0</v>
          </cell>
        </row>
        <row r="13">
          <cell r="A13">
            <v>0</v>
          </cell>
          <cell r="B13">
            <v>0</v>
          </cell>
          <cell r="C13">
            <v>0</v>
          </cell>
          <cell r="D13">
            <v>0</v>
          </cell>
          <cell r="E13">
            <v>0</v>
          </cell>
          <cell r="F13">
            <v>0</v>
          </cell>
          <cell r="G13">
            <v>0</v>
          </cell>
          <cell r="H13">
            <v>0</v>
          </cell>
          <cell r="I13">
            <v>0</v>
          </cell>
          <cell r="J13">
            <v>0</v>
          </cell>
          <cell r="K13">
            <v>0</v>
          </cell>
          <cell r="L13">
            <v>0</v>
          </cell>
          <cell r="M13">
            <v>0</v>
          </cell>
          <cell r="N13">
            <v>0</v>
          </cell>
          <cell r="O13">
            <v>0</v>
          </cell>
          <cell r="P13">
            <v>0</v>
          </cell>
          <cell r="Q13">
            <v>0</v>
          </cell>
          <cell r="R13">
            <v>0</v>
          </cell>
          <cell r="S13">
            <v>0</v>
          </cell>
          <cell r="T13">
            <v>0</v>
          </cell>
          <cell r="U13">
            <v>0</v>
          </cell>
          <cell r="V13">
            <v>0</v>
          </cell>
          <cell r="W13">
            <v>0</v>
          </cell>
          <cell r="X13">
            <v>0</v>
          </cell>
          <cell r="Y13">
            <v>0</v>
          </cell>
          <cell r="Z13">
            <v>0</v>
          </cell>
          <cell r="AA13">
            <v>0</v>
          </cell>
          <cell r="AB13">
            <v>0</v>
          </cell>
          <cell r="AC13">
            <v>0</v>
          </cell>
          <cell r="AD13">
            <v>0</v>
          </cell>
          <cell r="AE13">
            <v>0</v>
          </cell>
          <cell r="AF13">
            <v>0</v>
          </cell>
          <cell r="AG13">
            <v>0</v>
          </cell>
          <cell r="AH13">
            <v>0</v>
          </cell>
          <cell r="AI13">
            <v>0</v>
          </cell>
          <cell r="AJ13">
            <v>0</v>
          </cell>
          <cell r="AK13">
            <v>0</v>
          </cell>
          <cell r="AL13">
            <v>0</v>
          </cell>
          <cell r="AM13">
            <v>0</v>
          </cell>
          <cell r="AN13">
            <v>0</v>
          </cell>
          <cell r="AO13">
            <v>0</v>
          </cell>
          <cell r="AP13">
            <v>0</v>
          </cell>
          <cell r="AQ13">
            <v>0</v>
          </cell>
          <cell r="AR13">
            <v>0</v>
          </cell>
          <cell r="AS13">
            <v>0</v>
          </cell>
        </row>
        <row r="15">
          <cell r="A15">
            <v>0</v>
          </cell>
          <cell r="B15" t="str">
            <v>修正项7</v>
          </cell>
          <cell r="C15">
            <v>0</v>
          </cell>
          <cell r="D15">
            <v>0</v>
          </cell>
          <cell r="E15">
            <v>0</v>
          </cell>
          <cell r="F15">
            <v>0</v>
          </cell>
          <cell r="G15">
            <v>0</v>
          </cell>
          <cell r="H15">
            <v>0</v>
          </cell>
          <cell r="I15">
            <v>0</v>
          </cell>
          <cell r="J15">
            <v>0</v>
          </cell>
          <cell r="K15">
            <v>0</v>
          </cell>
          <cell r="L15">
            <v>0</v>
          </cell>
          <cell r="M15">
            <v>0</v>
          </cell>
          <cell r="N15">
            <v>0</v>
          </cell>
          <cell r="O15">
            <v>0</v>
          </cell>
          <cell r="P15">
            <v>0</v>
          </cell>
          <cell r="Q15">
            <v>0</v>
          </cell>
          <cell r="R15">
            <v>0</v>
          </cell>
          <cell r="S15">
            <v>0</v>
          </cell>
          <cell r="T15">
            <v>0</v>
          </cell>
          <cell r="U15">
            <v>0</v>
          </cell>
          <cell r="V15">
            <v>0</v>
          </cell>
          <cell r="W15">
            <v>0</v>
          </cell>
          <cell r="X15">
            <v>0</v>
          </cell>
          <cell r="Y15">
            <v>0</v>
          </cell>
          <cell r="Z15">
            <v>0</v>
          </cell>
          <cell r="AA15">
            <v>0</v>
          </cell>
          <cell r="AB15">
            <v>0</v>
          </cell>
          <cell r="AC15">
            <v>0</v>
          </cell>
          <cell r="AD15">
            <v>0</v>
          </cell>
          <cell r="AE15">
            <v>0</v>
          </cell>
          <cell r="AF15">
            <v>0</v>
          </cell>
          <cell r="AG15">
            <v>0</v>
          </cell>
          <cell r="AH15">
            <v>0</v>
          </cell>
          <cell r="AI15">
            <v>0</v>
          </cell>
          <cell r="AJ15">
            <v>0</v>
          </cell>
          <cell r="AK15">
            <v>0</v>
          </cell>
          <cell r="AL15">
            <v>0</v>
          </cell>
          <cell r="AM15">
            <v>0</v>
          </cell>
          <cell r="AN15">
            <v>0</v>
          </cell>
          <cell r="AO15">
            <v>0</v>
          </cell>
          <cell r="AP15">
            <v>0</v>
          </cell>
          <cell r="AQ15">
            <v>0</v>
          </cell>
          <cell r="AR15">
            <v>0</v>
          </cell>
          <cell r="AS15">
            <v>0</v>
          </cell>
        </row>
        <row r="17">
          <cell r="A17" t="str">
            <v>修正系数</v>
          </cell>
          <cell r="B17" t="str">
            <v>楼层</v>
          </cell>
          <cell r="C17">
            <v>1</v>
          </cell>
          <cell r="D17">
            <v>2</v>
          </cell>
          <cell r="E17">
            <v>3</v>
          </cell>
          <cell r="F17">
            <v>4</v>
          </cell>
          <cell r="G17">
            <v>5</v>
          </cell>
          <cell r="H17">
            <v>-1</v>
          </cell>
          <cell r="I17">
            <v>-2</v>
          </cell>
          <cell r="J17">
            <v>0</v>
          </cell>
          <cell r="K17">
            <v>0</v>
          </cell>
          <cell r="L17">
            <v>0</v>
          </cell>
          <cell r="M17">
            <v>0</v>
          </cell>
          <cell r="N17">
            <v>0</v>
          </cell>
          <cell r="O17">
            <v>0</v>
          </cell>
          <cell r="P17">
            <v>0</v>
          </cell>
          <cell r="Q17">
            <v>0</v>
          </cell>
          <cell r="R17">
            <v>0</v>
          </cell>
          <cell r="S17">
            <v>0</v>
          </cell>
          <cell r="T17">
            <v>0</v>
          </cell>
          <cell r="U17">
            <v>0</v>
          </cell>
          <cell r="V17">
            <v>0</v>
          </cell>
          <cell r="W17">
            <v>0</v>
          </cell>
          <cell r="X17">
            <v>0</v>
          </cell>
          <cell r="Y17">
            <v>0</v>
          </cell>
          <cell r="Z17">
            <v>0</v>
          </cell>
          <cell r="AA17">
            <v>0</v>
          </cell>
          <cell r="AB17">
            <v>0</v>
          </cell>
          <cell r="AC17">
            <v>0</v>
          </cell>
          <cell r="AD17">
            <v>0</v>
          </cell>
          <cell r="AE17">
            <v>0</v>
          </cell>
          <cell r="AF17">
            <v>0</v>
          </cell>
          <cell r="AG17">
            <v>0</v>
          </cell>
          <cell r="AH17">
            <v>0</v>
          </cell>
          <cell r="AI17">
            <v>0</v>
          </cell>
          <cell r="AJ17">
            <v>0</v>
          </cell>
          <cell r="AK17">
            <v>0</v>
          </cell>
          <cell r="AL17">
            <v>0</v>
          </cell>
          <cell r="AM17">
            <v>0</v>
          </cell>
          <cell r="AN17">
            <v>0</v>
          </cell>
          <cell r="AO17">
            <v>0</v>
          </cell>
          <cell r="AP17">
            <v>0</v>
          </cell>
          <cell r="AQ17">
            <v>0</v>
          </cell>
          <cell r="AR17">
            <v>0</v>
          </cell>
          <cell r="AS17">
            <v>0</v>
          </cell>
        </row>
      </sheetData>
      <sheetData sheetId="49"/>
      <sheetData sheetId="50"/>
      <sheetData sheetId="51"/>
      <sheetData sheetId="52"/>
      <sheetData sheetId="53"/>
      <sheetData sheetId="54"/>
      <sheetData sheetId="55"/>
      <sheetData sheetId="56"/>
      <sheetData sheetId="57"/>
      <sheetData sheetId="58"/>
      <sheetData sheetId="59"/>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0.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6.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8.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3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30.bin"/></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4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1.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2.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3.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4.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5.bin"/></Relationships>
</file>

<file path=xl/worksheets/_rels/sheet46.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8.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7.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57.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5.6"/>
  <cols>
    <col min="1" max="1" width="35.6640625" style="1194" customWidth="1"/>
    <col min="2" max="2" width="81" style="1211" customWidth="1"/>
    <col min="3" max="16384" width="9" style="1209"/>
  </cols>
  <sheetData>
    <row r="1" spans="1:2" s="1197" customFormat="1" ht="16.2" thickBot="1">
      <c r="A1" s="1196" t="s">
        <v>521</v>
      </c>
      <c r="B1" s="1195" t="s">
        <v>600</v>
      </c>
    </row>
    <row r="2" spans="1:2" s="1200" customFormat="1" ht="16.2" thickTop="1">
      <c r="A2" s="1198" t="s">
        <v>522</v>
      </c>
      <c r="B2" s="1199" t="str">
        <f>'预评函-封皮'!B37:I37</f>
        <v>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6.2" thickBot="1">
      <c r="A5" s="1204" t="s">
        <v>525</v>
      </c>
      <c r="B5" s="1205" t="str">
        <f>'预评函-封皮'!B49</f>
        <v>康正预评字号</v>
      </c>
    </row>
    <row r="6" spans="1:2" s="1200" customFormat="1" ht="16.2" thickTop="1">
      <c r="A6" s="1198" t="s">
        <v>526</v>
      </c>
      <c r="B6" s="1199" t="str">
        <f>'预评函-1'!A4</f>
        <v>受贵公司委托，我公司对进行了预评估。</v>
      </c>
    </row>
    <row r="7" spans="1:2" s="1203" customFormat="1">
      <c r="A7" s="1201" t="s">
        <v>566</v>
      </c>
      <c r="B7" s="1202" t="str">
        <f>'预评函-1'!A7</f>
        <v>估价对象为房地产，为所有。根据《国有土地使用证》[]，估价对象（分摊）出让国有建设用地使用权面积为0平方米，建筑面积为2414.43平方米。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估价对象为房地产,属开发建设的，该项目尚在开发建设中。根据《国有土地使用证》[]，估价对象（分摊）出让国有建设用地使用权面积为0平方米，规划建筑面积为2414.43平方米。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为估价委托人了解估价对象房地产市场价值提供参考依据。</v>
      </c>
    </row>
    <row r="12" spans="1:2" s="1203" customFormat="1">
      <c r="A12" s="1201" t="s">
        <v>528</v>
      </c>
      <c r="B12" s="1202" t="str">
        <f>'预评函-1'!A15</f>
        <v>2024年7月5日（评估专业人员实地查勘之日）</v>
      </c>
    </row>
    <row r="13" spans="1:2" s="1203" customFormat="1">
      <c r="A13" s="1201" t="s">
        <v>529</v>
      </c>
      <c r="B13" s="1202" t="str">
        <f>'预评函-1'!A18</f>
        <v>本次估价的“房地产价值”是指在正常市场情况下，在价值时点2024年7月5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7" customFormat="1" ht="16.2" thickBot="1">
      <c r="A18" s="1204" t="s">
        <v>534</v>
      </c>
      <c r="B18" s="1205" t="str">
        <f>'预评函-1'!A24</f>
        <v>本次评估采用的主估价方法为基准地价系数修正法和基准地价系数修正法。</v>
      </c>
    </row>
    <row r="19" spans="1:2" s="1200" customFormat="1" ht="16.2"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t="e">
        <f ca="1">'预评函-2'!D5</f>
        <v>#REF!</v>
      </c>
    </row>
    <row r="21" spans="1:2" s="1203" customFormat="1">
      <c r="A21" s="1201" t="s">
        <v>537</v>
      </c>
      <c r="B21" s="1202" t="e">
        <f ca="1">'预评函-2'!D7</f>
        <v>#REF!</v>
      </c>
    </row>
    <row r="22" spans="1:2" s="1203" customFormat="1">
      <c r="A22" s="1201" t="s">
        <v>538</v>
      </c>
      <c r="B22" s="1202" t="e">
        <f ca="1">'预评函-2'!D6</f>
        <v>#REF!</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t="e">
        <f ca="1">'预评函-2'!D13</f>
        <v>#REF!</v>
      </c>
    </row>
    <row r="31" spans="1:2" s="1203" customFormat="1">
      <c r="A31" s="1201" t="s">
        <v>576</v>
      </c>
      <c r="B31" s="1202" t="e">
        <f ca="1">'预评函-2'!D15</f>
        <v>#REF!</v>
      </c>
    </row>
    <row r="32" spans="1:2" s="1203" customFormat="1">
      <c r="A32" s="1201" t="s">
        <v>543</v>
      </c>
      <c r="B32" s="1202" t="e">
        <f ca="1">'预评函-2'!D14</f>
        <v>#REF!</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房地产</v>
      </c>
    </row>
    <row r="42" spans="1:2" s="1203" customFormat="1" ht="31.2">
      <c r="A42" s="1201" t="s">
        <v>590</v>
      </c>
      <c r="B42" s="1202" t="str">
        <f>'预评函-3'!B2</f>
        <v>建筑面积</v>
      </c>
    </row>
    <row r="43" spans="1:2" s="1203" customFormat="1">
      <c r="A43" s="1201" t="s">
        <v>591</v>
      </c>
      <c r="B43" s="1202">
        <f>'预评函-3'!B4</f>
        <v>2414.4300000000003</v>
      </c>
    </row>
    <row r="44" spans="1:2" s="1203" customFormat="1" ht="31.2">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6.2" thickBot="1">
      <c r="A57" s="1204" t="s">
        <v>599</v>
      </c>
      <c r="B57" s="1205" t="str">
        <f>'预评函-3'!A6</f>
        <v>估价师知悉的法定优先受偿款</v>
      </c>
    </row>
    <row r="58" spans="1:2" s="1200" customFormat="1" ht="16.2" thickTop="1">
      <c r="A58" s="1198" t="s">
        <v>553</v>
      </c>
      <c r="B58" s="1199" t="str">
        <f>'预评函-4'!A12</f>
        <v>2.本次评估设定估价对象房地产权属无争议，未被查封或者以其他形式限制其房地产权利，未设定抵押权等他项权利，不涉及第三方权利义务。</v>
      </c>
    </row>
    <row r="59" spans="1:2" s="1203" customFormat="1">
      <c r="A59" s="1201" t="s">
        <v>554</v>
      </c>
      <c r="B59" s="1202" t="str">
        <f>'预评函-4'!A13</f>
        <v>——</v>
      </c>
    </row>
    <row r="60" spans="1:2" s="1203" customFormat="1">
      <c r="A60" s="1201" t="s">
        <v>555</v>
      </c>
      <c r="B60" s="1202" t="str">
        <f>'预评函-4'!A14</f>
        <v>——</v>
      </c>
    </row>
    <row r="61" spans="1:2" s="1203" customFormat="1">
      <c r="A61" s="1201" t="s">
        <v>556</v>
      </c>
      <c r="B61" s="1202" t="str">
        <f>'预评函-4'!A15</f>
        <v>——</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v>
      </c>
    </row>
    <row r="65" spans="1:2" s="1203" customFormat="1">
      <c r="A65" s="1201" t="s">
        <v>559</v>
      </c>
      <c r="B65" s="1202"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6.2" thickBot="1">
      <c r="A69" s="1204" t="s">
        <v>561</v>
      </c>
      <c r="B69" s="1206">
        <f>'预评函-4'!C31</f>
        <v>42551</v>
      </c>
    </row>
    <row r="70" spans="1:2" ht="16.2" thickTop="1">
      <c r="A70" s="1207" t="s">
        <v>562</v>
      </c>
      <c r="B70" s="1208">
        <f>'预评函-4'!A4</f>
        <v>0</v>
      </c>
    </row>
    <row r="71" spans="1:2">
      <c r="A71" s="1201" t="s">
        <v>563</v>
      </c>
      <c r="B71" s="1202">
        <f>'预评函-4'!B4</f>
        <v>0</v>
      </c>
    </row>
    <row r="72" spans="1:2">
      <c r="A72" s="1201" t="s">
        <v>564</v>
      </c>
      <c r="B72" s="1210">
        <f>'预评函-4'!A5</f>
        <v>0</v>
      </c>
    </row>
    <row r="73" spans="1:2" s="1197" customFormat="1" ht="16.2" thickBot="1">
      <c r="A73" s="1204" t="s">
        <v>565</v>
      </c>
      <c r="B73" s="1205">
        <f>'预评函-4'!B5</f>
        <v>0</v>
      </c>
    </row>
    <row r="74" spans="1:2" ht="16.2"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4.4"/>
  <cols>
    <col min="1" max="1" width="3.44140625" style="843" customWidth="1"/>
    <col min="2" max="9" width="10" style="843" customWidth="1"/>
    <col min="10" max="16384" width="9" style="843"/>
  </cols>
  <sheetData>
    <row r="36" spans="1:9">
      <c r="A36" s="842" t="s">
        <v>371</v>
      </c>
      <c r="B36" s="842" t="s">
        <v>372</v>
      </c>
    </row>
    <row r="37" spans="1:9" ht="27.75" customHeight="1">
      <c r="A37" s="842"/>
      <c r="B37" s="3590" t="str">
        <f>项目基本情况!B1</f>
        <v>预评估</v>
      </c>
      <c r="C37" s="3590"/>
      <c r="D37" s="3590"/>
      <c r="E37" s="3590"/>
      <c r="F37" s="3590"/>
      <c r="G37" s="3590"/>
      <c r="H37" s="3590"/>
      <c r="I37" s="3590"/>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3.8"/>
  <cols>
    <col min="1" max="1" width="84" style="1477" customWidth="1"/>
    <col min="2" max="16384" width="9" style="1477"/>
  </cols>
  <sheetData>
    <row r="1" spans="1:1" ht="22.8">
      <c r="A1" s="1476" t="s">
        <v>898</v>
      </c>
    </row>
    <row r="2" spans="1:1">
      <c r="A2" s="1478"/>
    </row>
    <row r="3" spans="1:1" ht="17.399999999999999">
      <c r="A3" s="1479" t="str">
        <f>项目基本情况!B5&amp;"："</f>
        <v>：</v>
      </c>
    </row>
    <row r="4" spans="1:1" ht="17.399999999999999">
      <c r="A4" s="1480" t="str">
        <f>"受贵公司委托，我公司对"&amp;项目基本情况!S1&amp;"进行了预评估。"</f>
        <v>受贵公司委托，我公司对进行了预评估。</v>
      </c>
    </row>
    <row r="5" spans="1:1" ht="17.399999999999999">
      <c r="A5" s="1481" t="s">
        <v>899</v>
      </c>
    </row>
    <row r="6" spans="1:1" ht="17.399999999999999">
      <c r="A6" s="1482" t="s">
        <v>900</v>
      </c>
    </row>
    <row r="7" spans="1:1" ht="52.2">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估价对象为房地产，为所有。根据《国有土地使用证》[]，估价对象（分摊）出让国有建设用地使用权面积为0平方米，建筑面积为2414.43平方米。</v>
      </c>
    </row>
    <row r="8" spans="1:1" ht="54.6">
      <c r="A8" s="1483" t="s">
        <v>901</v>
      </c>
    </row>
    <row r="9" spans="1:1" ht="17.399999999999999">
      <c r="A9" s="1482" t="s">
        <v>902</v>
      </c>
    </row>
    <row r="10" spans="1:1" ht="52.2">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估价对象为房地产,属开发建设的，该项目尚在开发建设中。根据《国有土地使用证》[]，估价对象（分摊）出让国有建设用地使用权面积为0平方米，规划建筑面积为2414.43平方米。</v>
      </c>
    </row>
    <row r="11" spans="1:1" ht="72">
      <c r="A11" s="1483" t="s">
        <v>903</v>
      </c>
    </row>
    <row r="12" spans="1:1" ht="17.399999999999999">
      <c r="A12" s="1481" t="s">
        <v>904</v>
      </c>
    </row>
    <row r="13" spans="1:1" ht="38.25" customHeight="1">
      <c r="A13" s="1484" t="str">
        <f>IF(项目基本情况!B8="抵押",IF(项目基本情况!B5=项目基本情况!B6,定义!C51,定义!B51),定义!D51)</f>
        <v>为估价委托人了解估价对象房地产市场价值提供参考依据。</v>
      </c>
    </row>
    <row r="14" spans="1:1" ht="17.399999999999999">
      <c r="A14" s="1485" t="s">
        <v>905</v>
      </c>
    </row>
    <row r="15" spans="1:1" ht="17.399999999999999">
      <c r="A15" s="1486" t="str">
        <f>TEXT(项目基本情况!D3,"yyyy年m月d日;;")&amp;IF(项目基本情况!D3=项目基本情况!B3,"（评估专业人员实地查勘之日）","")</f>
        <v>2024年7月5日（评估专业人员实地查勘之日）</v>
      </c>
    </row>
    <row r="16" spans="1:1" ht="17.399999999999999">
      <c r="A16" s="1485" t="s">
        <v>906</v>
      </c>
    </row>
    <row r="17" spans="1:1" ht="69.599999999999994">
      <c r="A17" s="1480" t="s">
        <v>907</v>
      </c>
    </row>
    <row r="18" spans="1:1" ht="69.59999999999999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7月5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87">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2.2">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2.2">
      <c r="A22" s="14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7.399999999999999">
      <c r="A23" s="1485" t="s">
        <v>896</v>
      </c>
    </row>
    <row r="24" spans="1:1" ht="17.399999999999999">
      <c r="A24" s="1487" t="str">
        <f>"本次评估采用的主估价方法为"&amp;结果表!K4&amp;"和"&amp;结果表!L4&amp;"。"</f>
        <v>本次评估采用的主估价方法为基准地价系数修正法和基准地价系数修正法。</v>
      </c>
    </row>
    <row r="25" spans="1:1" ht="17.399999999999999">
      <c r="A25" s="1487"/>
    </row>
    <row r="26" spans="1:1" ht="17.399999999999999">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3.8"/>
  <cols>
    <col min="1" max="1" width="0.88671875" style="1492" customWidth="1"/>
    <col min="2" max="2" width="37.21875" style="1492" customWidth="1"/>
    <col min="3" max="3" width="11.33203125" style="1492" customWidth="1"/>
    <col min="4" max="4" width="31.77734375" style="1492" customWidth="1"/>
    <col min="5" max="5" width="0.44140625" style="1492" customWidth="1"/>
    <col min="6" max="7" width="13" style="1492" customWidth="1"/>
    <col min="8" max="16384" width="9" style="1492"/>
  </cols>
  <sheetData>
    <row r="1" spans="1:5" ht="17.399999999999999">
      <c r="A1" s="1490" t="s">
        <v>908</v>
      </c>
      <c r="B1" s="1491"/>
      <c r="C1" s="1491"/>
      <c r="D1" s="1491"/>
      <c r="E1" s="1491"/>
    </row>
    <row r="2" spans="1:5" ht="78" customHeight="1">
      <c r="A2" s="359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95"/>
      <c r="C2" s="3595"/>
      <c r="D2" s="3595"/>
      <c r="E2" s="3595"/>
    </row>
    <row r="3" spans="1:5" ht="17.399999999999999">
      <c r="A3" s="3596" t="str">
        <f>IF(项目基本情况!B9="房地产市场价值","估价结果一览表（市场价值不需“结果表-1”）","估价结果一览表")</f>
        <v>估价结果一览表</v>
      </c>
      <c r="B3" s="3596"/>
      <c r="C3" s="3596"/>
      <c r="D3" s="3596"/>
      <c r="E3" s="3596"/>
    </row>
    <row r="4" spans="1:5" ht="18" thickBot="1">
      <c r="A4" s="1493"/>
      <c r="B4" s="3594" t="s">
        <v>917</v>
      </c>
      <c r="C4" s="3594"/>
      <c r="D4" s="3594"/>
      <c r="E4" s="1493"/>
    </row>
    <row r="5" spans="1:5" ht="16.2" thickTop="1">
      <c r="A5" s="1491"/>
      <c r="B5" s="3592" t="s">
        <v>909</v>
      </c>
      <c r="C5" s="1494" t="s">
        <v>910</v>
      </c>
      <c r="D5" s="850" t="e">
        <f ca="1">结果表!H101</f>
        <v>#REF!</v>
      </c>
      <c r="E5" s="1491"/>
    </row>
    <row r="6" spans="1:5" ht="15.6">
      <c r="A6" s="1491"/>
      <c r="B6" s="3592"/>
      <c r="C6" s="1494" t="s">
        <v>911</v>
      </c>
      <c r="D6" s="850" t="e">
        <f ca="1">NUMBERSTRING(INT(D5*10000),2)&amp;"元整"</f>
        <v>#REF!</v>
      </c>
      <c r="E6" s="1491"/>
    </row>
    <row r="7" spans="1:5" ht="15.6">
      <c r="A7" s="1491"/>
      <c r="B7" s="3597"/>
      <c r="C7" s="1495" t="s">
        <v>912</v>
      </c>
      <c r="D7" s="851" t="e">
        <f ca="1">结果表!H102</f>
        <v>#REF!</v>
      </c>
      <c r="E7" s="1491"/>
    </row>
    <row r="8" spans="1:5" ht="15.6">
      <c r="A8" s="1491"/>
      <c r="B8" s="3598" t="str">
        <f>结果表!E103</f>
        <v>2.估价师知悉的法定优先受偿款</v>
      </c>
      <c r="C8" s="1496" t="s">
        <v>913</v>
      </c>
      <c r="D8" s="851">
        <f>结果表!H103</f>
        <v>0</v>
      </c>
      <c r="E8" s="1491"/>
    </row>
    <row r="9" spans="1:5" ht="15.6">
      <c r="A9" s="1491"/>
      <c r="B9" s="3600"/>
      <c r="C9" s="1494" t="s">
        <v>911</v>
      </c>
      <c r="D9" s="850" t="str">
        <f>NUMBERSTRING(INT(D8*10000),2)&amp;"元整"</f>
        <v>零元整</v>
      </c>
      <c r="E9" s="1491"/>
    </row>
    <row r="10" spans="1:5" ht="15.6">
      <c r="A10" s="1491"/>
      <c r="B10" s="1497" t="s">
        <v>916</v>
      </c>
      <c r="C10" s="1498" t="s">
        <v>914</v>
      </c>
      <c r="D10" s="852">
        <f>结果表!H104</f>
        <v>0</v>
      </c>
      <c r="E10" s="1491"/>
    </row>
    <row r="11" spans="1:5" ht="15.6">
      <c r="A11" s="1491"/>
      <c r="B11" s="1497" t="s">
        <v>918</v>
      </c>
      <c r="C11" s="1498" t="s">
        <v>919</v>
      </c>
      <c r="D11" s="852">
        <f>结果表!H105</f>
        <v>0</v>
      </c>
      <c r="E11" s="1491"/>
    </row>
    <row r="12" spans="1:5" ht="15.6">
      <c r="A12" s="1491"/>
      <c r="B12" s="1497" t="s">
        <v>920</v>
      </c>
      <c r="C12" s="1498" t="s">
        <v>919</v>
      </c>
      <c r="D12" s="852">
        <f>结果表!H106</f>
        <v>0</v>
      </c>
      <c r="E12" s="1491"/>
    </row>
    <row r="13" spans="1:5" ht="15.6">
      <c r="A13" s="1491"/>
      <c r="B13" s="3591" t="str">
        <f>结果表!E107</f>
        <v>3.房地产抵押价值</v>
      </c>
      <c r="C13" s="1499" t="s">
        <v>910</v>
      </c>
      <c r="D13" s="853" t="e">
        <f ca="1">结果表!H107</f>
        <v>#REF!</v>
      </c>
      <c r="E13" s="1491"/>
    </row>
    <row r="14" spans="1:5" ht="15.6">
      <c r="A14" s="1491"/>
      <c r="B14" s="3592"/>
      <c r="C14" s="1494" t="s">
        <v>911</v>
      </c>
      <c r="D14" s="850" t="e">
        <f ca="1">NUMBERSTRING(INT(D13*10000),2)&amp;"元整"</f>
        <v>#REF!</v>
      </c>
      <c r="E14" s="1491"/>
    </row>
    <row r="15" spans="1:5" ht="15.6">
      <c r="A15" s="1491"/>
      <c r="B15" s="3597"/>
      <c r="C15" s="1495" t="s">
        <v>921</v>
      </c>
      <c r="D15" s="859" t="e">
        <f ca="1">结果表!H108</f>
        <v>#REF!</v>
      </c>
      <c r="E15" s="1491"/>
    </row>
    <row r="16" spans="1:5" ht="15.6">
      <c r="A16" s="1491"/>
      <c r="B16" s="3598" t="str">
        <f>结果表!E109</f>
        <v>——</v>
      </c>
      <c r="C16" s="1499" t="s">
        <v>922</v>
      </c>
      <c r="D16" s="1500" t="str">
        <f>结果表!H109</f>
        <v>——</v>
      </c>
      <c r="E16" s="1491"/>
    </row>
    <row r="17" spans="1:5" ht="15.6">
      <c r="A17" s="1491"/>
      <c r="B17" s="3599"/>
      <c r="C17" s="1494" t="s">
        <v>923</v>
      </c>
      <c r="D17" s="850" t="e">
        <f>NUMBERSTRING(INT(D16*10000),2)&amp;"元整"</f>
        <v>#VALUE!</v>
      </c>
      <c r="E17" s="1491"/>
    </row>
    <row r="18" spans="1:5" ht="15.6">
      <c r="A18" s="1491"/>
      <c r="B18" s="3600"/>
      <c r="C18" s="1495" t="s">
        <v>912</v>
      </c>
      <c r="D18" s="859" t="str">
        <f>结果表!H110</f>
        <v>——</v>
      </c>
      <c r="E18" s="1491"/>
    </row>
    <row r="19" spans="1:5" ht="15.6">
      <c r="A19" s="1491"/>
      <c r="B19" s="3591" t="str">
        <f>结果表!E111</f>
        <v>——</v>
      </c>
      <c r="C19" s="1499" t="s">
        <v>910</v>
      </c>
      <c r="D19" s="851" t="str">
        <f>结果表!H111</f>
        <v>——</v>
      </c>
      <c r="E19" s="1491"/>
    </row>
    <row r="20" spans="1:5" ht="15.6">
      <c r="A20" s="1491"/>
      <c r="B20" s="3592"/>
      <c r="C20" s="1494" t="s">
        <v>923</v>
      </c>
      <c r="D20" s="850" t="e">
        <f>NUMBERSTRING(INT(D19*10000),2)&amp;"元整"</f>
        <v>#VALUE!</v>
      </c>
      <c r="E20" s="1491"/>
    </row>
    <row r="21" spans="1:5" ht="16.2" thickBot="1">
      <c r="A21" s="1491"/>
      <c r="B21" s="3593"/>
      <c r="C21" s="1501" t="s">
        <v>921</v>
      </c>
      <c r="D21" s="860" t="str">
        <f>结果表!H112</f>
        <v>——</v>
      </c>
      <c r="E21" s="1491"/>
    </row>
    <row r="22" spans="1:5" ht="14.4" thickTop="1">
      <c r="A22" s="1491"/>
      <c r="B22" s="1502" t="s">
        <v>924</v>
      </c>
      <c r="C22" s="1491"/>
      <c r="D22" s="1491"/>
      <c r="E22" s="1491"/>
    </row>
    <row r="23" spans="1:5">
      <c r="A23" s="1491"/>
      <c r="B23" s="1491"/>
      <c r="C23" s="1491"/>
      <c r="D23" s="1491"/>
      <c r="E23" s="1491"/>
    </row>
    <row r="24" spans="1:5" ht="17.399999999999999">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3.8"/>
  <cols>
    <col min="1" max="1" width="27.6640625" style="1477" customWidth="1"/>
    <col min="2" max="9" width="12.109375" style="1477" customWidth="1"/>
    <col min="10" max="16384" width="9" style="1477"/>
  </cols>
  <sheetData>
    <row r="1" spans="1:9" ht="18" thickBot="1">
      <c r="A1" s="3608" t="str">
        <f>IF(项目基本情况!B9="房地产市场价值","估价结果一览表","结果表-2")</f>
        <v>结果表-2</v>
      </c>
      <c r="B1" s="3608"/>
      <c r="C1" s="3608"/>
      <c r="D1" s="3608"/>
      <c r="E1" s="3608"/>
      <c r="F1" s="3608"/>
      <c r="G1" s="3608"/>
      <c r="H1" s="3608"/>
      <c r="I1" s="3608"/>
    </row>
    <row r="2" spans="1:9" ht="30" customHeight="1" thickTop="1">
      <c r="A2" s="3609" t="s">
        <v>928</v>
      </c>
      <c r="B2" s="3609" t="s">
        <v>929</v>
      </c>
      <c r="C2" s="3609" t="s">
        <v>930</v>
      </c>
      <c r="D2" s="3609" t="str">
        <f>结果表!D116</f>
        <v>出让国有建设用地使用权价值</v>
      </c>
      <c r="E2" s="3609"/>
      <c r="F2" s="3609" t="str">
        <f>结果表!F116</f>
        <v>在建建筑物价值</v>
      </c>
      <c r="G2" s="3609"/>
      <c r="H2" s="3609" t="str">
        <f>IF(项目基本情况!B9="房地产市场价值","房地产市场价值","房地产价值")</f>
        <v>房地产价值</v>
      </c>
      <c r="I2" s="3609"/>
    </row>
    <row r="3" spans="1:9" ht="15.6">
      <c r="A3" s="3604"/>
      <c r="B3" s="3604"/>
      <c r="C3" s="3604"/>
      <c r="D3" s="854" t="s">
        <v>925</v>
      </c>
      <c r="E3" s="854" t="s">
        <v>931</v>
      </c>
      <c r="F3" s="854" t="s">
        <v>925</v>
      </c>
      <c r="G3" s="854" t="s">
        <v>926</v>
      </c>
      <c r="H3" s="854" t="s">
        <v>925</v>
      </c>
      <c r="I3" s="854" t="s">
        <v>926</v>
      </c>
    </row>
    <row r="4" spans="1:9" ht="15">
      <c r="A4" s="1505" t="str">
        <f>项目基本情况!S2</f>
        <v>房地产</v>
      </c>
      <c r="B4" s="854">
        <f>项目基本情况!C17</f>
        <v>2414.4300000000003</v>
      </c>
      <c r="C4" s="854">
        <f>项目基本情况!C18</f>
        <v>0</v>
      </c>
      <c r="D4" s="854" t="e">
        <f ca="1">结果表!D118</f>
        <v>#REF!</v>
      </c>
      <c r="E4" s="854" t="e">
        <f ca="1">结果表!E118</f>
        <v>#REF!</v>
      </c>
      <c r="F4" s="854" t="e">
        <f ca="1">结果表!F118</f>
        <v>#REF!</v>
      </c>
      <c r="G4" s="854" t="e">
        <f ca="1">结果表!G118</f>
        <v>#REF!</v>
      </c>
      <c r="H4" s="854" t="e">
        <f ca="1">结果表!H118</f>
        <v>#REF!</v>
      </c>
      <c r="I4" s="854" t="e">
        <f ca="1">结果表!I118</f>
        <v>#REF!</v>
      </c>
    </row>
    <row r="5" spans="1:9" ht="30" customHeight="1">
      <c r="A5" s="3604" t="s">
        <v>927</v>
      </c>
      <c r="B5" s="3604"/>
      <c r="C5" s="3604"/>
      <c r="D5" s="3604" t="e">
        <f ca="1">结果表!D119</f>
        <v>#REF!</v>
      </c>
      <c r="E5" s="3604"/>
      <c r="F5" s="3604" t="e">
        <f ca="1">结果表!F119</f>
        <v>#REF!</v>
      </c>
      <c r="G5" s="3604"/>
      <c r="H5" s="3604" t="e">
        <f ca="1">结果表!H119</f>
        <v>#REF!</v>
      </c>
      <c r="I5" s="3604"/>
    </row>
    <row r="6" spans="1:9" ht="15.6">
      <c r="A6" s="3603" t="str">
        <f>结果表!A120</f>
        <v>估价师知悉的法定优先受偿款</v>
      </c>
      <c r="B6" s="3603"/>
      <c r="C6" s="3603"/>
      <c r="D6" s="3603">
        <f>结果表!D120</f>
        <v>0</v>
      </c>
      <c r="E6" s="3603"/>
      <c r="F6" s="3603"/>
      <c r="G6" s="3603"/>
      <c r="H6" s="3603"/>
      <c r="I6" s="3603"/>
    </row>
    <row r="7" spans="1:9" ht="15">
      <c r="A7" s="3604" t="s">
        <v>927</v>
      </c>
      <c r="B7" s="3604"/>
      <c r="C7" s="3604"/>
      <c r="D7" s="3605" t="str">
        <f>结果表!D121</f>
        <v>零元整</v>
      </c>
      <c r="E7" s="3606"/>
      <c r="F7" s="3606"/>
      <c r="G7" s="3606"/>
      <c r="H7" s="3606"/>
      <c r="I7" s="3607"/>
    </row>
    <row r="8" spans="1:9" ht="15.6">
      <c r="A8" s="3603" t="str">
        <f>结果表!A122</f>
        <v>房地产抵押价值</v>
      </c>
      <c r="B8" s="3603"/>
      <c r="C8" s="3603"/>
      <c r="D8" s="3603" t="e">
        <f ca="1">结果表!D122</f>
        <v>#REF!</v>
      </c>
      <c r="E8" s="3603"/>
      <c r="F8" s="3603"/>
      <c r="G8" s="3603"/>
      <c r="H8" s="3603"/>
      <c r="I8" s="3603"/>
    </row>
    <row r="9" spans="1:9" ht="15">
      <c r="A9" s="3604" t="s">
        <v>927</v>
      </c>
      <c r="B9" s="3604"/>
      <c r="C9" s="3604"/>
      <c r="D9" s="3604" t="e">
        <f ca="1">结果表!D123</f>
        <v>#REF!</v>
      </c>
      <c r="E9" s="3604"/>
      <c r="F9" s="3604"/>
      <c r="G9" s="3604"/>
      <c r="H9" s="3604"/>
      <c r="I9" s="3604"/>
    </row>
    <row r="10" spans="1:9" ht="15.6">
      <c r="A10" s="3603" t="str">
        <f>结果表!A124</f>
        <v/>
      </c>
      <c r="B10" s="3603"/>
      <c r="C10" s="3603"/>
      <c r="D10" s="3603" t="str">
        <f>结果表!D124</f>
        <v>——</v>
      </c>
      <c r="E10" s="3603"/>
      <c r="F10" s="3603"/>
      <c r="G10" s="3603"/>
      <c r="H10" s="3603"/>
      <c r="I10" s="3603"/>
    </row>
    <row r="11" spans="1:9" ht="15">
      <c r="A11" s="3604" t="s">
        <v>927</v>
      </c>
      <c r="B11" s="3604"/>
      <c r="C11" s="3604"/>
      <c r="D11" s="3604" t="e">
        <f>结果表!D125</f>
        <v>#VALUE!</v>
      </c>
      <c r="E11" s="3604"/>
      <c r="F11" s="3604"/>
      <c r="G11" s="3604"/>
      <c r="H11" s="3604"/>
      <c r="I11" s="3604"/>
    </row>
    <row r="12" spans="1:9" ht="15.6">
      <c r="A12" s="3603" t="str">
        <f>结果表!A126</f>
        <v/>
      </c>
      <c r="B12" s="3603"/>
      <c r="C12" s="3603"/>
      <c r="D12" s="3603" t="str">
        <f>结果表!D126</f>
        <v>——</v>
      </c>
      <c r="E12" s="3603"/>
      <c r="F12" s="3603"/>
      <c r="G12" s="3603"/>
      <c r="H12" s="3603"/>
      <c r="I12" s="3603"/>
    </row>
    <row r="13" spans="1:9" ht="15.6" thickBot="1">
      <c r="A13" s="3601" t="s">
        <v>927</v>
      </c>
      <c r="B13" s="3601"/>
      <c r="C13" s="3601"/>
      <c r="D13" s="3601" t="e">
        <f>结果表!D127</f>
        <v>#VALUE!</v>
      </c>
      <c r="E13" s="3601"/>
      <c r="F13" s="3601"/>
      <c r="G13" s="3601"/>
      <c r="H13" s="3601"/>
      <c r="I13" s="3601"/>
    </row>
    <row r="14" spans="1:9" ht="14.4" thickTop="1">
      <c r="A14" s="3602" t="s">
        <v>932</v>
      </c>
      <c r="B14" s="3602"/>
      <c r="C14" s="3602"/>
      <c r="D14" s="3602"/>
      <c r="E14" s="3602"/>
      <c r="F14" s="3602"/>
      <c r="G14" s="3602"/>
      <c r="H14" s="3602"/>
      <c r="I14" s="3602"/>
    </row>
    <row r="16" spans="1:9" ht="17.399999999999999">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3.8"/>
  <cols>
    <col min="1" max="1" width="16.6640625" style="1477" customWidth="1"/>
    <col min="2" max="3" width="22.33203125" style="1477" customWidth="1"/>
    <col min="4" max="4" width="23" style="1477" customWidth="1"/>
    <col min="5" max="16384" width="9" style="1477"/>
  </cols>
  <sheetData>
    <row r="1" spans="1:4" ht="17.399999999999999">
      <c r="A1" s="3616" t="s">
        <v>949</v>
      </c>
      <c r="B1" s="3616"/>
      <c r="C1" s="3616"/>
      <c r="D1" s="3616"/>
    </row>
    <row r="2" spans="1:4" ht="17.399999999999999">
      <c r="A2" s="3617" t="s">
        <v>933</v>
      </c>
      <c r="B2" s="3617"/>
      <c r="C2" s="3617"/>
      <c r="D2" s="3617"/>
    </row>
    <row r="3" spans="1:4" ht="17.399999999999999">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7.399999999999999">
      <c r="A6" s="3617" t="s">
        <v>939</v>
      </c>
      <c r="B6" s="3617"/>
      <c r="C6" s="3617"/>
      <c r="D6" s="3617"/>
    </row>
    <row r="7" spans="1:4" ht="17.399999999999999">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7.399999999999999">
      <c r="A10" s="1516" t="s">
        <v>941</v>
      </c>
      <c r="B10" s="675"/>
      <c r="C10" s="675"/>
      <c r="D10" s="675"/>
    </row>
    <row r="11" spans="1:4" ht="30" customHeight="1">
      <c r="A11" s="3618" t="s">
        <v>942</v>
      </c>
      <c r="B11" s="3610"/>
      <c r="C11" s="3610"/>
      <c r="D11" s="3610"/>
    </row>
    <row r="12" spans="1:4" ht="15.6">
      <c r="A12" s="361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615"/>
      <c r="C12" s="3615"/>
      <c r="D12" s="3615"/>
    </row>
    <row r="13" spans="1:4" ht="30" customHeight="1">
      <c r="A13" s="3610" t="str">
        <f>IF(项目基本情况!B8="抵押","3.抵押双方在办理抵押登记手续时，应使用本公司出具的正式《房地产评估报告》，特提醒报告使用者注意。","——")</f>
        <v>——</v>
      </c>
      <c r="B13" s="3615"/>
      <c r="C13" s="3615"/>
      <c r="D13" s="3615"/>
    </row>
    <row r="14" spans="1:4" ht="15.75" customHeight="1">
      <c r="A14" s="3610" t="str">
        <f>IF(项目基本情况!B8="抵押","4.本次评估估价师所知悉的法定优先受偿款情况说明如下：","——")</f>
        <v>——</v>
      </c>
      <c r="B14" s="3615"/>
      <c r="C14" s="3615"/>
      <c r="D14" s="3615"/>
    </row>
    <row r="15" spans="1:4" ht="42" customHeight="1">
      <c r="A15" s="3610" t="str">
        <f>IF(项目基本情况!B8="抵押","（1）"&amp;CONCATENATE(项目基本情况!L20,项目基本情况!L21,项目基本情况!L22),"——")</f>
        <v>——</v>
      </c>
      <c r="B15" s="3610"/>
      <c r="C15" s="3610"/>
      <c r="D15" s="3610"/>
    </row>
    <row r="16" spans="1:4" ht="30" customHeight="1">
      <c r="A16" s="3612" t="s">
        <v>943</v>
      </c>
      <c r="B16" s="3612"/>
      <c r="C16" s="3612"/>
      <c r="D16" s="3612"/>
    </row>
    <row r="17" spans="1:4" ht="144" customHeight="1">
      <c r="A17" s="3612" t="s">
        <v>944</v>
      </c>
      <c r="B17" s="3612"/>
      <c r="C17" s="3612"/>
      <c r="D17" s="3612"/>
    </row>
    <row r="18" spans="1:4" ht="15.75" customHeight="1">
      <c r="A18" s="3610" t="str">
        <f>IF(项目基本情况!B8="抵押",结果表!K120,"——")</f>
        <v>——</v>
      </c>
      <c r="B18" s="3610"/>
      <c r="C18" s="3610"/>
      <c r="D18" s="3610"/>
    </row>
    <row r="19" spans="1:4" ht="46.5" customHeight="1">
      <c r="A19" s="361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610"/>
      <c r="C19" s="3610"/>
      <c r="D19" s="3610"/>
    </row>
    <row r="20" spans="1:4" ht="57.75" customHeight="1">
      <c r="A20" s="361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610"/>
      <c r="C20" s="3610"/>
      <c r="D20" s="3610"/>
    </row>
    <row r="21" spans="1:4" ht="57.75" customHeight="1">
      <c r="A21" s="361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613"/>
      <c r="C21" s="3613"/>
      <c r="D21" s="3613"/>
    </row>
    <row r="22" spans="1:4" ht="18.75" customHeight="1">
      <c r="A22" s="3614" t="s">
        <v>945</v>
      </c>
      <c r="B22" s="3614"/>
      <c r="C22" s="3614"/>
      <c r="D22" s="3614"/>
    </row>
    <row r="23" spans="1:4">
      <c r="A23" s="1517"/>
      <c r="B23" s="1489"/>
      <c r="C23" s="1489"/>
      <c r="D23" s="1489"/>
    </row>
    <row r="24" spans="1:4">
      <c r="A24" s="1517"/>
      <c r="B24" s="1489"/>
      <c r="C24" s="1489"/>
      <c r="D24" s="1489"/>
    </row>
    <row r="25" spans="1:4" ht="17.399999999999999">
      <c r="A25" s="1518" t="s">
        <v>946</v>
      </c>
    </row>
    <row r="26" spans="1:4" ht="17.399999999999999">
      <c r="A26" s="1487"/>
    </row>
    <row r="27" spans="1:4" ht="17.399999999999999">
      <c r="A27" s="1487" t="s">
        <v>947</v>
      </c>
    </row>
    <row r="30" spans="1:4" ht="17.399999999999999">
      <c r="D30" s="1518" t="s">
        <v>948</v>
      </c>
    </row>
    <row r="31" spans="1:4" ht="13.5" customHeight="1">
      <c r="C31" s="3611">
        <v>42551</v>
      </c>
      <c r="D31" s="3611"/>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4.4"/>
  <cols>
    <col min="1" max="2" width="13.109375" style="1475" customWidth="1"/>
    <col min="3" max="10" width="12.44140625" style="1475" customWidth="1"/>
    <col min="11" max="16384" width="9" style="1475"/>
  </cols>
  <sheetData>
    <row r="1" spans="1:10" ht="17.399999999999999">
      <c r="A1" s="1508" t="s">
        <v>391</v>
      </c>
      <c r="B1" s="1519"/>
      <c r="C1" s="1519"/>
      <c r="D1" s="1519"/>
      <c r="E1" s="1519"/>
      <c r="F1" s="1519"/>
      <c r="G1" s="1519"/>
      <c r="H1" s="1519"/>
      <c r="I1" s="1519"/>
      <c r="J1" s="1519"/>
    </row>
    <row r="2" spans="1:10" ht="17.399999999999999">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44140625" defaultRowHeight="15.6"/>
  <cols>
    <col min="1" max="1" width="14.44140625" style="1525" customWidth="1"/>
    <col min="2" max="16384" width="14.44140625" style="1507"/>
  </cols>
  <sheetData>
    <row r="1" spans="1:7" s="1522" customFormat="1" ht="17.399999999999999">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4.4">
      <c r="A15" s="3624" t="s">
        <v>956</v>
      </c>
      <c r="B15" s="3619" t="s">
        <v>109</v>
      </c>
      <c r="C15" s="3620"/>
    </row>
    <row r="16" spans="1:7" ht="14.4">
      <c r="A16" s="3625"/>
      <c r="B16" s="3619" t="s">
        <v>42</v>
      </c>
      <c r="C16" s="3620"/>
    </row>
    <row r="17" spans="1:3" ht="14.4">
      <c r="A17" s="3625"/>
      <c r="B17" s="3622" t="s">
        <v>957</v>
      </c>
      <c r="C17" s="1532" t="s">
        <v>956</v>
      </c>
    </row>
    <row r="18" spans="1:3" ht="14.4">
      <c r="A18" s="3625"/>
      <c r="B18" s="3622"/>
      <c r="C18" s="1532" t="s">
        <v>958</v>
      </c>
    </row>
    <row r="19" spans="1:3" ht="14.4">
      <c r="A19" s="3625"/>
      <c r="B19" s="3622"/>
      <c r="C19" s="1532" t="s">
        <v>959</v>
      </c>
    </row>
    <row r="20" spans="1:3" ht="14.4">
      <c r="A20" s="3626"/>
      <c r="B20" s="3621" t="s">
        <v>960</v>
      </c>
      <c r="C20" s="3620"/>
    </row>
    <row r="21" spans="1:3" ht="14.4">
      <c r="A21" s="1533" t="s">
        <v>961</v>
      </c>
      <c r="B21" s="1534"/>
      <c r="C21" s="1535"/>
    </row>
    <row r="22" spans="1:3" ht="14.4">
      <c r="A22" s="3623" t="s">
        <v>962</v>
      </c>
      <c r="B22" s="3621" t="s">
        <v>963</v>
      </c>
      <c r="C22" s="3620"/>
    </row>
    <row r="23" spans="1:3" ht="14.4">
      <c r="A23" s="3623"/>
      <c r="B23" s="3621" t="s">
        <v>964</v>
      </c>
      <c r="C23" s="3620"/>
    </row>
    <row r="24" spans="1:3" ht="14.4">
      <c r="A24" s="3623"/>
      <c r="B24" s="3621" t="s">
        <v>965</v>
      </c>
      <c r="C24" s="3620"/>
    </row>
    <row r="25" spans="1:3" ht="14.4">
      <c r="A25" s="3623"/>
      <c r="B25" s="3622" t="s">
        <v>966</v>
      </c>
      <c r="C25" s="1532" t="s">
        <v>967</v>
      </c>
    </row>
    <row r="26" spans="1:3" ht="14.4">
      <c r="A26" s="3623"/>
      <c r="B26" s="3622"/>
      <c r="C26" s="1532" t="s">
        <v>968</v>
      </c>
    </row>
    <row r="27" spans="1:3" ht="14.4">
      <c r="A27" s="3623"/>
      <c r="B27" s="3622"/>
      <c r="C27" s="1532" t="s">
        <v>969</v>
      </c>
    </row>
    <row r="28" spans="1:3" ht="14.4">
      <c r="A28" s="3623"/>
      <c r="B28" s="3622"/>
      <c r="C28" s="1532" t="s">
        <v>970</v>
      </c>
    </row>
    <row r="29" spans="1:3" ht="14.4">
      <c r="A29" s="3623"/>
      <c r="B29" s="3622"/>
      <c r="C29" s="1532" t="s">
        <v>971</v>
      </c>
    </row>
    <row r="30" spans="1:3" ht="14.4">
      <c r="A30" s="3623"/>
      <c r="B30" s="3622"/>
      <c r="C30" s="1532" t="s">
        <v>972</v>
      </c>
    </row>
    <row r="31" spans="1:3" ht="14.4">
      <c r="A31" s="3623"/>
      <c r="B31" s="3622"/>
      <c r="C31" s="1532" t="s">
        <v>973</v>
      </c>
    </row>
    <row r="32" spans="1:3" ht="14.4">
      <c r="A32" s="3623"/>
      <c r="B32" s="3622"/>
      <c r="C32" s="1532" t="s">
        <v>974</v>
      </c>
    </row>
    <row r="33" spans="1:3" ht="14.4">
      <c r="A33" s="3623"/>
      <c r="B33" s="3622"/>
      <c r="C33" s="1532" t="s">
        <v>975</v>
      </c>
    </row>
    <row r="34" spans="1:3">
      <c r="A34" s="1536" t="s">
        <v>49</v>
      </c>
    </row>
    <row r="37" spans="1:3">
      <c r="A37" s="1536" t="s">
        <v>976</v>
      </c>
    </row>
    <row r="38" spans="1:3" ht="14.4">
      <c r="A38" s="1537" t="s">
        <v>50</v>
      </c>
    </row>
    <row r="39" spans="1:3" ht="14.4">
      <c r="A39" s="1537" t="s">
        <v>51</v>
      </c>
    </row>
    <row r="40" spans="1:3" ht="14.4">
      <c r="A40" s="1537" t="s">
        <v>52</v>
      </c>
    </row>
    <row r="41" spans="1:3" ht="14.4">
      <c r="A41" s="1538" t="s">
        <v>53</v>
      </c>
    </row>
    <row r="42" spans="1:3" ht="14.4">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640625" defaultRowHeight="24" customHeight="1"/>
  <cols>
    <col min="1" max="1" width="24.6640625" style="2337" customWidth="1"/>
    <col min="2" max="2" width="38.6640625" style="2337" customWidth="1"/>
    <col min="3" max="3" width="26" style="2337" customWidth="1"/>
    <col min="4" max="4" width="35" style="2337" hidden="1" customWidth="1"/>
    <col min="5" max="5" width="30.109375" style="2337" customWidth="1"/>
    <col min="6" max="6" width="35.44140625" style="2337" customWidth="1"/>
    <col min="7" max="7" width="31" style="2337" customWidth="1"/>
    <col min="8" max="8" width="37.44140625" style="2337" hidden="1" customWidth="1"/>
    <col min="9" max="16384" width="22.6640625" style="2337"/>
  </cols>
  <sheetData>
    <row r="1" spans="1:8" ht="24" customHeight="1">
      <c r="A1" s="2336"/>
      <c r="B1" s="2336"/>
      <c r="C1" s="2336"/>
      <c r="D1" s="2336"/>
      <c r="E1" s="2336"/>
      <c r="F1" s="2336"/>
      <c r="G1" s="2336"/>
      <c r="H1" s="2336"/>
    </row>
    <row r="2" spans="1:8" ht="24" customHeight="1">
      <c r="A2" s="2338" t="s">
        <v>2139</v>
      </c>
      <c r="B2" s="2339">
        <f ca="1">TODAY()</f>
        <v>45509</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f ca="1">IF(C4&lt;B2,"已过期",1119970066)</f>
        <v>1119970066</v>
      </c>
      <c r="C4" s="2345">
        <v>45937</v>
      </c>
      <c r="D4" s="2346" t="str">
        <f ca="1">A4&amp;"（注册号："&amp;B4&amp;"）"</f>
        <v>梁津（注册号：1119970066）</v>
      </c>
      <c r="E4" s="2347" t="s">
        <v>2148</v>
      </c>
      <c r="F4" s="1304">
        <f ca="1">IF(G4&lt;B2,"已过期",96010014)</f>
        <v>96010014</v>
      </c>
      <c r="G4" s="2348">
        <v>47118</v>
      </c>
      <c r="H4" s="2349" t="str">
        <f ca="1">E4&amp;"（注册号："&amp;F4&amp;"）"</f>
        <v>梁津（注册号：96010014）</v>
      </c>
    </row>
    <row r="5" spans="1:8" ht="24" customHeight="1">
      <c r="A5" s="1304" t="s">
        <v>2149</v>
      </c>
      <c r="B5" s="1304">
        <f ca="1">IF(C5&lt;B2,"已过期",1119970111)</f>
        <v>1119970111</v>
      </c>
      <c r="C5" s="2345">
        <v>45937</v>
      </c>
      <c r="D5" s="2346" t="str">
        <f t="shared" ref="D5:D15" ca="1" si="0">A5&amp;"（注册号："&amp;B5&amp;"）"</f>
        <v>叶凌（注册号：1119970111）</v>
      </c>
      <c r="E5" s="2347" t="s">
        <v>2149</v>
      </c>
      <c r="F5" s="1304">
        <f ca="1">IF(G5&lt;B2,"已过期",94010078)</f>
        <v>94010078</v>
      </c>
      <c r="G5" s="2348">
        <v>46387</v>
      </c>
      <c r="H5" s="2349" t="str">
        <f t="shared" ref="H5:H16" ca="1" si="1">E5&amp;"（注册号："&amp;F5&amp;"）"</f>
        <v>叶凌（注册号：94010078）</v>
      </c>
    </row>
    <row r="6" spans="1:8" ht="24" customHeight="1">
      <c r="A6" s="1304" t="s">
        <v>2150</v>
      </c>
      <c r="B6" s="1304" t="str">
        <f ca="1">IF(C6&lt;B2,"已过期",1120050019)</f>
        <v>已过期</v>
      </c>
      <c r="C6" s="2345">
        <v>45410</v>
      </c>
      <c r="D6" s="2346" t="str">
        <f t="shared" ca="1" si="0"/>
        <v>王鹏（注册号：已过期）</v>
      </c>
      <c r="E6" s="2347" t="s">
        <v>2150</v>
      </c>
      <c r="F6" s="1304">
        <f ca="1">IF(G6&lt;B2,"已过期",2002110030)</f>
        <v>2002110030</v>
      </c>
      <c r="G6" s="2348">
        <v>46387</v>
      </c>
      <c r="H6" s="2349" t="str">
        <f t="shared" ca="1" si="1"/>
        <v>王鹏（注册号：2002110030）</v>
      </c>
    </row>
    <row r="7" spans="1:8" ht="24" customHeight="1">
      <c r="A7" s="1304" t="s">
        <v>2151</v>
      </c>
      <c r="B7" s="1304">
        <f ca="1">IF(C7&lt;B2,"已过期",1120000080)</f>
        <v>1120000080</v>
      </c>
      <c r="C7" s="2345">
        <v>45937</v>
      </c>
      <c r="D7" s="2346" t="str">
        <f t="shared" ca="1" si="0"/>
        <v>欧红伟（注册号：1120000080）</v>
      </c>
      <c r="E7" s="2347" t="s">
        <v>2151</v>
      </c>
      <c r="F7" s="1304">
        <f ca="1">IF(G7&lt;B2,"已过期",2000110082)</f>
        <v>2000110082</v>
      </c>
      <c r="G7" s="2348">
        <v>46387</v>
      </c>
      <c r="H7" s="2349" t="str">
        <f t="shared" ca="1" si="1"/>
        <v>欧红伟（注册号：2000110082）</v>
      </c>
    </row>
    <row r="8" spans="1:8" ht="24" customHeight="1">
      <c r="A8" s="1304" t="s">
        <v>2152</v>
      </c>
      <c r="B8" s="1304">
        <f ca="1">IF(C8&lt;B2,"已过期",1419970001)</f>
        <v>1419970001</v>
      </c>
      <c r="C8" s="2345">
        <v>45937</v>
      </c>
      <c r="D8" s="2346" t="str">
        <f t="shared" ca="1" si="0"/>
        <v>吴薇（注册号：1419970001）</v>
      </c>
      <c r="E8" s="2347" t="s">
        <v>2152</v>
      </c>
      <c r="F8" s="1304">
        <f ca="1">IF(G8&lt;B2,"已过期",2002110125)</f>
        <v>2002110125</v>
      </c>
      <c r="G8" s="2348">
        <v>47118</v>
      </c>
      <c r="H8" s="2349" t="str">
        <f t="shared" ca="1" si="1"/>
        <v>吴薇（注册号：2002110125）</v>
      </c>
    </row>
    <row r="9" spans="1:8" ht="24" customHeight="1">
      <c r="A9" s="1304" t="s">
        <v>2153</v>
      </c>
      <c r="B9" s="1304">
        <f ca="1">IF(C9&lt;B2,"已过期",1120060040)</f>
        <v>1120060040</v>
      </c>
      <c r="C9" s="2350">
        <v>45592</v>
      </c>
      <c r="D9" s="2346" t="str">
        <f t="shared" ca="1" si="0"/>
        <v>陈颖（注册号：1120060040）</v>
      </c>
      <c r="E9" s="2347" t="s">
        <v>2153</v>
      </c>
      <c r="F9" s="1304">
        <f ca="1">IF(G9&lt;B2,"已过期",2004110096)</f>
        <v>2004110096</v>
      </c>
      <c r="G9" s="2348">
        <v>47118</v>
      </c>
      <c r="H9" s="2349" t="str">
        <f t="shared" ca="1" si="1"/>
        <v>陈颖（注册号：2004110096）</v>
      </c>
    </row>
    <row r="10" spans="1:8" ht="24" customHeight="1">
      <c r="A10" s="1304" t="s">
        <v>2154</v>
      </c>
      <c r="B10" s="1304">
        <f ca="1">IF(C10&lt;B2,"已过期",1120100036)</f>
        <v>1120100036</v>
      </c>
      <c r="C10" s="2350">
        <v>45752</v>
      </c>
      <c r="D10" s="2346" t="str">
        <f t="shared" ca="1" si="0"/>
        <v>崔锴（注册号：1120100036）</v>
      </c>
      <c r="E10" s="2347" t="s">
        <v>2154</v>
      </c>
      <c r="F10" s="1304">
        <f ca="1">IF(G10&lt;B2,"已过期",2010110070)</f>
        <v>2010110070</v>
      </c>
      <c r="G10" s="2348">
        <v>47907</v>
      </c>
      <c r="H10" s="2349" t="str">
        <f t="shared" ca="1" si="1"/>
        <v>崔锴（注册号：2010110070）</v>
      </c>
    </row>
    <row r="11" spans="1:8" ht="24" customHeight="1">
      <c r="A11" s="1304" t="s">
        <v>2155</v>
      </c>
      <c r="B11" s="1304">
        <f ca="1">IF(C11&lt;B2,"已过期",1120070131)</f>
        <v>1120070131</v>
      </c>
      <c r="C11" s="2345">
        <v>45937</v>
      </c>
      <c r="D11" s="2346" t="str">
        <f t="shared" ca="1" si="0"/>
        <v>郑燚（注册号：1120070131）</v>
      </c>
      <c r="E11" s="2347" t="s">
        <v>2155</v>
      </c>
      <c r="F11" s="1304">
        <f ca="1">IF(G11&lt;B2,"已过期",2014110011)</f>
        <v>2014110011</v>
      </c>
      <c r="G11" s="2348">
        <v>49302</v>
      </c>
      <c r="H11" s="2349" t="str">
        <f t="shared" ca="1" si="1"/>
        <v>郑燚（注册号：2014110011）</v>
      </c>
    </row>
    <row r="12" spans="1:8" ht="24" customHeight="1">
      <c r="A12" s="1304" t="s">
        <v>2156</v>
      </c>
      <c r="B12" s="1304">
        <f ca="1">IF(C12&lt;B2,"已过期",1120040230)</f>
        <v>1120040230</v>
      </c>
      <c r="C12" s="2350">
        <v>45937</v>
      </c>
      <c r="D12" s="2346" t="str">
        <f t="shared" ca="1" si="0"/>
        <v>苏海（注册号：1120040230）</v>
      </c>
      <c r="E12" s="2347" t="s">
        <v>2156</v>
      </c>
      <c r="F12" s="1304">
        <f ca="1">IF(G12&lt;B2,"已过期",98030020)</f>
        <v>98030020</v>
      </c>
      <c r="G12" s="2348">
        <v>47118</v>
      </c>
      <c r="H12" s="2349" t="str">
        <f t="shared" ca="1" si="1"/>
        <v>苏海（注册号：98030020）</v>
      </c>
    </row>
    <row r="13" spans="1:8" ht="24" customHeight="1">
      <c r="A13" s="1304" t="s">
        <v>2157</v>
      </c>
      <c r="B13" s="1304" t="str">
        <f ca="1">IF(C13&lt;B2,"已过期",1120020033)</f>
        <v>已过期</v>
      </c>
      <c r="C13" s="2345">
        <v>45375</v>
      </c>
      <c r="D13" s="2346" t="str">
        <f t="shared" ca="1" si="0"/>
        <v>刘敬东（注册号：已过期）</v>
      </c>
      <c r="E13" s="2347" t="s">
        <v>2157</v>
      </c>
      <c r="F13" s="1304">
        <f ca="1">IF(G13&lt;B2,"已过期",2000110137)</f>
        <v>2000110137</v>
      </c>
      <c r="G13" s="2348">
        <v>46387</v>
      </c>
      <c r="H13" s="2349" t="str">
        <f t="shared" ca="1" si="1"/>
        <v>刘敬东（注册号：2000110137）</v>
      </c>
    </row>
    <row r="14" spans="1:8" ht="24" customHeight="1">
      <c r="A14" s="1304" t="s">
        <v>2158</v>
      </c>
      <c r="B14" s="1304" t="str">
        <f ca="1">IF(C14&lt;B2,"已过期",1119980106)</f>
        <v>已过期</v>
      </c>
      <c r="C14" s="2350">
        <v>44969</v>
      </c>
      <c r="D14" s="2346" t="str">
        <f t="shared" ca="1" si="0"/>
        <v>刘俊财（注册号：已过期）</v>
      </c>
      <c r="E14" s="2347" t="s">
        <v>2158</v>
      </c>
      <c r="F14" s="1304">
        <f ca="1">IF(G14&lt;B2,"已过期",96010063)</f>
        <v>96010063</v>
      </c>
      <c r="G14" s="2348">
        <v>47483</v>
      </c>
      <c r="H14" s="2349" t="str">
        <f t="shared" ca="1" si="1"/>
        <v>刘俊财（注册号：96010063）</v>
      </c>
    </row>
    <row r="15" spans="1:8" ht="24" customHeight="1">
      <c r="A15" s="1304" t="s">
        <v>2441</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627" t="s">
        <v>2160</v>
      </c>
      <c r="B17" s="3627"/>
      <c r="C17" s="3627"/>
      <c r="D17" s="3627"/>
      <c r="E17" s="3627"/>
      <c r="F17" s="3627"/>
      <c r="G17" s="3627"/>
      <c r="H17" s="3627"/>
    </row>
    <row r="18" spans="1:8" ht="24" customHeight="1">
      <c r="A18" s="3628" t="s">
        <v>2161</v>
      </c>
      <c r="B18" s="3628"/>
      <c r="C18" s="3628"/>
      <c r="D18" s="2343"/>
      <c r="E18" s="3629" t="s">
        <v>2162</v>
      </c>
      <c r="F18" s="3628"/>
      <c r="G18" s="3628"/>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2442</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71" priority="53">
      <formula>AND($C4-TODAY()&lt;30,TODAY()&lt;$C4)</formula>
    </cfRule>
  </conditionalFormatting>
  <conditionalFormatting sqref="C20:D20">
    <cfRule type="expression" dxfId="270" priority="52">
      <formula>AND($C20-TODAY()&lt;30,TODAY()&lt;$C20)</formula>
    </cfRule>
  </conditionalFormatting>
  <conditionalFormatting sqref="C20:D20 G4 C4:D5 C13:D13">
    <cfRule type="cellIs" dxfId="269" priority="54" stopIfTrue="1" operator="lessThan">
      <formula>$B$2</formula>
    </cfRule>
  </conditionalFormatting>
  <conditionalFormatting sqref="G5 G7 G9">
    <cfRule type="cellIs" dxfId="268" priority="51" stopIfTrue="1" operator="lessThan">
      <formula>$B$2</formula>
    </cfRule>
  </conditionalFormatting>
  <conditionalFormatting sqref="C6:D6 D14 D16">
    <cfRule type="expression" dxfId="267" priority="49">
      <formula>AND($C6-TODAY()&lt;30,TODAY()&lt;$C6)</formula>
    </cfRule>
  </conditionalFormatting>
  <conditionalFormatting sqref="G6 G8 G10 C6:D6 D7:D12 D14 D16">
    <cfRule type="cellIs" dxfId="266" priority="50" stopIfTrue="1" operator="lessThan">
      <formula>$B$2</formula>
    </cfRule>
  </conditionalFormatting>
  <conditionalFormatting sqref="D12">
    <cfRule type="expression" dxfId="265" priority="47">
      <formula>AND($C12-TODAY()&lt;30,TODAY()&lt;$C12)</formula>
    </cfRule>
  </conditionalFormatting>
  <conditionalFormatting sqref="D12">
    <cfRule type="cellIs" dxfId="264" priority="48" stopIfTrue="1" operator="lessThan">
      <formula>$B$2</formula>
    </cfRule>
  </conditionalFormatting>
  <conditionalFormatting sqref="C13:D13">
    <cfRule type="expression" dxfId="263" priority="45">
      <formula>AND($C13-TODAY()&lt;30,TODAY()&lt;$C13)</formula>
    </cfRule>
  </conditionalFormatting>
  <conditionalFormatting sqref="C13:D13">
    <cfRule type="cellIs" dxfId="262" priority="46" stopIfTrue="1" operator="lessThan">
      <formula>$B$2</formula>
    </cfRule>
  </conditionalFormatting>
  <conditionalFormatting sqref="D14">
    <cfRule type="expression" dxfId="261" priority="43">
      <formula>AND($C14-TODAY()&lt;30,TODAY()&lt;$C14)</formula>
    </cfRule>
  </conditionalFormatting>
  <conditionalFormatting sqref="D14">
    <cfRule type="cellIs" dxfId="260" priority="44" stopIfTrue="1" operator="lessThan">
      <formula>$B$2</formula>
    </cfRule>
  </conditionalFormatting>
  <conditionalFormatting sqref="G13">
    <cfRule type="cellIs" dxfId="259" priority="42" stopIfTrue="1" operator="lessThan">
      <formula>$B$2</formula>
    </cfRule>
  </conditionalFormatting>
  <conditionalFormatting sqref="B4:B11 F4:F11 B13 F13:F14">
    <cfRule type="cellIs" dxfId="258" priority="41" stopIfTrue="1" operator="equal">
      <formula>"已过期"</formula>
    </cfRule>
  </conditionalFormatting>
  <conditionalFormatting sqref="C7">
    <cfRule type="cellIs" dxfId="257" priority="38" stopIfTrue="1" operator="lessThan">
      <formula>$B$2</formula>
    </cfRule>
  </conditionalFormatting>
  <conditionalFormatting sqref="C7">
    <cfRule type="expression" dxfId="256" priority="37">
      <formula>AND($C7-TODAY()&lt;30,TODAY()&lt;$C7)</formula>
    </cfRule>
  </conditionalFormatting>
  <conditionalFormatting sqref="C8">
    <cfRule type="expression" dxfId="255" priority="35">
      <formula>AND($C8-TODAY()&lt;30,TODAY()&lt;$C8)</formula>
    </cfRule>
  </conditionalFormatting>
  <conditionalFormatting sqref="C8">
    <cfRule type="cellIs" dxfId="254" priority="36" stopIfTrue="1" operator="lessThan">
      <formula>$B$2</formula>
    </cfRule>
  </conditionalFormatting>
  <conditionalFormatting sqref="C11">
    <cfRule type="expression" dxfId="253" priority="33">
      <formula>AND($C11-TODAY()&lt;30,TODAY()&lt;$C11)</formula>
    </cfRule>
  </conditionalFormatting>
  <conditionalFormatting sqref="C11">
    <cfRule type="cellIs" dxfId="252" priority="34" stopIfTrue="1" operator="lessThan">
      <formula>$B$2</formula>
    </cfRule>
  </conditionalFormatting>
  <conditionalFormatting sqref="A16:C16">
    <cfRule type="cellIs" dxfId="251" priority="32" stopIfTrue="1" operator="equal">
      <formula>"已过期"</formula>
    </cfRule>
  </conditionalFormatting>
  <conditionalFormatting sqref="E16:G16">
    <cfRule type="cellIs" dxfId="250" priority="31" stopIfTrue="1" operator="equal">
      <formula>"已过期"</formula>
    </cfRule>
  </conditionalFormatting>
  <conditionalFormatting sqref="G11">
    <cfRule type="cellIs" dxfId="249" priority="30" stopIfTrue="1" operator="lessThan">
      <formula>$B$2</formula>
    </cfRule>
  </conditionalFormatting>
  <conditionalFormatting sqref="F12">
    <cfRule type="cellIs" dxfId="248" priority="29" stopIfTrue="1" operator="equal">
      <formula>"已过期"</formula>
    </cfRule>
  </conditionalFormatting>
  <conditionalFormatting sqref="G12">
    <cfRule type="cellIs" dxfId="247" priority="28" stopIfTrue="1" operator="lessThan">
      <formula>$B$2</formula>
    </cfRule>
  </conditionalFormatting>
  <conditionalFormatting sqref="C12">
    <cfRule type="cellIs" dxfId="246" priority="27" stopIfTrue="1" operator="lessThan">
      <formula>$B$2</formula>
    </cfRule>
  </conditionalFormatting>
  <conditionalFormatting sqref="C12">
    <cfRule type="expression" dxfId="245" priority="25">
      <formula>AND($C12-TODAY()&lt;30,TODAY()&lt;$C12)</formula>
    </cfRule>
  </conditionalFormatting>
  <conditionalFormatting sqref="C12">
    <cfRule type="cellIs" dxfId="244" priority="26" stopIfTrue="1" operator="lessThan">
      <formula>$B$2</formula>
    </cfRule>
  </conditionalFormatting>
  <conditionalFormatting sqref="B12">
    <cfRule type="cellIs" dxfId="243" priority="24" stopIfTrue="1" operator="equal">
      <formula>"已过期"</formula>
    </cfRule>
  </conditionalFormatting>
  <conditionalFormatting sqref="C9:C10">
    <cfRule type="expression" dxfId="242" priority="22">
      <formula>AND($C9-TODAY()&lt;30,TODAY()&lt;$C9)</formula>
    </cfRule>
  </conditionalFormatting>
  <conditionalFormatting sqref="C9:C10">
    <cfRule type="cellIs" dxfId="241" priority="23" stopIfTrue="1" operator="lessThan">
      <formula>$B$2</formula>
    </cfRule>
  </conditionalFormatting>
  <conditionalFormatting sqref="G21">
    <cfRule type="expression" dxfId="240" priority="20" stopIfTrue="1">
      <formula>AND(#REF!-TODAY()&lt;30,TODAY()&lt;#REF!)</formula>
    </cfRule>
  </conditionalFormatting>
  <conditionalFormatting sqref="G21">
    <cfRule type="cellIs" dxfId="239" priority="21" stopIfTrue="1" operator="lessThan">
      <formula>$B$2</formula>
    </cfRule>
  </conditionalFormatting>
  <conditionalFormatting sqref="C14">
    <cfRule type="expression" dxfId="238" priority="18">
      <formula>AND($C14-TODAY()&lt;30,TODAY()&lt;$C14)</formula>
    </cfRule>
  </conditionalFormatting>
  <conditionalFormatting sqref="C14">
    <cfRule type="cellIs" dxfId="237" priority="19" stopIfTrue="1" operator="lessThan">
      <formula>$B$2</formula>
    </cfRule>
  </conditionalFormatting>
  <conditionalFormatting sqref="C14">
    <cfRule type="expression" dxfId="236" priority="16">
      <formula>AND($C14-TODAY()&lt;30,TODAY()&lt;$C14)</formula>
    </cfRule>
  </conditionalFormatting>
  <conditionalFormatting sqref="C14">
    <cfRule type="cellIs" dxfId="235" priority="17" stopIfTrue="1" operator="lessThan">
      <formula>$B$2</formula>
    </cfRule>
  </conditionalFormatting>
  <conditionalFormatting sqref="B14">
    <cfRule type="cellIs" dxfId="234" priority="15" stopIfTrue="1" operator="equal">
      <formula>"已过期"</formula>
    </cfRule>
  </conditionalFormatting>
  <conditionalFormatting sqref="G14">
    <cfRule type="cellIs" dxfId="233" priority="14" stopIfTrue="1" operator="lessThan">
      <formula>$B$2</formula>
    </cfRule>
  </conditionalFormatting>
  <conditionalFormatting sqref="D15">
    <cfRule type="expression" dxfId="232" priority="12">
      <formula>AND($C15-TODAY()&lt;30,TODAY()&lt;$C15)</formula>
    </cfRule>
  </conditionalFormatting>
  <conditionalFormatting sqref="D15">
    <cfRule type="cellIs" dxfId="231" priority="13" stopIfTrue="1" operator="lessThan">
      <formula>$B$2</formula>
    </cfRule>
  </conditionalFormatting>
  <conditionalFormatting sqref="D15">
    <cfRule type="expression" dxfId="230" priority="10">
      <formula>AND($C15-TODAY()&lt;30,TODAY()&lt;$C15)</formula>
    </cfRule>
  </conditionalFormatting>
  <conditionalFormatting sqref="D15">
    <cfRule type="cellIs" dxfId="229" priority="11" stopIfTrue="1" operator="lessThan">
      <formula>$B$2</formula>
    </cfRule>
  </conditionalFormatting>
  <conditionalFormatting sqref="F15">
    <cfRule type="cellIs" dxfId="228" priority="9" stopIfTrue="1" operator="equal">
      <formula>"已过期"</formula>
    </cfRule>
  </conditionalFormatting>
  <conditionalFormatting sqref="C15">
    <cfRule type="expression" dxfId="227" priority="7">
      <formula>AND($C15-TODAY()&lt;30,TODAY()&lt;$C15)</formula>
    </cfRule>
  </conditionalFormatting>
  <conditionalFormatting sqref="C15">
    <cfRule type="cellIs" dxfId="226" priority="8" stopIfTrue="1" operator="lessThan">
      <formula>$B$2</formula>
    </cfRule>
  </conditionalFormatting>
  <conditionalFormatting sqref="C15">
    <cfRule type="expression" dxfId="225" priority="5">
      <formula>AND($C15-TODAY()&lt;30,TODAY()&lt;$C15)</formula>
    </cfRule>
  </conditionalFormatting>
  <conditionalFormatting sqref="C15">
    <cfRule type="cellIs" dxfId="224" priority="6" stopIfTrue="1" operator="lessThan">
      <formula>$B$2</formula>
    </cfRule>
  </conditionalFormatting>
  <conditionalFormatting sqref="B15">
    <cfRule type="cellIs" dxfId="223" priority="4" stopIfTrue="1" operator="equal">
      <formula>"已过期"</formula>
    </cfRule>
  </conditionalFormatting>
  <conditionalFormatting sqref="G15">
    <cfRule type="cellIs" dxfId="222" priority="3" stopIfTrue="1" operator="lessThan">
      <formula>$B$2</formula>
    </cfRule>
  </conditionalFormatting>
  <conditionalFormatting sqref="G20">
    <cfRule type="expression" dxfId="221" priority="1" stopIfTrue="1">
      <formula>AND(#REF!-TODAY()&lt;30,TODAY()&lt;#REF!)</formula>
    </cfRule>
  </conditionalFormatting>
  <conditionalFormatting sqref="G20">
    <cfRule type="cellIs" dxfId="22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4.4"/>
  <cols>
    <col min="1" max="1" width="13.44140625" style="1556" customWidth="1"/>
    <col min="2" max="2" width="23.21875" style="1507" customWidth="1"/>
    <col min="3" max="3" width="13" style="1551" customWidth="1"/>
    <col min="4" max="4" width="5.77734375" style="1548" customWidth="1"/>
    <col min="5" max="5" width="7.109375" style="1548" customWidth="1"/>
    <col min="6" max="6" width="10.6640625" style="1548" customWidth="1"/>
    <col min="7" max="7" width="7.44140625" style="1548" customWidth="1"/>
    <col min="8" max="8" width="11.88671875" style="1551" customWidth="1"/>
    <col min="9" max="9" width="11.6640625" style="1551" customWidth="1"/>
    <col min="10" max="10" width="9" style="1551" customWidth="1"/>
    <col min="11" max="19" width="9" style="1548" customWidth="1"/>
    <col min="20" max="23" width="9" style="1551" customWidth="1"/>
    <col min="24" max="24" width="21.109375" style="1507" customWidth="1"/>
    <col min="25" max="16384" width="9" style="1507"/>
  </cols>
  <sheetData>
    <row r="1" spans="1:23" s="1545" customFormat="1" ht="43.2">
      <c r="A1" s="1539" t="s">
        <v>44</v>
      </c>
      <c r="B1" s="1540" t="s">
        <v>977</v>
      </c>
      <c r="C1" s="1541" t="s">
        <v>314</v>
      </c>
      <c r="D1" s="1543" t="s">
        <v>3355</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3341</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3342</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3343</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3344</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3345</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3346</v>
      </c>
    </row>
    <row r="8" spans="1:23">
      <c r="A8" s="1546" t="s">
        <v>1026</v>
      </c>
      <c r="B8" s="1546" t="s">
        <v>1027</v>
      </c>
      <c r="C8" s="1547" t="s">
        <v>319</v>
      </c>
      <c r="F8" s="1548" t="s">
        <v>1028</v>
      </c>
      <c r="H8" s="1548" t="s">
        <v>2581</v>
      </c>
      <c r="I8" s="1548" t="s">
        <v>3347</v>
      </c>
    </row>
    <row r="9" spans="1:23">
      <c r="A9" s="1546" t="s">
        <v>1029</v>
      </c>
      <c r="B9" s="1546" t="s">
        <v>1030</v>
      </c>
      <c r="C9" s="1547" t="s">
        <v>320</v>
      </c>
      <c r="F9" s="1548" t="s">
        <v>1031</v>
      </c>
      <c r="H9" s="1548"/>
      <c r="I9" s="1551" t="s">
        <v>3348</v>
      </c>
    </row>
    <row r="10" spans="1:23">
      <c r="A10" s="1546" t="s">
        <v>1032</v>
      </c>
      <c r="B10" s="1546" t="s">
        <v>1033</v>
      </c>
      <c r="C10" s="1547" t="s">
        <v>321</v>
      </c>
      <c r="F10" s="1548" t="s">
        <v>2582</v>
      </c>
      <c r="I10" s="1551" t="s">
        <v>3349</v>
      </c>
    </row>
    <row r="11" spans="1:23">
      <c r="A11" s="1546" t="s">
        <v>1034</v>
      </c>
      <c r="B11" s="1546" t="s">
        <v>1035</v>
      </c>
      <c r="C11" s="1547" t="s">
        <v>322</v>
      </c>
      <c r="F11" s="1548" t="s">
        <v>13</v>
      </c>
      <c r="I11" s="1551" t="s">
        <v>3350</v>
      </c>
    </row>
    <row r="12" spans="1:23">
      <c r="A12" s="1546" t="s">
        <v>1036</v>
      </c>
      <c r="B12" s="1546" t="s">
        <v>1037</v>
      </c>
      <c r="C12" s="1547" t="s">
        <v>323</v>
      </c>
      <c r="I12" s="1551" t="s">
        <v>3351</v>
      </c>
    </row>
    <row r="13" spans="1:23">
      <c r="A13" s="1546" t="s">
        <v>1038</v>
      </c>
      <c r="B13" s="1546" t="s">
        <v>1039</v>
      </c>
      <c r="C13" s="1547" t="s">
        <v>324</v>
      </c>
      <c r="I13" s="1551" t="s">
        <v>3352</v>
      </c>
    </row>
    <row r="14" spans="1:23">
      <c r="A14" s="1546" t="s">
        <v>1040</v>
      </c>
      <c r="B14" s="1546" t="s">
        <v>1041</v>
      </c>
      <c r="C14" s="1548" t="s">
        <v>13</v>
      </c>
      <c r="I14" s="1551" t="s">
        <v>3353</v>
      </c>
    </row>
    <row r="15" spans="1:23">
      <c r="A15" s="1546" t="s">
        <v>1042</v>
      </c>
      <c r="B15" s="1546" t="s">
        <v>1043</v>
      </c>
      <c r="C15" s="1547"/>
      <c r="I15" s="1551" t="s">
        <v>3354</v>
      </c>
    </row>
    <row r="16" spans="1:23">
      <c r="A16" s="1546" t="s">
        <v>1044</v>
      </c>
      <c r="B16" s="1546" t="s">
        <v>312</v>
      </c>
      <c r="C16" s="1547"/>
    </row>
    <row r="17" spans="1:3">
      <c r="A17" s="1546" t="s">
        <v>1045</v>
      </c>
      <c r="B17" s="1546" t="s">
        <v>2293</v>
      </c>
      <c r="C17" s="1547"/>
    </row>
    <row r="18" spans="1:3">
      <c r="A18" s="1546" t="s">
        <v>1046</v>
      </c>
      <c r="B18" s="1546" t="s">
        <v>2437</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630"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7月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630"/>
      <c r="B54" s="1554" t="s">
        <v>385</v>
      </c>
      <c r="C54" s="1551" t="s">
        <v>583</v>
      </c>
    </row>
    <row r="55" spans="1:4">
      <c r="A55" s="3630"/>
      <c r="B55" s="1554" t="s">
        <v>386</v>
      </c>
      <c r="C55" s="1551" t="s">
        <v>584</v>
      </c>
    </row>
    <row r="56" spans="1:4">
      <c r="A56" s="3630"/>
      <c r="B56" s="1554" t="s">
        <v>387</v>
      </c>
      <c r="C56" s="1551" t="s">
        <v>588</v>
      </c>
    </row>
    <row r="57" spans="1:4">
      <c r="A57" s="3630"/>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P26" sqref="P26"/>
    </sheetView>
  </sheetViews>
  <sheetFormatPr defaultColWidth="15.21875" defaultRowHeight="14.4"/>
  <cols>
    <col min="1" max="7" width="15.21875" style="3016"/>
    <col min="8" max="8" width="5.44140625" style="3016" customWidth="1"/>
    <col min="9" max="13" width="9.44140625" style="3058" customWidth="1"/>
    <col min="14" max="18" width="9.44140625" style="3016" customWidth="1"/>
    <col min="19" max="16384" width="15.21875" style="3016"/>
  </cols>
  <sheetData>
    <row r="1" spans="1:18">
      <c r="A1" s="3013" t="s">
        <v>2504</v>
      </c>
      <c r="B1" s="3014"/>
      <c r="C1" s="3014"/>
      <c r="D1" s="3014"/>
      <c r="E1" s="3014"/>
      <c r="F1" s="3015"/>
      <c r="I1" s="3437" t="s">
        <v>2597</v>
      </c>
      <c r="J1" s="3226"/>
      <c r="K1" s="3226"/>
      <c r="L1" s="3226"/>
      <c r="M1" s="3226"/>
      <c r="N1" s="3438"/>
      <c r="O1" s="3438"/>
      <c r="P1" s="3438"/>
      <c r="Q1" s="3438"/>
      <c r="R1" s="3438"/>
    </row>
    <row r="2" spans="1:18">
      <c r="A2" s="3017"/>
      <c r="B2" s="3018"/>
      <c r="C2" s="3018"/>
      <c r="D2" s="3018"/>
      <c r="E2" s="3018"/>
      <c r="F2" s="3019"/>
      <c r="I2" s="3631" t="s">
        <v>2584</v>
      </c>
      <c r="J2" s="3631"/>
      <c r="K2" s="3631"/>
      <c r="L2" s="3631"/>
      <c r="M2" s="3631"/>
      <c r="N2" s="3631"/>
      <c r="O2" s="3631"/>
      <c r="P2" s="3631"/>
      <c r="Q2" s="3631"/>
      <c r="R2" s="3631"/>
    </row>
    <row r="3" spans="1:18">
      <c r="A3" s="3020" t="s">
        <v>2505</v>
      </c>
      <c r="B3" s="3021">
        <f>项目基本情况!D3</f>
        <v>45478</v>
      </c>
      <c r="C3" s="3023"/>
      <c r="D3" s="3023"/>
      <c r="E3" s="3023"/>
      <c r="F3" s="3019"/>
      <c r="I3" s="3439"/>
      <c r="J3" s="3439" t="s">
        <v>2588</v>
      </c>
      <c r="K3" s="3439" t="s">
        <v>2589</v>
      </c>
      <c r="L3" s="3439" t="s">
        <v>2590</v>
      </c>
      <c r="M3" s="3439" t="s">
        <v>2591</v>
      </c>
      <c r="N3" s="3440" t="s">
        <v>2592</v>
      </c>
      <c r="O3" s="3440" t="s">
        <v>2593</v>
      </c>
      <c r="P3" s="3440" t="s">
        <v>2594</v>
      </c>
      <c r="Q3" s="3440" t="s">
        <v>2595</v>
      </c>
      <c r="R3" s="3440" t="s">
        <v>2596</v>
      </c>
    </row>
    <row r="4" spans="1:18">
      <c r="A4" s="3020" t="s">
        <v>2506</v>
      </c>
      <c r="B4" s="3023" t="s">
        <v>2507</v>
      </c>
      <c r="C4" s="3023" t="s">
        <v>2508</v>
      </c>
      <c r="D4" s="3023" t="s">
        <v>2509</v>
      </c>
      <c r="E4" s="3023" t="s">
        <v>2510</v>
      </c>
      <c r="F4" s="3019"/>
      <c r="I4" s="3439" t="s">
        <v>2585</v>
      </c>
      <c r="J4" s="3439">
        <v>80</v>
      </c>
      <c r="K4" s="3439">
        <v>70</v>
      </c>
      <c r="L4" s="3439">
        <v>20</v>
      </c>
      <c r="M4" s="3439">
        <v>30</v>
      </c>
      <c r="N4" s="3023">
        <v>45</v>
      </c>
      <c r="O4" s="3023">
        <v>60</v>
      </c>
      <c r="P4" s="3023">
        <v>50</v>
      </c>
      <c r="Q4" s="3023">
        <v>20</v>
      </c>
      <c r="R4" s="3023">
        <v>375</v>
      </c>
    </row>
    <row r="5" spans="1:18">
      <c r="A5" s="3024">
        <v>40</v>
      </c>
      <c r="B5" s="3021">
        <v>46375</v>
      </c>
      <c r="C5" s="3023">
        <f>ROUNDDOWN(MIN((B5-B3)/365,A5),2)</f>
        <v>2.4500000000000002</v>
      </c>
      <c r="D5" s="3025">
        <f>IF(ISERROR(ROUND(POWER(1+E5,A5-C5)*(POWER(1+E5,C5)-1)/(POWER(1+E5,A5)-1),3)),0,ROUND(POWER(1+E5,A5-C5)*(POWER(1+E5,C5)-1)/(POWER(1+E5,A5)-1),4))</f>
        <v>0.1157</v>
      </c>
      <c r="E5" s="3026">
        <v>0.04</v>
      </c>
      <c r="F5" s="3019"/>
      <c r="I5" s="3439" t="s">
        <v>2586</v>
      </c>
      <c r="J5" s="3439">
        <v>70</v>
      </c>
      <c r="K5" s="3439">
        <v>60</v>
      </c>
      <c r="L5" s="3439">
        <v>15</v>
      </c>
      <c r="M5" s="3439">
        <v>25</v>
      </c>
      <c r="N5" s="3023">
        <v>40</v>
      </c>
      <c r="O5" s="3023">
        <v>50</v>
      </c>
      <c r="P5" s="3023">
        <v>40</v>
      </c>
      <c r="Q5" s="3023">
        <v>15</v>
      </c>
      <c r="R5" s="3023">
        <v>315</v>
      </c>
    </row>
    <row r="6" spans="1:18">
      <c r="A6" s="3024">
        <v>50</v>
      </c>
      <c r="B6" s="3021">
        <v>50028</v>
      </c>
      <c r="C6" s="3023">
        <f>ROUNDDOWN(MIN((B6-B3)/365,A6),2)</f>
        <v>12.46</v>
      </c>
      <c r="D6" s="3025">
        <f>IF(ISERROR(ROUND(POWER(1+E6,A6-C6)*(POWER(1+E6,C6)-1)/(POWER(1+E6,A6)-1),3)),0,ROUND(POWER(1+E6,A6-C6)*(POWER(1+E6,C6)-1)/(POWER(1+E6,A6)-1),4))</f>
        <v>0.44990000000000002</v>
      </c>
      <c r="E6" s="3026">
        <v>0.04</v>
      </c>
      <c r="F6" s="3019"/>
      <c r="I6" s="3439" t="s">
        <v>2587</v>
      </c>
      <c r="J6" s="3439">
        <v>60</v>
      </c>
      <c r="K6" s="3439">
        <v>50</v>
      </c>
      <c r="L6" s="3439">
        <v>10</v>
      </c>
      <c r="M6" s="3439">
        <v>20</v>
      </c>
      <c r="N6" s="3023">
        <v>35</v>
      </c>
      <c r="O6" s="3023">
        <v>40</v>
      </c>
      <c r="P6" s="3023">
        <v>30</v>
      </c>
      <c r="Q6" s="3023">
        <v>10</v>
      </c>
      <c r="R6" s="3023">
        <v>255</v>
      </c>
    </row>
    <row r="7" spans="1:18">
      <c r="A7" s="3024">
        <v>70</v>
      </c>
      <c r="B7" s="3021">
        <v>57333</v>
      </c>
      <c r="C7" s="3023">
        <f>ROUNDDOWN(MIN((B7-B3)/365,A7),2)</f>
        <v>32.47</v>
      </c>
      <c r="D7" s="3025">
        <f>IF(ISERROR(ROUND(POWER(1+E7,A7-C7)*(POWER(1+E7,C7)-1)/(POWER(1+E7,A7)-1),3)),0,ROUND(POWER(1+E7,A7-C7)*(POWER(1+E7,C7)-1)/(POWER(1+E7,A7)-1),4))</f>
        <v>0.76959999999999995</v>
      </c>
      <c r="E7" s="3026">
        <v>0.04</v>
      </c>
      <c r="F7" s="3019"/>
    </row>
    <row r="8" spans="1:18">
      <c r="A8" s="3017"/>
      <c r="B8" s="3018"/>
      <c r="C8" s="3018"/>
      <c r="D8" s="3018"/>
      <c r="E8" s="3018"/>
      <c r="F8" s="3019"/>
    </row>
    <row r="9" spans="1:18">
      <c r="A9" s="3020" t="s">
        <v>2511</v>
      </c>
      <c r="B9" s="3023"/>
      <c r="C9" s="3023"/>
      <c r="D9" s="3023"/>
      <c r="E9" s="3023"/>
      <c r="F9" s="3027"/>
    </row>
    <row r="10" spans="1:18">
      <c r="A10" s="3020" t="s">
        <v>2512</v>
      </c>
      <c r="B10" s="3023"/>
      <c r="C10" s="3023"/>
      <c r="D10" s="3023" t="s">
        <v>2510</v>
      </c>
      <c r="E10" s="3023"/>
      <c r="F10" s="3027" t="s">
        <v>2509</v>
      </c>
    </row>
    <row r="11" spans="1:18">
      <c r="A11" s="3020" t="s">
        <v>2513</v>
      </c>
      <c r="B11" s="3028">
        <v>70</v>
      </c>
      <c r="C11" s="3023" t="s">
        <v>2514</v>
      </c>
      <c r="D11" s="3029">
        <v>4.4999999999999998E-2</v>
      </c>
      <c r="E11" s="3023" t="s">
        <v>2515</v>
      </c>
      <c r="F11" s="3030">
        <f>ROUND(1-(1/(POWER(1+D11,B11))),4)</f>
        <v>0.95409999999999995</v>
      </c>
    </row>
    <row r="12" spans="1:18">
      <c r="A12" s="3020" t="s">
        <v>2516</v>
      </c>
      <c r="B12" s="3028">
        <v>40</v>
      </c>
      <c r="C12" s="3023" t="s">
        <v>2517</v>
      </c>
      <c r="D12" s="3029">
        <v>4.4999999999999998E-2</v>
      </c>
      <c r="E12" s="3023" t="s">
        <v>2518</v>
      </c>
      <c r="F12" s="3030">
        <f>ROUND(1-(1/(POWER(1+D12,B12))),4)</f>
        <v>0.82809999999999995</v>
      </c>
    </row>
    <row r="13" spans="1:18">
      <c r="A13" s="3020" t="s">
        <v>2519</v>
      </c>
      <c r="B13" s="3023"/>
      <c r="C13" s="3023"/>
      <c r="D13" s="3018"/>
      <c r="E13" s="3018"/>
      <c r="F13" s="3019"/>
    </row>
    <row r="14" spans="1:18">
      <c r="A14" s="3020" t="s">
        <v>2520</v>
      </c>
      <c r="B14" s="3028">
        <v>5000</v>
      </c>
      <c r="C14" s="3022"/>
      <c r="D14" s="3018"/>
      <c r="E14" s="3018"/>
      <c r="F14" s="3019"/>
    </row>
    <row r="15" spans="1:18">
      <c r="A15" s="3020" t="s">
        <v>2521</v>
      </c>
      <c r="B15" s="3023">
        <f>ROUND(B14*F12/F11,2)</f>
        <v>4339.6899999999996</v>
      </c>
      <c r="C15" s="3023">
        <f>ROUND(F12/F11,4)</f>
        <v>0.8679</v>
      </c>
      <c r="D15" s="3018"/>
      <c r="E15" s="3018"/>
      <c r="F15" s="3019"/>
    </row>
    <row r="16" spans="1:18">
      <c r="A16" s="3020" t="s">
        <v>2522</v>
      </c>
      <c r="B16" s="3023"/>
      <c r="C16" s="3023"/>
      <c r="D16" s="3018"/>
      <c r="E16" s="3018"/>
      <c r="F16" s="3019"/>
    </row>
    <row r="17" spans="1:13">
      <c r="A17" s="3020" t="s">
        <v>2521</v>
      </c>
      <c r="B17" s="3029">
        <v>4810</v>
      </c>
      <c r="C17" s="3022"/>
      <c r="D17" s="3018"/>
      <c r="E17" s="3018"/>
      <c r="F17" s="3019"/>
    </row>
    <row r="18" spans="1:13" ht="15" thickBot="1">
      <c r="A18" s="3031" t="s">
        <v>2520</v>
      </c>
      <c r="B18" s="3032">
        <f>ROUND(B17*F11/F12,2)</f>
        <v>5541.87</v>
      </c>
      <c r="C18" s="3032">
        <f>ROUND(F11/F12,4)</f>
        <v>1.1521999999999999</v>
      </c>
      <c r="D18" s="3033"/>
      <c r="E18" s="3033"/>
      <c r="F18" s="3034"/>
    </row>
    <row r="19" spans="1:13" ht="15" thickBot="1"/>
    <row r="20" spans="1:13" s="3069" customFormat="1" ht="15" thickTop="1">
      <c r="A20" s="3066" t="s">
        <v>2523</v>
      </c>
      <c r="B20" s="3067"/>
      <c r="C20" s="3067"/>
      <c r="D20" s="3067"/>
      <c r="E20" s="3067"/>
      <c r="F20" s="3067"/>
      <c r="G20" s="3068"/>
      <c r="I20" s="3070" t="s">
        <v>2568</v>
      </c>
      <c r="J20" s="3070" t="s">
        <v>2573</v>
      </c>
      <c r="K20" s="3070"/>
      <c r="L20" s="3070"/>
      <c r="M20" s="3070"/>
    </row>
    <row r="21" spans="1:13">
      <c r="A21" s="3035"/>
      <c r="B21" s="3036" t="s">
        <v>2524</v>
      </c>
      <c r="C21" s="3036" t="s">
        <v>2525</v>
      </c>
      <c r="D21" s="3036" t="s">
        <v>2526</v>
      </c>
      <c r="E21" s="3036" t="s">
        <v>2527</v>
      </c>
      <c r="F21" s="3036" t="s">
        <v>2528</v>
      </c>
      <c r="G21" s="3037" t="s">
        <v>2529</v>
      </c>
      <c r="I21" s="3058">
        <v>5</v>
      </c>
      <c r="J21" s="3058">
        <v>54.2</v>
      </c>
    </row>
    <row r="22" spans="1:13">
      <c r="A22" s="3035" t="s">
        <v>2530</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3">
      <c r="A23" s="3035" t="s">
        <v>2531</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2571</v>
      </c>
      <c r="M23" s="3058" t="s">
        <v>2572</v>
      </c>
    </row>
    <row r="24" spans="1:13">
      <c r="A24" s="3035" t="s">
        <v>2532</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2570</v>
      </c>
      <c r="M24" s="3058">
        <v>10</v>
      </c>
    </row>
    <row r="25" spans="1:13">
      <c r="A25" s="3035" t="s">
        <v>2533</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2574</v>
      </c>
      <c r="M25" s="3058">
        <v>8</v>
      </c>
    </row>
    <row r="26" spans="1:13">
      <c r="A26" s="3040"/>
      <c r="B26" s="3041"/>
      <c r="C26" s="3041"/>
      <c r="D26" s="3041"/>
      <c r="E26" s="3041"/>
      <c r="F26" s="3041"/>
      <c r="G26" s="3042"/>
      <c r="I26" s="3058">
        <v>30</v>
      </c>
      <c r="J26" s="3058">
        <v>90.5</v>
      </c>
      <c r="K26" s="3058">
        <f t="shared" si="2"/>
        <v>4.2000000000000028</v>
      </c>
      <c r="L26" s="3058" t="s">
        <v>2575</v>
      </c>
      <c r="M26" s="3058">
        <v>5</v>
      </c>
    </row>
    <row r="27" spans="1:13">
      <c r="A27" s="3040" t="s">
        <v>2534</v>
      </c>
      <c r="B27" s="3041"/>
      <c r="C27" s="3041"/>
      <c r="D27" s="3041"/>
      <c r="E27" s="3041"/>
      <c r="F27" s="3041"/>
      <c r="G27" s="3042"/>
      <c r="I27" s="3058">
        <v>35</v>
      </c>
      <c r="J27" s="3058">
        <v>93.8</v>
      </c>
      <c r="K27" s="3058">
        <f t="shared" si="2"/>
        <v>3.2999999999999972</v>
      </c>
      <c r="L27" s="3058" t="s">
        <v>2576</v>
      </c>
      <c r="M27" s="3058">
        <v>3</v>
      </c>
    </row>
    <row r="28" spans="1:13">
      <c r="A28" s="3040" t="s">
        <v>2535</v>
      </c>
      <c r="B28" s="3041"/>
      <c r="C28" s="3041"/>
      <c r="D28" s="3041"/>
      <c r="E28" s="3041"/>
      <c r="F28" s="3041"/>
      <c r="G28" s="3042"/>
      <c r="I28" s="3058">
        <v>40</v>
      </c>
      <c r="J28" s="3058">
        <v>96.4</v>
      </c>
      <c r="K28" s="3058">
        <f t="shared" si="2"/>
        <v>2.6000000000000085</v>
      </c>
      <c r="L28" s="3058" t="s">
        <v>2577</v>
      </c>
      <c r="M28" s="3058">
        <v>2</v>
      </c>
    </row>
    <row r="29" spans="1:13">
      <c r="A29" s="3040" t="s">
        <v>2536</v>
      </c>
      <c r="B29" s="3041"/>
      <c r="C29" s="3041"/>
      <c r="D29" s="3041"/>
      <c r="E29" s="3041"/>
      <c r="F29" s="3041"/>
      <c r="G29" s="3042"/>
      <c r="I29" s="3058">
        <v>45</v>
      </c>
      <c r="J29" s="3058">
        <v>98.4</v>
      </c>
      <c r="K29" s="3058">
        <f t="shared" si="2"/>
        <v>2</v>
      </c>
    </row>
    <row r="30" spans="1:13">
      <c r="A30" s="3040" t="s">
        <v>2537</v>
      </c>
      <c r="B30" s="3041"/>
      <c r="C30" s="3041"/>
      <c r="D30" s="3041"/>
      <c r="E30" s="3041"/>
      <c r="F30" s="3041"/>
      <c r="G30" s="3042"/>
      <c r="I30" s="3058">
        <v>50</v>
      </c>
      <c r="J30" s="3058">
        <v>100</v>
      </c>
      <c r="K30" s="3058">
        <f t="shared" si="2"/>
        <v>1.5999999999999943</v>
      </c>
    </row>
    <row r="31" spans="1:13">
      <c r="A31" s="3040" t="s">
        <v>2538</v>
      </c>
      <c r="B31" s="3041"/>
      <c r="C31" s="3041"/>
      <c r="D31" s="3041"/>
      <c r="E31" s="3041"/>
      <c r="F31" s="3041"/>
      <c r="G31" s="3042"/>
      <c r="I31" s="3058" t="s">
        <v>2569</v>
      </c>
    </row>
    <row r="32" spans="1:13">
      <c r="A32" s="3040" t="s">
        <v>2539</v>
      </c>
      <c r="B32" s="3041"/>
      <c r="C32" s="3041"/>
      <c r="D32" s="3041"/>
      <c r="E32" s="3041"/>
      <c r="F32" s="3041"/>
      <c r="G32" s="3042"/>
    </row>
    <row r="33" spans="1:13">
      <c r="A33" s="3040" t="s">
        <v>2540</v>
      </c>
      <c r="B33" s="3041"/>
      <c r="C33" s="3041"/>
      <c r="D33" s="3041"/>
      <c r="E33" s="3041"/>
      <c r="F33" s="3041"/>
      <c r="G33" s="3042"/>
      <c r="I33" s="3058" t="s">
        <v>2568</v>
      </c>
      <c r="J33" s="3058" t="s">
        <v>2578</v>
      </c>
    </row>
    <row r="34" spans="1:13">
      <c r="A34" s="3040" t="s">
        <v>2541</v>
      </c>
      <c r="B34" s="3041"/>
      <c r="C34" s="3041"/>
      <c r="D34" s="3041"/>
      <c r="E34" s="3041"/>
      <c r="F34" s="3041"/>
      <c r="G34" s="3042"/>
      <c r="I34" s="3058">
        <v>5</v>
      </c>
      <c r="J34" s="3058">
        <v>55.1</v>
      </c>
    </row>
    <row r="35" spans="1:13">
      <c r="A35" s="3040" t="s">
        <v>2542</v>
      </c>
      <c r="B35" s="3041"/>
      <c r="C35" s="3041"/>
      <c r="D35" s="3041"/>
      <c r="E35" s="3041"/>
      <c r="F35" s="3041"/>
      <c r="G35" s="3042"/>
      <c r="I35" s="3058">
        <v>10</v>
      </c>
      <c r="J35" s="3058">
        <v>67</v>
      </c>
      <c r="K35" s="3058">
        <f>J35-J34</f>
        <v>11.899999999999999</v>
      </c>
    </row>
    <row r="36" spans="1:13">
      <c r="A36" s="3040" t="s">
        <v>2543</v>
      </c>
      <c r="B36" s="3041"/>
      <c r="C36" s="3041"/>
      <c r="D36" s="3041"/>
      <c r="E36" s="3041"/>
      <c r="F36" s="3041"/>
      <c r="G36" s="3042"/>
      <c r="I36" s="3058">
        <v>15</v>
      </c>
      <c r="J36" s="3058">
        <v>76.3</v>
      </c>
      <c r="K36" s="3058">
        <f t="shared" ref="K36:K41" si="3">J36-J35</f>
        <v>9.2999999999999972</v>
      </c>
      <c r="L36" s="3058" t="s">
        <v>2571</v>
      </c>
      <c r="M36" s="3058" t="s">
        <v>2572</v>
      </c>
    </row>
    <row r="37" spans="1:13">
      <c r="A37" s="3040" t="s">
        <v>2544</v>
      </c>
      <c r="B37" s="3041"/>
      <c r="C37" s="3041"/>
      <c r="D37" s="3041"/>
      <c r="E37" s="3041"/>
      <c r="F37" s="3041"/>
      <c r="G37" s="3042"/>
      <c r="I37" s="3058">
        <v>20</v>
      </c>
      <c r="J37" s="3058">
        <v>83.6</v>
      </c>
      <c r="K37" s="3058">
        <f t="shared" si="3"/>
        <v>7.2999999999999972</v>
      </c>
      <c r="L37" s="3058" t="s">
        <v>2570</v>
      </c>
      <c r="M37" s="3058">
        <v>10</v>
      </c>
    </row>
    <row r="38" spans="1:13">
      <c r="A38" s="3040" t="s">
        <v>2545</v>
      </c>
      <c r="B38" s="3041"/>
      <c r="C38" s="3041"/>
      <c r="D38" s="3041"/>
      <c r="E38" s="3041"/>
      <c r="F38" s="3041"/>
      <c r="G38" s="3042"/>
      <c r="I38" s="3058">
        <v>25</v>
      </c>
      <c r="J38" s="3058">
        <v>89.3</v>
      </c>
      <c r="K38" s="3058">
        <f t="shared" si="3"/>
        <v>5.7000000000000028</v>
      </c>
      <c r="L38" s="3058" t="s">
        <v>2574</v>
      </c>
      <c r="M38" s="3058">
        <v>8</v>
      </c>
    </row>
    <row r="39" spans="1:13">
      <c r="A39" s="3040"/>
      <c r="B39" s="3041"/>
      <c r="C39" s="3041"/>
      <c r="D39" s="3041"/>
      <c r="E39" s="3041"/>
      <c r="F39" s="3041"/>
      <c r="G39" s="3042"/>
      <c r="I39" s="3058">
        <v>30</v>
      </c>
      <c r="J39" s="3058">
        <v>93.8</v>
      </c>
      <c r="K39" s="3058">
        <f t="shared" si="3"/>
        <v>4.5</v>
      </c>
      <c r="L39" s="3058" t="s">
        <v>2575</v>
      </c>
      <c r="M39" s="3058">
        <v>6</v>
      </c>
    </row>
    <row r="40" spans="1:13">
      <c r="A40" s="3043" t="s">
        <v>2546</v>
      </c>
      <c r="B40" s="3044"/>
      <c r="C40" s="3044"/>
      <c r="D40" s="3044"/>
      <c r="E40" s="3044"/>
      <c r="F40" s="3044"/>
      <c r="G40" s="3045"/>
      <c r="I40" s="3058">
        <v>35</v>
      </c>
      <c r="J40" s="3058">
        <v>97.2</v>
      </c>
      <c r="K40" s="3058">
        <f t="shared" si="3"/>
        <v>3.4000000000000057</v>
      </c>
      <c r="L40" s="3058" t="s">
        <v>2576</v>
      </c>
      <c r="M40" s="3058">
        <v>3</v>
      </c>
    </row>
    <row r="41" spans="1:13">
      <c r="A41" s="3046" t="s">
        <v>2547</v>
      </c>
      <c r="B41" s="3047" t="s">
        <v>2548</v>
      </c>
      <c r="C41" s="3048" t="s">
        <v>2549</v>
      </c>
      <c r="D41" s="3048" t="s">
        <v>2550</v>
      </c>
      <c r="E41" s="3049"/>
      <c r="F41" s="3050"/>
      <c r="G41" s="3051"/>
      <c r="I41" s="3058">
        <v>40</v>
      </c>
      <c r="J41" s="3058">
        <v>100</v>
      </c>
      <c r="K41" s="3058">
        <f t="shared" si="3"/>
        <v>2.7999999999999972</v>
      </c>
    </row>
    <row r="42" spans="1:13">
      <c r="A42" s="3046" t="s">
        <v>2551</v>
      </c>
      <c r="B42" s="3047" t="s">
        <v>2552</v>
      </c>
      <c r="C42" s="3048" t="s">
        <v>2553</v>
      </c>
      <c r="D42" s="3052" t="s">
        <v>2554</v>
      </c>
      <c r="E42" s="3044" t="s">
        <v>2555</v>
      </c>
      <c r="F42" s="3044"/>
      <c r="G42" s="3045"/>
    </row>
    <row r="43" spans="1:13">
      <c r="A43" s="3046" t="s">
        <v>2556</v>
      </c>
      <c r="B43" s="3047" t="s">
        <v>2557</v>
      </c>
      <c r="C43" s="3048" t="s">
        <v>2558</v>
      </c>
      <c r="D43" s="3048" t="s">
        <v>2559</v>
      </c>
      <c r="E43" s="3049" t="s">
        <v>2560</v>
      </c>
      <c r="F43" s="3050"/>
      <c r="G43" s="3051"/>
      <c r="I43" s="3058" t="s">
        <v>2568</v>
      </c>
      <c r="J43" s="3058" t="s">
        <v>2579</v>
      </c>
    </row>
    <row r="44" spans="1:13">
      <c r="A44" s="3046" t="s">
        <v>2561</v>
      </c>
      <c r="B44" s="3047" t="s">
        <v>2562</v>
      </c>
      <c r="C44" s="3048" t="s">
        <v>2563</v>
      </c>
      <c r="D44" s="3052">
        <v>0.5</v>
      </c>
      <c r="E44" s="3049" t="s">
        <v>2564</v>
      </c>
      <c r="F44" s="3050"/>
      <c r="G44" s="3051"/>
      <c r="I44" s="3058">
        <v>30</v>
      </c>
      <c r="J44" s="3058">
        <v>81.7</v>
      </c>
    </row>
    <row r="45" spans="1:13" ht="15" thickBot="1">
      <c r="A45" s="3053" t="s">
        <v>2565</v>
      </c>
      <c r="B45" s="3054" t="s">
        <v>2552</v>
      </c>
      <c r="C45" s="3055" t="s">
        <v>2552</v>
      </c>
      <c r="D45" s="3055" t="s">
        <v>2566</v>
      </c>
      <c r="E45" s="3056" t="s">
        <v>2567</v>
      </c>
      <c r="F45" s="3056"/>
      <c r="G45" s="3057"/>
      <c r="I45" s="3058">
        <v>40</v>
      </c>
      <c r="J45" s="3058">
        <v>89.2</v>
      </c>
      <c r="K45" s="3058">
        <f>J45-J44</f>
        <v>7.5</v>
      </c>
    </row>
    <row r="46" spans="1:13">
      <c r="I46" s="3058">
        <v>50</v>
      </c>
      <c r="J46" s="3058">
        <v>94.3</v>
      </c>
      <c r="K46" s="3058">
        <f t="shared" ref="K46:K47" si="4">J46-J45</f>
        <v>5.0999999999999943</v>
      </c>
    </row>
    <row r="47" spans="1:13">
      <c r="I47" s="3058">
        <v>60</v>
      </c>
      <c r="J47" s="3058">
        <v>97.7</v>
      </c>
      <c r="K47" s="3058">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topLeftCell="A10" zoomScale="110" zoomScaleNormal="100" zoomScaleSheetLayoutView="110" workbookViewId="0">
      <selection activeCell="E15" sqref="E15"/>
    </sheetView>
  </sheetViews>
  <sheetFormatPr defaultColWidth="10" defaultRowHeight="13.2"/>
  <cols>
    <col min="1" max="1" width="16.88671875" style="1745" customWidth="1"/>
    <col min="2" max="2" width="10" style="1745" customWidth="1"/>
    <col min="3" max="3" width="11.44140625" style="1745" customWidth="1"/>
    <col min="4" max="4" width="10" style="1745" customWidth="1"/>
    <col min="5" max="5" width="12.6640625" style="1745" customWidth="1"/>
    <col min="6" max="6" width="10" style="1745" customWidth="1"/>
    <col min="7" max="7" width="10.77734375" style="1745" customWidth="1"/>
    <col min="8" max="8" width="10" style="1745" customWidth="1"/>
    <col min="9" max="9" width="11.10937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8" thickBot="1">
      <c r="A1" s="2366" t="s">
        <v>2168</v>
      </c>
      <c r="B1" s="3640" t="str">
        <f>IF(B10="北京市","北京市",C10)&amp;F10&amp;IF(结果表!G1="在建","出让国有建设用地使用权及在建建筑物",IF(结果表!G1="土地","出让国有建设用地使用权",))&amp;B9&amp;"预评估"</f>
        <v>预评估</v>
      </c>
      <c r="C1" s="3641"/>
      <c r="D1" s="3641"/>
      <c r="E1" s="3641"/>
      <c r="F1" s="3641"/>
      <c r="G1" s="3641"/>
      <c r="H1" s="3641"/>
      <c r="I1" s="3642"/>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
      </c>
      <c r="T1" s="1745"/>
      <c r="U1" s="1745"/>
      <c r="V1" s="1745"/>
      <c r="W1" s="1745"/>
      <c r="X1" s="1745"/>
      <c r="Y1" s="1745"/>
      <c r="Z1" s="1745"/>
      <c r="AA1" s="1745"/>
      <c r="AB1" s="1745"/>
    </row>
    <row r="2" spans="1:30">
      <c r="A2" s="2367" t="s">
        <v>2169</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房地产</v>
      </c>
      <c r="T2" s="1745"/>
      <c r="U2" s="1745"/>
      <c r="V2" s="1745"/>
      <c r="W2" s="1745"/>
      <c r="X2" s="1745"/>
      <c r="Y2" s="1745"/>
      <c r="Z2" s="1745"/>
      <c r="AA2" s="1745"/>
      <c r="AB2" s="1745"/>
    </row>
    <row r="3" spans="1:30">
      <c r="A3" s="302" t="s">
        <v>2170</v>
      </c>
      <c r="B3" s="2373">
        <v>45478</v>
      </c>
      <c r="C3" s="2374" t="s">
        <v>2171</v>
      </c>
      <c r="D3" s="2373">
        <f>B3</f>
        <v>45478</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8" thickBot="1">
      <c r="A4" s="1090" t="s">
        <v>2172</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8" thickTop="1">
      <c r="A5" s="2379" t="s">
        <v>2173</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2174</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2175</v>
      </c>
      <c r="B7" s="2387"/>
      <c r="C7" s="2385"/>
      <c r="D7" s="2386"/>
      <c r="E7" s="2662"/>
      <c r="F7" s="2664"/>
      <c r="G7" s="2664"/>
      <c r="H7" s="2664"/>
      <c r="I7" s="2664"/>
      <c r="J7" s="2439"/>
      <c r="K7" s="2616"/>
      <c r="L7" s="2613"/>
      <c r="M7" s="2613"/>
      <c r="N7" s="2439"/>
      <c r="O7" s="2450"/>
      <c r="P7" s="2439"/>
      <c r="Q7" s="2439"/>
      <c r="R7" s="2439"/>
    </row>
    <row r="8" spans="1:30">
      <c r="A8" s="2388" t="s">
        <v>2176</v>
      </c>
      <c r="B8" s="2389"/>
      <c r="C8" s="2390"/>
      <c r="D8" s="3643" t="s">
        <v>2177</v>
      </c>
      <c r="E8" s="2391"/>
      <c r="F8" s="2392"/>
      <c r="G8" s="2663"/>
      <c r="H8" s="2663"/>
      <c r="I8" s="2663"/>
      <c r="J8" s="2439"/>
      <c r="K8" s="2614"/>
      <c r="L8" s="2613"/>
      <c r="M8" s="2613"/>
      <c r="N8" s="2439"/>
      <c r="O8" s="2450"/>
      <c r="P8" s="2439"/>
      <c r="Q8" s="2439"/>
      <c r="R8" s="2439"/>
    </row>
    <row r="9" spans="1:30" ht="13.8" thickBot="1">
      <c r="A9" s="2393" t="s">
        <v>2178</v>
      </c>
      <c r="B9" s="2394"/>
      <c r="C9" s="2395"/>
      <c r="D9" s="3644"/>
      <c r="E9" s="2394"/>
      <c r="F9" s="2396"/>
      <c r="G9" s="2665"/>
      <c r="H9" s="2665"/>
      <c r="I9" s="2665"/>
      <c r="J9" s="2439"/>
      <c r="K9" s="2616"/>
      <c r="L9" s="2613"/>
      <c r="M9" s="2613"/>
      <c r="N9" s="2439"/>
      <c r="O9" s="2450"/>
      <c r="P9" s="2439"/>
      <c r="Q9" s="2439"/>
      <c r="R9" s="2439"/>
    </row>
    <row r="10" spans="1:30" ht="13.8" thickTop="1">
      <c r="A10" s="2397" t="s">
        <v>2179</v>
      </c>
      <c r="B10" s="2398"/>
      <c r="C10" s="2399"/>
      <c r="D10" s="2382"/>
      <c r="E10" s="2400" t="s">
        <v>2180</v>
      </c>
      <c r="F10" s="2666"/>
      <c r="G10" s="2667"/>
      <c r="H10" s="2668"/>
      <c r="I10" s="2669"/>
      <c r="J10" s="2439"/>
      <c r="K10" s="2616"/>
      <c r="L10" s="2613"/>
      <c r="M10" s="2613"/>
      <c r="N10" s="2439"/>
      <c r="O10" s="2450"/>
      <c r="P10" s="2439"/>
      <c r="Q10" s="2439"/>
      <c r="R10" s="2439"/>
    </row>
    <row r="11" spans="1:30">
      <c r="A11" s="2401" t="s">
        <v>2181</v>
      </c>
      <c r="B11" s="2402"/>
      <c r="C11" s="2403"/>
      <c r="D11" s="2404"/>
      <c r="E11" s="2370"/>
      <c r="F11" s="2370"/>
      <c r="G11" s="2370"/>
      <c r="H11" s="2370"/>
      <c r="I11" s="2370"/>
      <c r="J11" s="3061"/>
      <c r="K11" s="3060"/>
      <c r="L11" s="2613"/>
      <c r="M11" s="2613"/>
      <c r="N11" s="2439"/>
      <c r="O11" s="2450"/>
      <c r="P11" s="2439"/>
      <c r="Q11" s="2439"/>
      <c r="R11" s="2439"/>
    </row>
    <row r="12" spans="1:30">
      <c r="A12" s="2405" t="s">
        <v>2182</v>
      </c>
      <c r="B12" s="323" t="s">
        <v>2183</v>
      </c>
      <c r="C12" s="2406" t="s">
        <v>2184</v>
      </c>
      <c r="D12" s="2406" t="s">
        <v>2185</v>
      </c>
      <c r="E12" s="2406" t="s">
        <v>2186</v>
      </c>
      <c r="F12" s="2406" t="s">
        <v>2187</v>
      </c>
      <c r="G12" s="2406" t="s">
        <v>2188</v>
      </c>
      <c r="H12" s="2406" t="s">
        <v>2189</v>
      </c>
      <c r="I12" s="3059" t="s">
        <v>2580</v>
      </c>
      <c r="J12" s="3062"/>
      <c r="K12" s="2613"/>
      <c r="L12" s="2613"/>
      <c r="M12" s="2439"/>
      <c r="N12" s="2450"/>
      <c r="O12" s="2439"/>
      <c r="P12" s="2439"/>
      <c r="Q12" s="2439"/>
      <c r="AD12" s="1745"/>
    </row>
    <row r="13" spans="1:30">
      <c r="A13" s="3423" t="s">
        <v>3336</v>
      </c>
      <c r="B13" s="2407" t="s">
        <v>2190</v>
      </c>
      <c r="C13" s="856"/>
      <c r="D13" s="856"/>
      <c r="E13" s="856">
        <v>56227</v>
      </c>
      <c r="F13" s="856"/>
      <c r="G13" s="856"/>
      <c r="H13" s="856"/>
      <c r="I13" s="856"/>
      <c r="J13" s="3062"/>
      <c r="K13" s="2613"/>
      <c r="L13" s="2613"/>
      <c r="M13" s="2439"/>
      <c r="N13" s="2450"/>
      <c r="O13" s="2439"/>
      <c r="P13" s="2439"/>
      <c r="Q13" s="2439"/>
      <c r="AD13" s="1745"/>
    </row>
    <row r="14" spans="1:30">
      <c r="A14" s="1081"/>
      <c r="B14" s="2407" t="s">
        <v>2191</v>
      </c>
      <c r="C14" s="2408"/>
      <c r="D14" s="2408">
        <v>40</v>
      </c>
      <c r="E14" s="2408">
        <v>50</v>
      </c>
      <c r="F14" s="2408"/>
      <c r="G14" s="2408"/>
      <c r="H14" s="2408"/>
      <c r="I14" s="2408"/>
      <c r="J14" s="3063"/>
      <c r="K14" s="2613"/>
      <c r="L14" s="2613"/>
      <c r="M14" s="2439"/>
      <c r="N14" s="2450"/>
      <c r="O14" s="2439"/>
      <c r="P14" s="2439"/>
      <c r="Q14" s="2439"/>
      <c r="AD14" s="1745"/>
    </row>
    <row r="15" spans="1:30">
      <c r="A15" s="320"/>
      <c r="B15" s="2409" t="s">
        <v>2192</v>
      </c>
      <c r="C15" s="2410" t="str">
        <f>IF(A13="出让",IF(C13="","",ROUNDDOWN(MIN((C13-$D$3)/365,C14),2)),C14)</f>
        <v/>
      </c>
      <c r="D15" s="2410" t="str">
        <f>IF(A13="出让",IF(D13="","",ROUNDDOWN(MIN((D13-$D$3)/365,D14),2)),D14)</f>
        <v/>
      </c>
      <c r="E15" s="2410">
        <f>IF(A13="出让",IF(E13="","",ROUNDDOWN(MIN((E13-$D$3)/365,E14),2)),E14)</f>
        <v>29.44</v>
      </c>
      <c r="F15" s="2410" t="str">
        <f>IF(A13="出让",IF(F13="","",ROUNDDOWN(MIN((F13-$D$3)/365,F14),2)),F14)</f>
        <v/>
      </c>
      <c r="G15" s="2410" t="str">
        <f>IF(A13="出让",IF(G13="","",ROUNDDOWN(MIN((G13-$D$3)/365,G14),2)),G14)</f>
        <v/>
      </c>
      <c r="H15" s="2410" t="str">
        <f>IF(A13="出让",IF(H13="","",ROUNDDOWN(MIN((H13-$D$3)/365,H14),2)),H14)</f>
        <v/>
      </c>
      <c r="I15" s="2410" t="str">
        <f>IF(A13="出让",IF(I13="","",ROUNDDOWN(MIN((I13-$D$3)/365,I14),2)),I14)</f>
        <v/>
      </c>
      <c r="J15" s="3064"/>
      <c r="K15" s="2451"/>
      <c r="L15" s="2451"/>
      <c r="M15" s="2509"/>
      <c r="N15" s="2451"/>
      <c r="O15" s="2509"/>
      <c r="P15" s="2439"/>
      <c r="Q15" s="2439"/>
      <c r="AD15" s="1745"/>
    </row>
    <row r="16" spans="1:30">
      <c r="A16" s="2400" t="s">
        <v>2193</v>
      </c>
      <c r="B16" s="3650"/>
      <c r="C16" s="3651"/>
      <c r="D16" s="3652"/>
      <c r="E16" s="2413" t="s">
        <v>2194</v>
      </c>
      <c r="F16" s="3653"/>
      <c r="G16" s="3654"/>
      <c r="H16" s="3654"/>
      <c r="I16" s="3655"/>
      <c r="J16" s="2439"/>
      <c r="K16" s="2617"/>
      <c r="L16" s="2451"/>
      <c r="M16" s="2451"/>
      <c r="N16" s="2509"/>
      <c r="O16" s="2451"/>
      <c r="P16" s="2509"/>
      <c r="Q16" s="2439"/>
      <c r="R16" s="2439"/>
    </row>
    <row r="17" spans="1:28">
      <c r="A17" s="313" t="s">
        <v>2195</v>
      </c>
      <c r="B17" s="302" t="s">
        <v>2196</v>
      </c>
      <c r="C17" s="8">
        <f>'数据-汇总表'!E3</f>
        <v>2414.4300000000003</v>
      </c>
      <c r="D17" s="2322" t="s">
        <v>2197</v>
      </c>
      <c r="E17" s="3656" t="s">
        <v>2198</v>
      </c>
      <c r="F17" s="3657"/>
      <c r="G17" s="3657"/>
      <c r="H17" s="3657"/>
      <c r="I17" s="3658"/>
      <c r="J17" s="2439"/>
      <c r="K17" s="2618"/>
      <c r="L17" s="2451"/>
      <c r="M17" s="2451"/>
      <c r="N17" s="2509"/>
      <c r="O17" s="2451"/>
      <c r="P17" s="2509"/>
      <c r="Q17" s="2439"/>
      <c r="R17" s="2439"/>
      <c r="S17" s="2439"/>
      <c r="T17" s="2439"/>
      <c r="U17" s="2439"/>
      <c r="V17" s="2439"/>
    </row>
    <row r="18" spans="1:28" ht="24.6" thickBot="1">
      <c r="A18" s="2414" t="s">
        <v>2199</v>
      </c>
      <c r="B18" s="1090" t="s">
        <v>2200</v>
      </c>
      <c r="C18" s="2415">
        <f>'数据-汇总表'!D3</f>
        <v>0</v>
      </c>
      <c r="D18" s="1092" t="s">
        <v>2201</v>
      </c>
      <c r="E18" s="3659" t="s">
        <v>2202</v>
      </c>
      <c r="F18" s="3660"/>
      <c r="G18" s="3660"/>
      <c r="H18" s="3660"/>
      <c r="I18" s="3661"/>
      <c r="J18" s="2439"/>
      <c r="K18" s="2618"/>
      <c r="L18" s="2451"/>
      <c r="M18" s="2451"/>
      <c r="N18" s="2509"/>
      <c r="O18" s="2451"/>
      <c r="P18" s="2509"/>
      <c r="Q18" s="2439"/>
      <c r="R18" s="2439"/>
      <c r="S18" s="2439"/>
      <c r="T18" s="2439"/>
      <c r="U18" s="2439"/>
      <c r="V18" s="2439"/>
    </row>
    <row r="19" spans="1:28" ht="37.200000000000003" thickTop="1" thickBot="1">
      <c r="A19" s="327" t="s">
        <v>1055</v>
      </c>
      <c r="B19" s="307" t="s">
        <v>2203</v>
      </c>
      <c r="C19" s="1563"/>
      <c r="D19" s="1564" t="s">
        <v>2204</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2205</v>
      </c>
      <c r="B20" s="3646" t="s">
        <v>2206</v>
      </c>
      <c r="C20" s="3647"/>
      <c r="D20" s="3648" t="s">
        <v>2207</v>
      </c>
      <c r="E20" s="3649"/>
      <c r="F20" s="2647" t="s">
        <v>1056</v>
      </c>
      <c r="G20" s="2664"/>
      <c r="H20" s="2664"/>
      <c r="I20" s="2664"/>
      <c r="J20" s="2439"/>
      <c r="K20" s="3645"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36.6" thickBot="1">
      <c r="A21" s="2632"/>
      <c r="B21" s="2633" t="s">
        <v>2209</v>
      </c>
      <c r="C21" s="2634" t="s">
        <v>1057</v>
      </c>
      <c r="D21" s="1568" t="s">
        <v>2210</v>
      </c>
      <c r="E21" s="2635" t="s">
        <v>1057</v>
      </c>
      <c r="F21" s="2648"/>
      <c r="G21" s="2664"/>
      <c r="H21" s="2664"/>
      <c r="I21" s="2664"/>
      <c r="J21" s="2439"/>
      <c r="K21" s="3645"/>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36.6" thickBot="1">
      <c r="A22" s="2632"/>
      <c r="B22" s="2636" t="s">
        <v>2211</v>
      </c>
      <c r="C22" s="2634" t="s">
        <v>1058</v>
      </c>
      <c r="D22" s="2663"/>
      <c r="E22" s="2663"/>
      <c r="F22" s="2663"/>
      <c r="G22" s="2664"/>
      <c r="H22" s="2664"/>
      <c r="I22" s="2664"/>
      <c r="J22" s="2439"/>
      <c r="K22" s="3645"/>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2212</v>
      </c>
      <c r="B23" s="2502" t="s">
        <v>2213</v>
      </c>
      <c r="C23" s="2638"/>
      <c r="D23" s="2639" t="s">
        <v>2213</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8"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8" thickTop="1">
      <c r="A27" s="3633" t="s">
        <v>2214</v>
      </c>
      <c r="B27" s="320" t="s">
        <v>2215</v>
      </c>
      <c r="C27" s="2416"/>
      <c r="D27" s="2417"/>
      <c r="E27" s="2664"/>
      <c r="F27" s="2664"/>
      <c r="G27" s="2664"/>
      <c r="H27" s="2664"/>
      <c r="I27" s="2664"/>
      <c r="J27" s="2439"/>
      <c r="K27" s="2617"/>
      <c r="L27" s="2451"/>
      <c r="M27" s="2451"/>
      <c r="N27" s="2509"/>
      <c r="O27" s="2451"/>
      <c r="P27" s="2509"/>
      <c r="Q27" s="2439"/>
      <c r="R27" s="2439"/>
      <c r="S27" s="2439"/>
      <c r="T27" s="2439"/>
      <c r="U27" s="2439"/>
      <c r="V27" s="2439"/>
    </row>
    <row r="28" spans="1:28">
      <c r="A28" s="3633"/>
      <c r="B28" s="302" t="s">
        <v>2216</v>
      </c>
      <c r="C28" s="2418"/>
      <c r="D28" s="2419"/>
      <c r="E28" s="2664"/>
      <c r="F28" s="2664"/>
      <c r="G28" s="2664"/>
      <c r="H28" s="2664"/>
      <c r="I28" s="2664"/>
      <c r="J28" s="2439"/>
      <c r="K28" s="2616"/>
      <c r="L28" s="2613"/>
      <c r="M28" s="2613"/>
      <c r="N28" s="2439"/>
      <c r="O28" s="2450"/>
      <c r="P28" s="2439"/>
      <c r="Q28" s="2439"/>
      <c r="R28" s="2439"/>
      <c r="S28" s="2439"/>
      <c r="T28" s="2439"/>
      <c r="U28" s="2439"/>
      <c r="V28" s="2439"/>
    </row>
    <row r="29" spans="1:28">
      <c r="A29" s="3633"/>
      <c r="B29" s="302" t="s">
        <v>2217</v>
      </c>
      <c r="C29" s="2420"/>
      <c r="D29" s="2421"/>
      <c r="E29" s="2664"/>
      <c r="F29" s="2664"/>
      <c r="G29" s="2664"/>
      <c r="H29" s="2664"/>
      <c r="I29" s="2664"/>
      <c r="J29" s="2439"/>
      <c r="K29" s="2616"/>
      <c r="L29" s="2613"/>
      <c r="M29" s="2613"/>
      <c r="N29" s="2439"/>
      <c r="O29" s="2450"/>
      <c r="P29" s="2439"/>
      <c r="Q29" s="2439"/>
      <c r="R29" s="2439"/>
      <c r="S29" s="2439"/>
      <c r="T29" s="2439"/>
      <c r="U29" s="2439"/>
      <c r="V29" s="2439"/>
    </row>
    <row r="30" spans="1:28">
      <c r="A30" s="3634"/>
      <c r="B30" s="302" t="s">
        <v>2218</v>
      </c>
      <c r="C30" s="3635"/>
      <c r="D30" s="3636"/>
      <c r="E30" s="2664"/>
      <c r="F30" s="2664"/>
      <c r="G30" s="2664"/>
      <c r="H30" s="2664"/>
      <c r="I30" s="2664"/>
      <c r="J30" s="2439"/>
      <c r="K30" s="2616"/>
      <c r="L30" s="2613"/>
      <c r="M30" s="2613"/>
      <c r="N30" s="2439"/>
      <c r="O30" s="2450"/>
      <c r="P30" s="2439"/>
      <c r="Q30" s="2439"/>
      <c r="R30" s="2439"/>
      <c r="S30" s="2439"/>
      <c r="T30" s="2439"/>
      <c r="U30" s="2439"/>
      <c r="V30" s="2439"/>
    </row>
    <row r="31" spans="1:28">
      <c r="A31" s="3637" t="s">
        <v>2219</v>
      </c>
      <c r="B31" s="2422"/>
      <c r="C31" s="2323" t="str">
        <f>IF(B31="现房","成新及维护状况正常否",IF(B31="在建","工程状态是否正常",IF(B31="土地","是否闲置","-")))</f>
        <v>-</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638"/>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638"/>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2220</v>
      </c>
      <c r="B34" s="2026"/>
      <c r="C34" s="2026"/>
      <c r="D34" s="2026"/>
      <c r="E34" s="2026"/>
      <c r="F34" s="2026"/>
      <c r="G34" s="2026"/>
      <c r="H34" s="2026"/>
      <c r="I34" s="2664"/>
      <c r="J34" s="2439"/>
      <c r="K34" s="2427">
        <f>COUNTIF(B34:H34,"——")</f>
        <v>0</v>
      </c>
      <c r="L34" s="323" t="s">
        <v>2221</v>
      </c>
      <c r="M34" s="323" t="s">
        <v>2222</v>
      </c>
      <c r="N34" s="323" t="s">
        <v>2223</v>
      </c>
      <c r="O34" s="323" t="s">
        <v>2224</v>
      </c>
      <c r="P34" s="323" t="s">
        <v>2225</v>
      </c>
      <c r="Q34" s="323" t="s">
        <v>2226</v>
      </c>
      <c r="R34" s="323" t="s">
        <v>2227</v>
      </c>
      <c r="S34" s="3632" t="s">
        <v>2228</v>
      </c>
      <c r="T34" s="2428" t="str">
        <f>NUMBERSTRING(7-K34,1)&amp;"通"</f>
        <v>七通</v>
      </c>
      <c r="U34" s="2439"/>
      <c r="V34" s="2439"/>
    </row>
    <row r="35" spans="1:30">
      <c r="A35" s="2429"/>
      <c r="B35" s="3639" t="s">
        <v>2229</v>
      </c>
      <c r="C35" s="3639"/>
      <c r="D35" s="3639"/>
      <c r="E35" s="3639"/>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632"/>
      <c r="T35" s="329" t="str">
        <f>IF(T34="一通",L35,IF(T34="二通",M35,IF(T34="三通",N35,IF(T34="四通",O35,IF(T34="五通",P35,IF(T34="六通",Q35,R35))))))</f>
        <v>、、、、、、</v>
      </c>
      <c r="U35" s="2439"/>
      <c r="V35" s="2439"/>
    </row>
    <row r="36" spans="1:30">
      <c r="A36" s="2430"/>
      <c r="B36" s="664" t="s">
        <v>2185</v>
      </c>
      <c r="C36" s="664" t="s">
        <v>2186</v>
      </c>
      <c r="D36" s="664" t="s">
        <v>2184</v>
      </c>
      <c r="E36" s="664" t="s">
        <v>2189</v>
      </c>
      <c r="F36" s="3065" t="s">
        <v>2583</v>
      </c>
      <c r="G36" s="2664"/>
      <c r="H36" s="2664"/>
      <c r="I36" s="2664"/>
      <c r="J36" s="2439"/>
      <c r="K36" s="2616"/>
      <c r="L36" s="2613"/>
      <c r="M36" s="2613"/>
      <c r="N36" s="2439"/>
      <c r="O36" s="2450"/>
      <c r="P36" s="2439"/>
      <c r="Q36" s="2439"/>
      <c r="R36" s="2439"/>
      <c r="S36" s="2439"/>
      <c r="T36" s="2439"/>
      <c r="U36" s="2439"/>
      <c r="V36" s="2439"/>
    </row>
    <row r="37" spans="1:30">
      <c r="A37" s="2630" t="s">
        <v>2230</v>
      </c>
      <c r="B37" s="2431"/>
      <c r="C37" s="2431"/>
      <c r="D37" s="2431"/>
      <c r="E37" s="2431"/>
      <c r="F37" s="2431"/>
      <c r="G37" s="2664"/>
      <c r="H37" s="2664"/>
      <c r="I37" s="2664"/>
      <c r="J37" s="2439"/>
      <c r="K37" s="2616"/>
      <c r="L37" s="2613"/>
      <c r="M37" s="2613"/>
      <c r="N37" s="2439"/>
      <c r="O37" s="2450"/>
      <c r="P37" s="2439"/>
      <c r="Q37" s="2439"/>
      <c r="R37" s="2439"/>
      <c r="S37" s="2439"/>
      <c r="T37" s="2439"/>
      <c r="U37" s="2439"/>
      <c r="V37" s="2439"/>
    </row>
    <row r="38" spans="1:30" ht="13.8" thickBot="1">
      <c r="A38" s="2631" t="s">
        <v>2231</v>
      </c>
      <c r="B38" s="2432"/>
      <c r="C38" s="2432"/>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4" thickTop="1" thickBot="1">
      <c r="A39" s="2433" t="s">
        <v>2232</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2233</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2">
      <c r="A42" s="323" t="s">
        <v>2234</v>
      </c>
      <c r="B42" s="8" t="s">
        <v>2235</v>
      </c>
      <c r="C42" s="8" t="s">
        <v>2236</v>
      </c>
      <c r="D42" s="8" t="s">
        <v>2237</v>
      </c>
      <c r="E42" s="8" t="s">
        <v>2238</v>
      </c>
      <c r="F42" s="8" t="s">
        <v>2239</v>
      </c>
      <c r="G42" s="8" t="s">
        <v>2240</v>
      </c>
      <c r="H42" s="8" t="s">
        <v>2241</v>
      </c>
      <c r="I42" s="8" t="s">
        <v>2242</v>
      </c>
      <c r="J42" s="2626" t="s">
        <v>2243</v>
      </c>
      <c r="K42" s="2627" t="s">
        <v>2244</v>
      </c>
      <c r="L42" s="2627" t="s">
        <v>2245</v>
      </c>
      <c r="M42" s="2627" t="s">
        <v>2246</v>
      </c>
      <c r="N42" s="2620" t="s">
        <v>2247</v>
      </c>
      <c r="O42" s="2620" t="s">
        <v>2248</v>
      </c>
      <c r="P42" s="2620" t="s">
        <v>2249</v>
      </c>
      <c r="Q42" s="2621" t="s">
        <v>2250</v>
      </c>
      <c r="R42" s="2621" t="s">
        <v>2251</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I13" sqref="I13"/>
    </sheetView>
  </sheetViews>
  <sheetFormatPr defaultColWidth="8.88671875" defaultRowHeight="13.8"/>
  <cols>
    <col min="1" max="1" width="10.6640625" style="1573" customWidth="1"/>
    <col min="2" max="2" width="11" style="1573" customWidth="1"/>
    <col min="3" max="3" width="10.33203125" style="1573" customWidth="1"/>
    <col min="4" max="4" width="9.109375" style="1573" customWidth="1"/>
    <col min="5" max="6" width="10" style="1634" customWidth="1"/>
    <col min="7" max="8" width="10" style="1573" customWidth="1"/>
    <col min="9" max="9" width="10.6640625" style="1573" customWidth="1"/>
    <col min="10" max="10" width="9.44140625" style="1573" customWidth="1"/>
    <col min="11" max="11" width="11" style="1573" customWidth="1"/>
    <col min="12" max="14" width="9.44140625" style="1573" customWidth="1"/>
    <col min="15" max="15" width="9.88671875" style="1573" customWidth="1"/>
    <col min="16" max="16" width="9.77734375" style="1573" customWidth="1"/>
    <col min="17" max="17" width="9.33203125" style="1573" customWidth="1"/>
    <col min="18" max="18" width="9.21875" style="1573" customWidth="1"/>
    <col min="19" max="19" width="10.88671875" style="1573" customWidth="1"/>
    <col min="20" max="21" width="10.77734375" style="1573" customWidth="1"/>
    <col min="22" max="22" width="10.88671875" style="1573" customWidth="1"/>
    <col min="23" max="27" width="10.77734375" style="1573" customWidth="1"/>
    <col min="28" max="28" width="10.88671875" style="1573" customWidth="1"/>
    <col min="29" max="29" width="11" style="1573" bestFit="1" customWidth="1"/>
    <col min="30" max="30" width="10" style="1573" bestFit="1" customWidth="1"/>
    <col min="31" max="31" width="9.77734375" style="1573" customWidth="1"/>
    <col min="32" max="46" width="9.44140625" style="1573" customWidth="1"/>
    <col min="47" max="47" width="18.109375" style="1573" customWidth="1"/>
    <col min="48" max="50" width="9.77734375" style="1573" customWidth="1"/>
    <col min="51" max="55" width="10.44140625" style="1573" bestFit="1" customWidth="1"/>
    <col min="56" max="56" width="9.44140625" style="1573" bestFit="1" customWidth="1"/>
    <col min="57" max="63" width="9.109375" style="1573" bestFit="1" customWidth="1"/>
    <col min="64" max="64" width="9.44140625" style="1573" bestFit="1" customWidth="1"/>
    <col min="65" max="65" width="9.109375" style="1573" bestFit="1" customWidth="1"/>
    <col min="66" max="66" width="9.44140625" style="1573" bestFit="1" customWidth="1"/>
    <col min="67" max="69" width="9.109375" style="1573" bestFit="1" customWidth="1"/>
    <col min="70" max="70" width="9.44140625" style="1573" bestFit="1" customWidth="1"/>
    <col min="71" max="71" width="9" style="1573" customWidth="1"/>
    <col min="72" max="72" width="9.109375" style="1573" bestFit="1" customWidth="1"/>
    <col min="73" max="16384" width="8.88671875" style="1573"/>
  </cols>
  <sheetData>
    <row r="1" spans="1:72" ht="21">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3.2">
      <c r="A3" s="10"/>
      <c r="B3" s="11">
        <f>IF(C3="否",G5-AT5,G5)</f>
        <v>2414.4300000000003</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3.2">
      <c r="A5" s="12" t="s">
        <v>1071</v>
      </c>
      <c r="B5" s="1347"/>
      <c r="C5" s="1347"/>
      <c r="D5" s="1349"/>
      <c r="E5" s="13" t="s">
        <v>0</v>
      </c>
      <c r="F5" s="13">
        <f>SUM(F13:F587)</f>
        <v>0</v>
      </c>
      <c r="G5" s="13">
        <f>SUM(G13:G587)</f>
        <v>2414.4300000000003</v>
      </c>
      <c r="H5" s="13">
        <f t="shared" ref="H5:AT5" si="0">SUM(H13:H656)</f>
        <v>2414.4300000000003</v>
      </c>
      <c r="I5" s="13">
        <f t="shared" si="0"/>
        <v>1078.0900000000001</v>
      </c>
      <c r="J5" s="13">
        <f t="shared" si="0"/>
        <v>0</v>
      </c>
      <c r="K5" s="13">
        <f t="shared" si="0"/>
        <v>1336.34</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2414.4300000000003</v>
      </c>
      <c r="BA5" s="15">
        <f t="shared" si="1"/>
        <v>2414.4300000000003</v>
      </c>
      <c r="BB5" s="15">
        <f t="shared" si="1"/>
        <v>1078.0900000000001</v>
      </c>
      <c r="BC5" s="15">
        <f t="shared" si="1"/>
        <v>1336.34</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3.2">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5.2">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3.2">
      <c r="A9" s="1594"/>
      <c r="B9" s="1594"/>
      <c r="C9" s="1594"/>
      <c r="D9" s="1594"/>
      <c r="E9" s="1594"/>
      <c r="F9" s="1594"/>
      <c r="G9" s="1070"/>
      <c r="H9" s="1602" t="s">
        <v>1091</v>
      </c>
      <c r="I9" s="1603" t="s">
        <v>3675</v>
      </c>
      <c r="J9" s="809"/>
      <c r="K9" s="1603" t="s">
        <v>3675</v>
      </c>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3.2">
      <c r="A10" s="1594"/>
      <c r="B10" s="1594"/>
      <c r="C10" s="1594"/>
      <c r="D10" s="1594"/>
      <c r="E10" s="1594"/>
      <c r="F10" s="1594"/>
      <c r="G10" s="1070"/>
      <c r="H10" s="25"/>
      <c r="I10" s="1603" t="s">
        <v>673</v>
      </c>
      <c r="J10" s="809"/>
      <c r="K10" s="1609" t="s">
        <v>21</v>
      </c>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t="str">
        <f>K9</f>
        <v>地上</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3.2">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t="str">
        <f>K10</f>
        <v>办公</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3.2">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3.2">
      <c r="A13" s="1051"/>
      <c r="B13" s="1051"/>
      <c r="C13" s="1051"/>
      <c r="D13" s="1625" t="s">
        <v>3676</v>
      </c>
      <c r="E13" s="13">
        <f>IF($C$3="是",ROUND($A$3*G13/$B$3,2),ROUND($A$3*(G13-AT13)/$B$3,2))</f>
        <v>0</v>
      </c>
      <c r="F13" s="29"/>
      <c r="G13" s="30">
        <f>H13+AC13+AT13</f>
        <v>2414.4300000000003</v>
      </c>
      <c r="H13" s="17">
        <f>SUMIF(I$12:AB$12,"总值",I13:AB13)</f>
        <v>2414.4300000000003</v>
      </c>
      <c r="I13" s="1626">
        <f>面积!E4</f>
        <v>1078.0900000000001</v>
      </c>
      <c r="J13" s="1626"/>
      <c r="K13" s="1626">
        <f>面积!E6</f>
        <v>1336.34</v>
      </c>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0</v>
      </c>
      <c r="AY13" s="1349">
        <f>ROUND($AY$6*AZ13/$AZ$5,2)</f>
        <v>0</v>
      </c>
      <c r="AZ13" s="13">
        <f>BA13+BL13</f>
        <v>2414.4300000000003</v>
      </c>
      <c r="BA13" s="13">
        <f>SUM(BB13:BK13)</f>
        <v>2414.4300000000003</v>
      </c>
      <c r="BB13" s="13">
        <f>IF($D13="是",I13-J13,0)</f>
        <v>1078.0900000000001</v>
      </c>
      <c r="BC13" s="13">
        <f>IF($D13="是",K13-L13,0)</f>
        <v>1336.34</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3.2">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3.2">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3.2">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3.2">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F19" sqref="F19"/>
    </sheetView>
  </sheetViews>
  <sheetFormatPr defaultColWidth="9.21875" defaultRowHeight="13.8"/>
  <cols>
    <col min="1" max="1" width="12.109375" style="1638" customWidth="1"/>
    <col min="2" max="2" width="10.21875" style="1638" customWidth="1"/>
    <col min="3" max="3" width="18.44140625" style="1638" customWidth="1"/>
    <col min="4" max="4" width="11.6640625" style="1638" customWidth="1"/>
    <col min="5" max="5" width="13.33203125" style="1638" customWidth="1"/>
    <col min="6" max="8" width="11.44140625" style="1638" customWidth="1"/>
    <col min="9" max="9" width="11.109375" style="1638" customWidth="1"/>
    <col min="10" max="10" width="3.109375" style="2649" customWidth="1"/>
    <col min="11" max="16" width="10" style="1638" customWidth="1"/>
    <col min="17" max="17" width="2.6640625" style="1638" customWidth="1"/>
    <col min="18" max="18" width="9.33203125" style="1638" bestFit="1" customWidth="1"/>
    <col min="19" max="19" width="10.44140625" style="1638" bestFit="1" customWidth="1"/>
    <col min="20" max="16384" width="9.21875" style="1638"/>
  </cols>
  <sheetData>
    <row r="1" spans="1:16" ht="18" thickBot="1">
      <c r="A1" s="1637" t="s">
        <v>1130</v>
      </c>
      <c r="B1" s="1139"/>
      <c r="C1" s="1139"/>
      <c r="D1" s="1139"/>
      <c r="E1" s="1139"/>
      <c r="F1" s="1139"/>
      <c r="G1" s="1139"/>
      <c r="H1" s="1139"/>
      <c r="I1" s="1139"/>
      <c r="J1" s="1139"/>
      <c r="K1" s="1139"/>
      <c r="L1" s="1139"/>
      <c r="M1" s="1139"/>
      <c r="N1" s="1139"/>
      <c r="O1" s="1139"/>
      <c r="P1" s="1139"/>
    </row>
    <row r="2" spans="1:16" ht="14.4">
      <c r="A2" s="3671" t="s">
        <v>1131</v>
      </c>
      <c r="B2" s="3671"/>
      <c r="C2" s="3671"/>
      <c r="D2" s="796" t="s">
        <v>1107</v>
      </c>
      <c r="E2" s="1639" t="s">
        <v>1108</v>
      </c>
      <c r="F2" s="2659"/>
      <c r="G2" s="2650"/>
      <c r="H2" s="2651"/>
      <c r="I2" s="2325" t="s">
        <v>1132</v>
      </c>
      <c r="J2" s="2659"/>
      <c r="K2" s="2659"/>
      <c r="L2" s="2659"/>
      <c r="M2" s="2659"/>
      <c r="N2" s="2661"/>
      <c r="O2" s="2659"/>
      <c r="P2" s="2659"/>
    </row>
    <row r="3" spans="1:16" ht="15" thickBot="1">
      <c r="A3" s="3672" t="s">
        <v>1105</v>
      </c>
      <c r="B3" s="3672"/>
      <c r="C3" s="3672"/>
      <c r="D3" s="43">
        <f>'数据-基础表'!AY6</f>
        <v>0</v>
      </c>
      <c r="E3" s="43">
        <f>'数据-基础表'!AZ5</f>
        <v>2414.4300000000003</v>
      </c>
      <c r="F3" s="2659"/>
      <c r="G3" s="1145"/>
      <c r="H3" s="1026" t="s">
        <v>1106</v>
      </c>
      <c r="I3" s="855" t="e">
        <f>ROUND('数据-基础表'!B3/'数据-基础表'!A3,2)</f>
        <v>#DIV/0!</v>
      </c>
      <c r="J3" s="2659"/>
      <c r="K3" s="2659"/>
      <c r="L3" s="2659"/>
      <c r="M3" s="2659"/>
      <c r="N3" s="2661"/>
      <c r="O3" s="2659"/>
      <c r="P3" s="2659"/>
    </row>
    <row r="4" spans="1:16" ht="14.4">
      <c r="A4" s="3673"/>
      <c r="B4" s="3674"/>
      <c r="C4" s="3675"/>
      <c r="D4" s="1641" t="s">
        <v>1107</v>
      </c>
      <c r="E4" s="1642" t="s">
        <v>1108</v>
      </c>
      <c r="F4" s="2659"/>
      <c r="G4" s="2652" t="s">
        <v>1133</v>
      </c>
      <c r="H4" s="1026" t="s">
        <v>1113</v>
      </c>
      <c r="I4" s="855" t="e">
        <f>ROUND(SUMIF('数据-基础表'!I9:AS9,"地上",'数据-基础表'!I5:AS5)/'数据-基础表'!A3,2)</f>
        <v>#DIV/0!</v>
      </c>
      <c r="J4" s="2659"/>
      <c r="K4" s="2659"/>
      <c r="L4" s="2659"/>
      <c r="M4" s="2659"/>
      <c r="N4" s="2661"/>
      <c r="O4" s="2659"/>
      <c r="P4" s="2659"/>
    </row>
    <row r="5" spans="1:16" ht="14.4">
      <c r="A5" s="44" t="s">
        <v>1109</v>
      </c>
      <c r="B5" s="3676" t="s">
        <v>1110</v>
      </c>
      <c r="C5" s="3676"/>
      <c r="D5" s="45">
        <f>ROUND($D$3*E5/$E$3,2)</f>
        <v>0</v>
      </c>
      <c r="E5" s="46">
        <f>SUMIF('数据-基础表'!$11:$11,"住宅",'数据-基础表'!$5:$5)</f>
        <v>0</v>
      </c>
      <c r="F5" s="2659"/>
      <c r="G5" s="1145"/>
      <c r="H5" s="1026" t="s">
        <v>1106</v>
      </c>
      <c r="I5" s="855" t="e">
        <f>ROUND(E31/D31,2)</f>
        <v>#DIV/0!</v>
      </c>
      <c r="J5" s="2659"/>
      <c r="K5" s="2659"/>
      <c r="L5" s="2659"/>
      <c r="M5" s="2659"/>
      <c r="N5" s="2659"/>
      <c r="O5" s="2659"/>
      <c r="P5" s="2659"/>
    </row>
    <row r="6" spans="1:16" ht="15" thickBot="1">
      <c r="A6" s="1644"/>
      <c r="B6" s="3676" t="s">
        <v>1111</v>
      </c>
      <c r="C6" s="3676"/>
      <c r="D6" s="45">
        <f>ROUND($D$3*E6/$E$3,2)</f>
        <v>0</v>
      </c>
      <c r="E6" s="46">
        <f>E3-E5</f>
        <v>2414.4300000000003</v>
      </c>
      <c r="F6" s="2659"/>
      <c r="G6" s="2653" t="s">
        <v>1112</v>
      </c>
      <c r="H6" s="1146" t="s">
        <v>1113</v>
      </c>
      <c r="I6" s="2654" t="e">
        <f>ROUND(F31/D31,2)</f>
        <v>#DIV/0!</v>
      </c>
      <c r="J6" s="2659"/>
      <c r="K6" s="2659"/>
      <c r="L6" s="2659"/>
      <c r="M6" s="2659"/>
      <c r="N6" s="2659"/>
      <c r="O6" s="2659"/>
      <c r="P6" s="2659"/>
    </row>
    <row r="7" spans="1:16" ht="15" thickBot="1">
      <c r="A7" s="3668"/>
      <c r="B7" s="3669"/>
      <c r="C7" s="3670"/>
      <c r="D7" s="1641" t="s">
        <v>1107</v>
      </c>
      <c r="E7" s="1645" t="s">
        <v>1114</v>
      </c>
      <c r="F7" s="2659"/>
      <c r="G7" s="2655" t="s">
        <v>1115</v>
      </c>
      <c r="H7" s="2656"/>
      <c r="I7" s="2657"/>
      <c r="J7" s="2659"/>
      <c r="K7" s="2659"/>
      <c r="L7" s="2659"/>
      <c r="M7" s="2659"/>
      <c r="N7" s="2659"/>
      <c r="O7" s="2659"/>
      <c r="P7" s="2659"/>
    </row>
    <row r="8" spans="1:16" ht="14.4">
      <c r="A8" s="44" t="s">
        <v>1116</v>
      </c>
      <c r="B8" s="47" t="s">
        <v>1117</v>
      </c>
      <c r="C8" s="45" t="s">
        <v>1118</v>
      </c>
      <c r="D8" s="45">
        <f t="shared" ref="D8:D15" si="0">ROUND($D$3*E8/$E$3,2)</f>
        <v>0</v>
      </c>
      <c r="E8" s="48">
        <f>SUMIF('数据-基础表'!BB10:BK10,"地上",'数据-基础表'!BB5:BK5)</f>
        <v>2414.4300000000003</v>
      </c>
      <c r="F8" s="2659"/>
      <c r="G8" s="2660"/>
      <c r="H8" s="2660"/>
      <c r="I8" s="2659"/>
      <c r="J8" s="2659"/>
      <c r="K8" s="2659"/>
      <c r="L8" s="2659"/>
      <c r="M8" s="2659"/>
      <c r="N8" s="2659"/>
      <c r="O8" s="2659"/>
      <c r="P8" s="2659"/>
    </row>
    <row r="9" spans="1:16" ht="14.4">
      <c r="A9" s="1646"/>
      <c r="B9" s="1647"/>
      <c r="C9" s="45" t="s">
        <v>1119</v>
      </c>
      <c r="D9" s="45">
        <f t="shared" si="0"/>
        <v>0</v>
      </c>
      <c r="E9" s="49">
        <v>0</v>
      </c>
      <c r="F9" s="2659"/>
      <c r="G9" s="2660"/>
      <c r="H9" s="2660"/>
      <c r="I9" s="2659"/>
      <c r="J9" s="2659"/>
      <c r="K9" s="2659"/>
      <c r="L9" s="2659"/>
      <c r="M9" s="2659"/>
      <c r="N9" s="2659"/>
      <c r="O9" s="2659"/>
      <c r="P9" s="2659"/>
    </row>
    <row r="10" spans="1:16" ht="14.4">
      <c r="A10" s="1646"/>
      <c r="B10" s="1647"/>
      <c r="C10" s="45" t="s">
        <v>1128</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ht="14.4">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ht="14.4">
      <c r="A12" s="1646"/>
      <c r="B12" s="1647"/>
      <c r="C12" s="45" t="s">
        <v>1121</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ht="14.4">
      <c r="A13" s="1646"/>
      <c r="B13" s="1647"/>
      <c r="C13" s="45" t="s">
        <v>1122</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ht="14.4">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 thickBot="1">
      <c r="A16" s="1644"/>
      <c r="B16" s="1647"/>
      <c r="C16" s="47" t="s">
        <v>1123</v>
      </c>
      <c r="D16" s="47">
        <f>SUM(D8:D15)</f>
        <v>0</v>
      </c>
      <c r="E16" s="50">
        <f>SUM(E8:E15)</f>
        <v>2414.4300000000003</v>
      </c>
      <c r="F16" s="2659"/>
      <c r="G16" s="2660"/>
      <c r="H16" s="1648" t="s">
        <v>1135</v>
      </c>
      <c r="I16" s="1649"/>
      <c r="J16" s="1139"/>
      <c r="K16" s="3665" t="s">
        <v>1135</v>
      </c>
      <c r="L16" s="3666"/>
      <c r="M16" s="3666"/>
      <c r="N16" s="3666"/>
      <c r="O16" s="3666"/>
      <c r="P16" s="3667"/>
    </row>
    <row r="17" spans="1:19" ht="14.4">
      <c r="A17" s="1650" t="s">
        <v>1136</v>
      </c>
      <c r="B17" s="1651" t="s">
        <v>1137</v>
      </c>
      <c r="C17" s="1652" t="s">
        <v>1138</v>
      </c>
      <c r="D17" s="1653" t="s">
        <v>1126</v>
      </c>
      <c r="E17" s="1654" t="s">
        <v>1127</v>
      </c>
      <c r="F17" s="1655"/>
      <c r="G17" s="1656"/>
      <c r="H17" s="1657" t="s">
        <v>1139</v>
      </c>
      <c r="I17" s="1658" t="s">
        <v>1124</v>
      </c>
      <c r="J17" s="1139"/>
      <c r="K17" s="3662" t="s">
        <v>1140</v>
      </c>
      <c r="L17" s="3663"/>
      <c r="M17" s="3664"/>
      <c r="N17" s="3662" t="s">
        <v>1141</v>
      </c>
      <c r="O17" s="3663"/>
      <c r="P17" s="3664"/>
      <c r="R17" s="1640" t="s">
        <v>1142</v>
      </c>
      <c r="S17" s="56"/>
    </row>
    <row r="18" spans="1:19" ht="14.4">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ht="14.4">
      <c r="A19" s="1667"/>
      <c r="B19" s="47" t="s">
        <v>1125</v>
      </c>
      <c r="C19" s="3417" t="s">
        <v>3677</v>
      </c>
      <c r="D19" s="45">
        <f>ROUND($D$3*E19/$E$3,2)</f>
        <v>0</v>
      </c>
      <c r="E19" s="53">
        <f t="shared" ref="E19:E26" si="1">SUM(F19:G19)</f>
        <v>1078.0900000000001</v>
      </c>
      <c r="F19" s="2795">
        <f>'数据-基础表'!I13</f>
        <v>1078.0900000000001</v>
      </c>
      <c r="G19" s="2796"/>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1078.0900000000001</v>
      </c>
    </row>
    <row r="20" spans="1:19" ht="14.4">
      <c r="A20" s="1670"/>
      <c r="B20" s="47" t="s">
        <v>1153</v>
      </c>
      <c r="C20" s="3417" t="s">
        <v>3678</v>
      </c>
      <c r="D20" s="45">
        <f t="shared" ref="D20:D26" si="6">ROUND($D$3*E20/$E$3,2)</f>
        <v>0</v>
      </c>
      <c r="E20" s="53">
        <f t="shared" si="1"/>
        <v>1336.34</v>
      </c>
      <c r="F20" s="2795">
        <f>'数据-基础表'!K13</f>
        <v>1336.34</v>
      </c>
      <c r="G20" s="2796"/>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1336.34</v>
      </c>
    </row>
    <row r="21" spans="1:19" ht="14.4">
      <c r="A21" s="1670"/>
      <c r="B21" s="47" t="s">
        <v>1153</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ht="14.4">
      <c r="A22" s="1670"/>
      <c r="B22" s="47" t="s">
        <v>1153</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ht="14.4">
      <c r="A23" s="1670"/>
      <c r="B23" s="47" t="s">
        <v>1153</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ht="14.4">
      <c r="A24" s="1670"/>
      <c r="B24" s="47" t="s">
        <v>1153</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ht="14.4">
      <c r="A25" s="1670"/>
      <c r="B25" s="47" t="s">
        <v>1153</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ht="14.4">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 thickBot="1">
      <c r="A27" s="1670"/>
      <c r="B27" s="45"/>
      <c r="C27" s="1673" t="s">
        <v>1154</v>
      </c>
      <c r="D27" s="1140">
        <f>SUM(D19:D26)</f>
        <v>0</v>
      </c>
      <c r="E27" s="1141">
        <f>IF(SUM(E19:E26)='数据-基础表'!BA5,SUM(E19:E26),IF(F27="地上面积有误","面积有误","地下面积有误"))</f>
        <v>2414.4300000000003</v>
      </c>
      <c r="F27" s="1140">
        <f>IF(SUM(F19:F26)=E8,SUM(F19:F26),"地上面积有误")</f>
        <v>2414.4300000000003</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2414.4300000000003</v>
      </c>
    </row>
    <row r="28" spans="1:19" ht="14.4">
      <c r="A28" s="1670"/>
      <c r="B28" s="47" t="s">
        <v>1155</v>
      </c>
      <c r="C28" s="1038" t="s">
        <v>1156</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ht="14.4">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4.4">
      <c r="A30" s="1670"/>
      <c r="B30" s="47"/>
      <c r="C30" s="1675" t="s">
        <v>1154</v>
      </c>
      <c r="D30" s="1140">
        <f>SUM(D28:D29)</f>
        <v>0</v>
      </c>
      <c r="E30" s="1140">
        <f>SUM(E28:E29)</f>
        <v>0</v>
      </c>
      <c r="F30" s="1140">
        <f>SUM(F28:F29)</f>
        <v>0</v>
      </c>
      <c r="G30" s="1142">
        <f>SUM(G28:G29)</f>
        <v>0</v>
      </c>
      <c r="H30" s="2659"/>
      <c r="I30" s="2659"/>
      <c r="J30" s="2659"/>
      <c r="K30" s="2659"/>
      <c r="L30" s="2659"/>
      <c r="M30" s="2659"/>
      <c r="N30" s="2659"/>
      <c r="O30" s="2659"/>
      <c r="P30" s="2659"/>
    </row>
    <row r="31" spans="1:19" ht="15" thickBot="1">
      <c r="A31" s="1676"/>
      <c r="B31" s="1677"/>
      <c r="C31" s="835" t="s">
        <v>1158</v>
      </c>
      <c r="D31" s="676">
        <f>D27+D30</f>
        <v>0</v>
      </c>
      <c r="E31" s="676">
        <f>E27+E30</f>
        <v>2414.4300000000003</v>
      </c>
      <c r="F31" s="677">
        <f>F27+F30</f>
        <v>2414.4300000000003</v>
      </c>
      <c r="G31" s="678">
        <f>G27+G30</f>
        <v>0</v>
      </c>
      <c r="H31" s="2659"/>
      <c r="I31" s="2659"/>
      <c r="J31" s="2659"/>
      <c r="K31" s="2659"/>
      <c r="L31" s="2659"/>
      <c r="M31" s="2659"/>
      <c r="N31" s="2659"/>
      <c r="O31" s="2659"/>
      <c r="P31" s="2659"/>
    </row>
    <row r="32" spans="1:19" ht="14.4">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19" priority="1" stopIfTrue="1" operator="containsText" text="面积有误">
      <formula>NOT(ISERROR(SEARCH("面积有误",E27)))</formula>
    </cfRule>
    <cfRule type="cellIs" dxfId="218" priority="3" stopIfTrue="1" operator="equal">
      <formula>"地下面积有误"</formula>
    </cfRule>
  </conditionalFormatting>
  <conditionalFormatting sqref="F27">
    <cfRule type="cellIs" dxfId="21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
  <sheetViews>
    <sheetView workbookViewId="0">
      <selection sqref="A1:L59"/>
    </sheetView>
  </sheetViews>
  <sheetFormatPr defaultRowHeight="14.4"/>
  <sheetData/>
  <phoneticPr fontId="134"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C1:M21"/>
  <sheetViews>
    <sheetView tabSelected="1" workbookViewId="0">
      <selection activeCell="G38" sqref="G38"/>
    </sheetView>
  </sheetViews>
  <sheetFormatPr defaultRowHeight="14.4"/>
  <cols>
    <col min="4" max="4" width="11.44140625" customWidth="1"/>
    <col min="6" max="6" width="15.21875" customWidth="1"/>
    <col min="7" max="7" width="16.33203125" customWidth="1"/>
    <col min="8" max="8" width="19.44140625" customWidth="1"/>
    <col min="9" max="9" width="13.5546875" customWidth="1"/>
  </cols>
  <sheetData>
    <row r="1" spans="3:13">
      <c r="C1" s="3456" t="s">
        <v>3765</v>
      </c>
      <c r="D1" s="3456" t="s">
        <v>3763</v>
      </c>
      <c r="E1" s="3456"/>
      <c r="F1" s="3456"/>
      <c r="H1" s="3456" t="s">
        <v>3767</v>
      </c>
      <c r="I1" s="3456" t="s">
        <v>3766</v>
      </c>
      <c r="J1" s="3456"/>
      <c r="K1" s="3456"/>
      <c r="L1" s="3456"/>
      <c r="M1" s="3456"/>
    </row>
    <row r="2" spans="3:13">
      <c r="C2" s="3576" t="s">
        <v>3764</v>
      </c>
      <c r="D2" s="3456" t="s">
        <v>2816</v>
      </c>
      <c r="H2" s="3456" t="s">
        <v>3768</v>
      </c>
      <c r="I2" s="3456" t="s">
        <v>3769</v>
      </c>
      <c r="J2" s="3456">
        <f>ROUND(7.6*1.02,2)</f>
        <v>7.75</v>
      </c>
    </row>
    <row r="3" spans="3:13">
      <c r="D3">
        <f>'收益法倒推租金-办公'!D38:F38</f>
        <v>7.6</v>
      </c>
      <c r="I3" s="3456" t="s">
        <v>3770</v>
      </c>
      <c r="J3" s="3456">
        <v>7.6</v>
      </c>
    </row>
    <row r="4" spans="3:13">
      <c r="D4" s="3456" t="s">
        <v>3682</v>
      </c>
      <c r="E4" s="3456" t="s">
        <v>3388</v>
      </c>
      <c r="F4" s="3456" t="s">
        <v>3762</v>
      </c>
      <c r="I4" s="3456" t="s">
        <v>3874</v>
      </c>
      <c r="J4" s="3456">
        <f>ROUND(J3*0.98,2)</f>
        <v>7.45</v>
      </c>
    </row>
    <row r="5" spans="3:13">
      <c r="C5" s="3456" t="s">
        <v>3876</v>
      </c>
      <c r="D5">
        <f>D6*0.85</f>
        <v>9.7750000000000004</v>
      </c>
      <c r="E5">
        <f>F13</f>
        <v>734.88</v>
      </c>
      <c r="F5" s="3683">
        <f>ROUND((D5*E5+D6*E6+D7*E7)/(E5+E6+E7),2)</f>
        <v>9.2200000000000006</v>
      </c>
      <c r="J5" s="3456"/>
    </row>
    <row r="6" spans="3:13">
      <c r="C6" s="3456" t="s">
        <v>3877</v>
      </c>
      <c r="D6">
        <f>'收益法倒推租金-商业'!D38:F38</f>
        <v>11.5</v>
      </c>
      <c r="E6">
        <f>F14</f>
        <v>1863.16</v>
      </c>
      <c r="F6" s="3683"/>
    </row>
    <row r="7" spans="3:13">
      <c r="C7" s="3456" t="s">
        <v>3761</v>
      </c>
      <c r="D7">
        <f>D6*0.65</f>
        <v>7.4750000000000005</v>
      </c>
      <c r="E7">
        <f>F12</f>
        <v>2671.28</v>
      </c>
      <c r="F7" s="3683"/>
    </row>
    <row r="8" spans="3:13">
      <c r="E8">
        <f>SUM(E5:E7)</f>
        <v>5269.32</v>
      </c>
    </row>
    <row r="9" spans="3:13" ht="15" thickBot="1"/>
    <row r="10" spans="3:13" ht="25.8" thickTop="1">
      <c r="C10" s="3584" t="s">
        <v>3859</v>
      </c>
      <c r="D10" s="3684" t="s">
        <v>3861</v>
      </c>
      <c r="E10" s="3684" t="s">
        <v>3819</v>
      </c>
      <c r="F10" s="3684" t="s">
        <v>3812</v>
      </c>
      <c r="G10" s="3684" t="s">
        <v>3862</v>
      </c>
    </row>
    <row r="11" spans="3:13">
      <c r="C11" s="3585" t="s">
        <v>3860</v>
      </c>
      <c r="D11" s="3679"/>
      <c r="E11" s="3679"/>
      <c r="F11" s="3679"/>
      <c r="G11" s="3679"/>
    </row>
    <row r="12" spans="3:13">
      <c r="C12" s="3677" t="s">
        <v>3863</v>
      </c>
      <c r="D12" s="3586" t="s">
        <v>3818</v>
      </c>
      <c r="E12" s="3587" t="s">
        <v>673</v>
      </c>
      <c r="F12" s="3586">
        <v>2671.28</v>
      </c>
      <c r="G12" s="3586">
        <v>7.48</v>
      </c>
      <c r="H12">
        <f>F12*G12</f>
        <v>19981.174400000004</v>
      </c>
      <c r="I12" s="3683">
        <f>ROUND((H12+H13+H14)/(F12+F13+F14),2)</f>
        <v>9.2200000000000006</v>
      </c>
      <c r="K12" s="3456" t="s">
        <v>3875</v>
      </c>
    </row>
    <row r="13" spans="3:13">
      <c r="C13" s="3678"/>
      <c r="D13" s="3586">
        <v>1</v>
      </c>
      <c r="E13" s="3587" t="s">
        <v>673</v>
      </c>
      <c r="F13" s="3586">
        <v>734.88</v>
      </c>
      <c r="G13" s="3586">
        <v>9.7799999999999994</v>
      </c>
      <c r="H13">
        <f t="shared" ref="H13:H16" si="0">F13*G13</f>
        <v>7187.1263999999992</v>
      </c>
      <c r="I13" s="3683"/>
      <c r="K13">
        <v>2</v>
      </c>
    </row>
    <row r="14" spans="3:13">
      <c r="C14" s="3678"/>
      <c r="D14" s="3586" t="s">
        <v>3784</v>
      </c>
      <c r="E14" s="3587" t="s">
        <v>673</v>
      </c>
      <c r="F14" s="3586">
        <v>1863.16</v>
      </c>
      <c r="G14" s="3586">
        <f>D6</f>
        <v>11.5</v>
      </c>
      <c r="H14">
        <f t="shared" si="0"/>
        <v>21426.34</v>
      </c>
      <c r="I14" s="3683"/>
      <c r="K14">
        <v>1</v>
      </c>
    </row>
    <row r="15" spans="3:13">
      <c r="C15" s="3678"/>
      <c r="D15" s="3586" t="s">
        <v>3872</v>
      </c>
      <c r="E15" s="3587" t="s">
        <v>21</v>
      </c>
      <c r="F15" s="3586">
        <v>18327.759999999998</v>
      </c>
      <c r="G15" s="3586">
        <v>7.6</v>
      </c>
      <c r="H15">
        <f t="shared" si="0"/>
        <v>139290.976</v>
      </c>
      <c r="I15" s="3683">
        <f>ROUND((H15+H16)/(F15+F16),2)</f>
        <v>7.67</v>
      </c>
    </row>
    <row r="16" spans="3:13">
      <c r="C16" s="3679"/>
      <c r="D16" s="3586" t="s">
        <v>3873</v>
      </c>
      <c r="E16" s="3587" t="s">
        <v>21</v>
      </c>
      <c r="F16" s="3586">
        <v>14503.91</v>
      </c>
      <c r="G16" s="3586">
        <f>ROUND(G15*1.02,2)</f>
        <v>7.75</v>
      </c>
      <c r="H16">
        <f t="shared" si="0"/>
        <v>112405.30250000001</v>
      </c>
      <c r="I16" s="3683"/>
    </row>
    <row r="17" spans="3:9" ht="15" thickBot="1">
      <c r="C17" s="3680" t="s">
        <v>3815</v>
      </c>
      <c r="D17" s="3681"/>
      <c r="E17" s="3682"/>
      <c r="F17" s="3588">
        <v>38100.99</v>
      </c>
      <c r="G17" s="3588" t="s">
        <v>3814</v>
      </c>
    </row>
    <row r="18" spans="3:9" ht="15" thickTop="1">
      <c r="I18">
        <f>ROUND((H15+H16)/(F15+F16),2)</f>
        <v>7.67</v>
      </c>
    </row>
    <row r="21" spans="3:9">
      <c r="G21">
        <f>F15+F16</f>
        <v>32831.67</v>
      </c>
    </row>
  </sheetData>
  <mergeCells count="9">
    <mergeCell ref="C12:C16"/>
    <mergeCell ref="C17:E17"/>
    <mergeCell ref="I12:I14"/>
    <mergeCell ref="I15:I16"/>
    <mergeCell ref="F5:F7"/>
    <mergeCell ref="D10:D11"/>
    <mergeCell ref="E10:E11"/>
    <mergeCell ref="F10:F11"/>
    <mergeCell ref="G10:G11"/>
  </mergeCells>
  <phoneticPr fontId="134" type="noConversion"/>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40"/>
  <sheetViews>
    <sheetView workbookViewId="0">
      <selection activeCell="F5" sqref="F5"/>
    </sheetView>
  </sheetViews>
  <sheetFormatPr defaultRowHeight="14.4"/>
  <cols>
    <col min="3" max="3" width="12.33203125" customWidth="1"/>
    <col min="4" max="4" width="10.44140625" customWidth="1"/>
    <col min="6" max="6" width="16" customWidth="1"/>
  </cols>
  <sheetData>
    <row r="1" spans="1:6" ht="15" thickBot="1">
      <c r="A1" s="3583" t="s">
        <v>3856</v>
      </c>
      <c r="B1" s="3583" t="s">
        <v>3820</v>
      </c>
      <c r="C1" s="3583" t="s">
        <v>3821</v>
      </c>
      <c r="D1" s="3583" t="s">
        <v>3817</v>
      </c>
      <c r="E1" s="3583" t="s">
        <v>3823</v>
      </c>
      <c r="F1" s="3583" t="s">
        <v>3822</v>
      </c>
    </row>
    <row r="2" spans="1:6" ht="15" thickBot="1">
      <c r="A2" s="3583" t="s">
        <v>3857</v>
      </c>
      <c r="B2" s="3583" t="s">
        <v>3824</v>
      </c>
      <c r="C2" s="3583" t="s">
        <v>3852</v>
      </c>
      <c r="D2" s="3583" t="s">
        <v>3825</v>
      </c>
      <c r="E2" s="3583" t="s">
        <v>3826</v>
      </c>
      <c r="F2" s="3583">
        <f>面积!V45</f>
        <v>2671.2799999999993</v>
      </c>
    </row>
    <row r="3" spans="1:6" ht="15" thickBot="1">
      <c r="A3" s="3685" t="s">
        <v>3854</v>
      </c>
      <c r="B3" s="3583">
        <v>1</v>
      </c>
      <c r="C3" s="3583" t="s">
        <v>3851</v>
      </c>
      <c r="D3" s="3583" t="s">
        <v>3825</v>
      </c>
      <c r="E3" s="3583" t="s">
        <v>3826</v>
      </c>
      <c r="F3" s="3583">
        <v>734.88</v>
      </c>
    </row>
    <row r="4" spans="1:6" ht="15" thickBot="1">
      <c r="A4" s="3686"/>
      <c r="B4" s="3583" t="s">
        <v>3858</v>
      </c>
      <c r="C4" s="3583" t="s">
        <v>3827</v>
      </c>
      <c r="D4" s="3583" t="s">
        <v>3825</v>
      </c>
      <c r="E4" s="3583" t="s">
        <v>3826</v>
      </c>
      <c r="F4" s="3583">
        <v>1863.16</v>
      </c>
    </row>
    <row r="5" spans="1:6" ht="15" thickBot="1">
      <c r="A5" s="3686"/>
      <c r="B5" s="3583">
        <v>3</v>
      </c>
      <c r="C5" s="3583" t="s">
        <v>3828</v>
      </c>
      <c r="D5" s="3583" t="s">
        <v>3825</v>
      </c>
      <c r="E5" s="3583" t="s">
        <v>3825</v>
      </c>
      <c r="F5" s="3583">
        <v>1002.32</v>
      </c>
    </row>
    <row r="6" spans="1:6" ht="15" thickBot="1">
      <c r="A6" s="3686"/>
      <c r="B6" s="3583">
        <v>4</v>
      </c>
      <c r="C6" s="3583" t="s">
        <v>3829</v>
      </c>
      <c r="D6" s="3583" t="s">
        <v>3825</v>
      </c>
      <c r="E6" s="3583" t="s">
        <v>3825</v>
      </c>
      <c r="F6" s="3583">
        <v>1320.97</v>
      </c>
    </row>
    <row r="7" spans="1:6" ht="15" thickBot="1">
      <c r="A7" s="3686"/>
      <c r="B7" s="3583">
        <v>5</v>
      </c>
      <c r="C7" s="3583" t="s">
        <v>3830</v>
      </c>
      <c r="D7" s="3583" t="s">
        <v>3825</v>
      </c>
      <c r="E7" s="3583" t="s">
        <v>3825</v>
      </c>
      <c r="F7" s="3583">
        <v>1488.24</v>
      </c>
    </row>
    <row r="8" spans="1:6" ht="15" thickBot="1">
      <c r="A8" s="3686"/>
      <c r="B8" s="3583">
        <v>6</v>
      </c>
      <c r="C8" s="3583" t="s">
        <v>3831</v>
      </c>
      <c r="D8" s="3583" t="s">
        <v>3825</v>
      </c>
      <c r="E8" s="3583" t="s">
        <v>3825</v>
      </c>
      <c r="F8" s="3583">
        <v>1435.93</v>
      </c>
    </row>
    <row r="9" spans="1:6" ht="15" thickBot="1">
      <c r="A9" s="3686"/>
      <c r="B9" s="3583">
        <v>7</v>
      </c>
      <c r="C9" s="3583" t="s">
        <v>3832</v>
      </c>
      <c r="D9" s="3583" t="s">
        <v>3825</v>
      </c>
      <c r="E9" s="3583" t="s">
        <v>3825</v>
      </c>
      <c r="F9" s="3583">
        <v>1435.93</v>
      </c>
    </row>
    <row r="10" spans="1:6" ht="15" thickBot="1">
      <c r="A10" s="3686"/>
      <c r="B10" s="3583">
        <v>8</v>
      </c>
      <c r="C10" s="3583" t="s">
        <v>3833</v>
      </c>
      <c r="D10" s="3583" t="s">
        <v>3825</v>
      </c>
      <c r="E10" s="3583" t="s">
        <v>3825</v>
      </c>
      <c r="F10" s="3583">
        <v>1488.24</v>
      </c>
    </row>
    <row r="11" spans="1:6" ht="15" thickBot="1">
      <c r="A11" s="3686"/>
      <c r="B11" s="3583">
        <v>9</v>
      </c>
      <c r="C11" s="3583" t="s">
        <v>3834</v>
      </c>
      <c r="D11" s="3583" t="s">
        <v>3825</v>
      </c>
      <c r="E11" s="3583" t="s">
        <v>3825</v>
      </c>
      <c r="F11" s="3583">
        <v>1435.93</v>
      </c>
    </row>
    <row r="12" spans="1:6" ht="15" thickBot="1">
      <c r="A12" s="3686"/>
      <c r="B12" s="3583">
        <v>10</v>
      </c>
      <c r="C12" s="3583" t="s">
        <v>3835</v>
      </c>
      <c r="D12" s="3583" t="s">
        <v>3825</v>
      </c>
      <c r="E12" s="3583" t="s">
        <v>3825</v>
      </c>
      <c r="F12" s="3583">
        <v>1435.93</v>
      </c>
    </row>
    <row r="13" spans="1:6" ht="15" thickBot="1">
      <c r="A13" s="3686"/>
      <c r="B13" s="3583">
        <v>11</v>
      </c>
      <c r="C13" s="3583" t="s">
        <v>3836</v>
      </c>
      <c r="D13" s="3583" t="s">
        <v>3825</v>
      </c>
      <c r="E13" s="3583" t="s">
        <v>3825</v>
      </c>
      <c r="F13" s="3583">
        <v>1488.24</v>
      </c>
    </row>
    <row r="14" spans="1:6" ht="15" thickBot="1">
      <c r="A14" s="3686"/>
      <c r="B14" s="3583">
        <v>12</v>
      </c>
      <c r="C14" s="3583" t="s">
        <v>3837</v>
      </c>
      <c r="D14" s="3583" t="s">
        <v>3825</v>
      </c>
      <c r="E14" s="3583" t="s">
        <v>3825</v>
      </c>
      <c r="F14" s="3583">
        <v>1435.93</v>
      </c>
    </row>
    <row r="15" spans="1:6" ht="15" thickBot="1">
      <c r="A15" s="3686"/>
      <c r="B15" s="3589">
        <v>13</v>
      </c>
      <c r="C15" s="3589" t="s">
        <v>3838</v>
      </c>
      <c r="D15" s="3589" t="s">
        <v>3825</v>
      </c>
      <c r="E15" s="3589" t="s">
        <v>3825</v>
      </c>
      <c r="F15" s="3589">
        <v>1435.93</v>
      </c>
    </row>
    <row r="16" spans="1:6" ht="15" thickBot="1">
      <c r="A16" s="3686"/>
      <c r="B16" s="3583">
        <v>14</v>
      </c>
      <c r="C16" s="3583" t="s">
        <v>3839</v>
      </c>
      <c r="D16" s="3583" t="s">
        <v>3768</v>
      </c>
      <c r="E16" s="3583" t="s">
        <v>3768</v>
      </c>
      <c r="F16" s="3583">
        <v>1488.24</v>
      </c>
    </row>
    <row r="17" spans="1:8" ht="15" thickBot="1">
      <c r="A17" s="3686"/>
      <c r="B17" s="3583">
        <v>15</v>
      </c>
      <c r="C17" s="3583" t="s">
        <v>3840</v>
      </c>
      <c r="D17" s="3583" t="s">
        <v>3825</v>
      </c>
      <c r="E17" s="3583" t="s">
        <v>3825</v>
      </c>
      <c r="F17" s="3583">
        <v>1435.93</v>
      </c>
      <c r="G17">
        <f>SUM(F5:F17)</f>
        <v>18327.760000000002</v>
      </c>
    </row>
    <row r="18" spans="1:8" ht="15" thickBot="1">
      <c r="A18" s="3686"/>
      <c r="B18" s="3583">
        <v>16</v>
      </c>
      <c r="C18" s="3583" t="s">
        <v>3841</v>
      </c>
      <c r="D18" s="3583" t="s">
        <v>3768</v>
      </c>
      <c r="E18" s="3583" t="s">
        <v>3825</v>
      </c>
      <c r="F18" s="3583">
        <v>1435.93</v>
      </c>
    </row>
    <row r="19" spans="1:8" ht="15" thickBot="1">
      <c r="A19" s="3686"/>
      <c r="B19" s="3583">
        <v>17</v>
      </c>
      <c r="C19" s="3583" t="s">
        <v>3842</v>
      </c>
      <c r="D19" s="3583" t="s">
        <v>3825</v>
      </c>
      <c r="E19" s="3583" t="s">
        <v>3825</v>
      </c>
      <c r="F19" s="3583">
        <v>1488.24</v>
      </c>
    </row>
    <row r="20" spans="1:8" ht="15" thickBot="1">
      <c r="A20" s="3686"/>
      <c r="B20" s="3583">
        <v>18</v>
      </c>
      <c r="C20" s="3583" t="s">
        <v>3843</v>
      </c>
      <c r="D20" s="3583" t="s">
        <v>3768</v>
      </c>
      <c r="E20" s="3583" t="s">
        <v>3768</v>
      </c>
      <c r="F20" s="3583">
        <v>1435.93</v>
      </c>
    </row>
    <row r="21" spans="1:8" ht="15" thickBot="1">
      <c r="A21" s="3686"/>
      <c r="B21" s="3583">
        <v>19</v>
      </c>
      <c r="C21" s="3583" t="s">
        <v>3844</v>
      </c>
      <c r="D21" s="3583" t="s">
        <v>3768</v>
      </c>
      <c r="E21" s="3583" t="s">
        <v>3768</v>
      </c>
      <c r="F21" s="3583">
        <v>1435.93</v>
      </c>
    </row>
    <row r="22" spans="1:8" ht="15" thickBot="1">
      <c r="A22" s="3686"/>
      <c r="B22" s="3583">
        <v>20</v>
      </c>
      <c r="C22" s="3583" t="s">
        <v>3845</v>
      </c>
      <c r="D22" s="3583" t="s">
        <v>3768</v>
      </c>
      <c r="E22" s="3583" t="s">
        <v>3768</v>
      </c>
      <c r="F22" s="3583">
        <v>1488.24</v>
      </c>
    </row>
    <row r="23" spans="1:8" ht="15" thickBot="1">
      <c r="A23" s="3686"/>
      <c r="B23" s="3583">
        <v>21</v>
      </c>
      <c r="C23" s="3583" t="s">
        <v>3846</v>
      </c>
      <c r="D23" s="3583" t="s">
        <v>3768</v>
      </c>
      <c r="E23" s="3583" t="s">
        <v>3768</v>
      </c>
      <c r="F23" s="3583">
        <v>1435.93</v>
      </c>
    </row>
    <row r="24" spans="1:8" ht="15" thickBot="1">
      <c r="A24" s="3686"/>
      <c r="B24" s="3583">
        <v>22</v>
      </c>
      <c r="C24" s="3583" t="s">
        <v>3847</v>
      </c>
      <c r="D24" s="3583" t="s">
        <v>3768</v>
      </c>
      <c r="E24" s="3583" t="s">
        <v>3768</v>
      </c>
      <c r="F24" s="3583">
        <v>1435.93</v>
      </c>
    </row>
    <row r="25" spans="1:8" ht="15" thickBot="1">
      <c r="A25" s="3686"/>
      <c r="B25" s="3583">
        <v>23</v>
      </c>
      <c r="C25" s="3583" t="s">
        <v>3848</v>
      </c>
      <c r="D25" s="3583" t="s">
        <v>3768</v>
      </c>
      <c r="E25" s="3583" t="s">
        <v>3768</v>
      </c>
      <c r="F25" s="3583">
        <v>1488.24</v>
      </c>
    </row>
    <row r="26" spans="1:8" ht="15" thickBot="1">
      <c r="A26" s="3686"/>
      <c r="B26" s="3583">
        <v>24</v>
      </c>
      <c r="C26" s="3583" t="s">
        <v>3849</v>
      </c>
      <c r="D26" s="3583" t="s">
        <v>3768</v>
      </c>
      <c r="E26" s="3583" t="s">
        <v>3768</v>
      </c>
      <c r="F26" s="3583">
        <v>1429.77</v>
      </c>
    </row>
    <row r="27" spans="1:8" ht="15" thickBot="1">
      <c r="A27" s="3686"/>
      <c r="B27" s="3583">
        <v>25</v>
      </c>
      <c r="C27" s="3583" t="s">
        <v>3816</v>
      </c>
      <c r="D27" s="3583" t="s">
        <v>3768</v>
      </c>
      <c r="E27" s="3583" t="s">
        <v>3768</v>
      </c>
      <c r="F27" s="3583">
        <v>1429.77</v>
      </c>
      <c r="G27">
        <f>SUM(F18:F27)</f>
        <v>14503.910000000002</v>
      </c>
      <c r="H27">
        <f>G17+G27</f>
        <v>32831.670000000006</v>
      </c>
    </row>
    <row r="28" spans="1:8" ht="15" thickBot="1">
      <c r="A28" s="3687"/>
      <c r="B28" s="3583" t="s">
        <v>3855</v>
      </c>
      <c r="C28" s="3583" t="s">
        <v>3850</v>
      </c>
      <c r="D28" s="3583" t="s">
        <v>3850</v>
      </c>
      <c r="E28" s="3583" t="s">
        <v>3850</v>
      </c>
      <c r="F28" s="3583">
        <f>SUM(F3:F27)</f>
        <v>35429.710000000006</v>
      </c>
    </row>
    <row r="29" spans="1:8" ht="15" thickBot="1">
      <c r="A29" s="3688" t="s">
        <v>3853</v>
      </c>
      <c r="B29" s="3688"/>
      <c r="C29" s="3688"/>
      <c r="D29" s="3688"/>
      <c r="E29" s="3689"/>
      <c r="F29" s="3583">
        <f>SUM(F2:F27)</f>
        <v>38100.99</v>
      </c>
    </row>
    <row r="31" spans="1:8" ht="15" thickBot="1"/>
    <row r="32" spans="1:8" ht="25.8" thickTop="1">
      <c r="A32" s="3584" t="s">
        <v>3859</v>
      </c>
      <c r="B32" s="3684" t="s">
        <v>3861</v>
      </c>
      <c r="C32" s="3684" t="s">
        <v>3819</v>
      </c>
      <c r="D32" s="3684" t="s">
        <v>3812</v>
      </c>
      <c r="E32" s="3684" t="s">
        <v>3862</v>
      </c>
    </row>
    <row r="33" spans="1:5">
      <c r="A33" s="3585" t="s">
        <v>3860</v>
      </c>
      <c r="B33" s="3679"/>
      <c r="C33" s="3679"/>
      <c r="D33" s="3679"/>
      <c r="E33" s="3679"/>
    </row>
    <row r="34" spans="1:5">
      <c r="A34" s="3677" t="s">
        <v>3863</v>
      </c>
      <c r="B34" s="3586" t="s">
        <v>3818</v>
      </c>
      <c r="C34" s="3587" t="s">
        <v>673</v>
      </c>
      <c r="D34" s="3586">
        <f>F2</f>
        <v>2671.2799999999993</v>
      </c>
      <c r="E34" s="3586"/>
    </row>
    <row r="35" spans="1:5">
      <c r="A35" s="3678"/>
      <c r="B35" s="3586">
        <v>1</v>
      </c>
      <c r="C35" s="3587" t="s">
        <v>673</v>
      </c>
      <c r="D35" s="3586">
        <f>F3</f>
        <v>734.88</v>
      </c>
      <c r="E35" s="3586"/>
    </row>
    <row r="36" spans="1:5">
      <c r="A36" s="3678"/>
      <c r="B36" s="3586" t="s">
        <v>3784</v>
      </c>
      <c r="C36" s="3587" t="s">
        <v>673</v>
      </c>
      <c r="D36" s="3586">
        <f>F4</f>
        <v>1863.16</v>
      </c>
      <c r="E36" s="3586"/>
    </row>
    <row r="37" spans="1:5" ht="25.2">
      <c r="A37" s="3678"/>
      <c r="B37" s="3586" t="s">
        <v>3864</v>
      </c>
      <c r="C37" s="3587" t="s">
        <v>21</v>
      </c>
      <c r="D37" s="3586">
        <f>SUM(F5:F17)</f>
        <v>18327.760000000002</v>
      </c>
      <c r="E37" s="3586"/>
    </row>
    <row r="38" spans="1:5" ht="25.2">
      <c r="A38" s="3679"/>
      <c r="B38" s="3586" t="s">
        <v>3865</v>
      </c>
      <c r="C38" s="3587" t="s">
        <v>21</v>
      </c>
      <c r="D38" s="3586">
        <f>SUM(F18:F27)</f>
        <v>14503.910000000002</v>
      </c>
      <c r="E38" s="3586"/>
    </row>
    <row r="39" spans="1:5" ht="15" thickBot="1">
      <c r="A39" s="3680" t="s">
        <v>3815</v>
      </c>
      <c r="B39" s="3681"/>
      <c r="C39" s="3682"/>
      <c r="D39" s="3588">
        <f>SUM(D34:D38)</f>
        <v>38100.990000000005</v>
      </c>
      <c r="E39" s="3588" t="s">
        <v>3814</v>
      </c>
    </row>
    <row r="40" spans="1:5" ht="15" thickTop="1"/>
  </sheetData>
  <mergeCells count="8">
    <mergeCell ref="E32:E33"/>
    <mergeCell ref="A34:A38"/>
    <mergeCell ref="A39:C39"/>
    <mergeCell ref="A3:A28"/>
    <mergeCell ref="A29:E29"/>
    <mergeCell ref="B32:B33"/>
    <mergeCell ref="C32:C33"/>
    <mergeCell ref="D32:D33"/>
  </mergeCells>
  <phoneticPr fontId="134"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58"/>
  <sheetViews>
    <sheetView workbookViewId="0">
      <selection activeCell="H13" sqref="H13"/>
    </sheetView>
  </sheetViews>
  <sheetFormatPr defaultRowHeight="14.4"/>
  <sheetData>
    <row r="1" spans="1:9">
      <c r="A1" s="3578" t="s">
        <v>3563</v>
      </c>
      <c r="B1" s="3579"/>
      <c r="I1" s="3456" t="s">
        <v>3786</v>
      </c>
    </row>
    <row r="2" spans="1:9">
      <c r="A2" s="3578" t="s">
        <v>3564</v>
      </c>
      <c r="B2" s="3579">
        <v>285.33</v>
      </c>
      <c r="I2" s="3456" t="s">
        <v>3785</v>
      </c>
    </row>
    <row r="3" spans="1:9">
      <c r="A3" s="3578" t="s">
        <v>3771</v>
      </c>
      <c r="B3" s="3579">
        <v>135.06</v>
      </c>
      <c r="I3">
        <v>1</v>
      </c>
    </row>
    <row r="4" spans="1:9">
      <c r="A4" s="3578" t="s">
        <v>3566</v>
      </c>
      <c r="B4" s="3579">
        <v>646.01</v>
      </c>
      <c r="I4">
        <v>2</v>
      </c>
    </row>
    <row r="5" spans="1:9">
      <c r="A5" s="3578" t="s">
        <v>3567</v>
      </c>
      <c r="B5" s="3579">
        <v>796.76</v>
      </c>
      <c r="I5">
        <v>3</v>
      </c>
    </row>
    <row r="6" spans="1:9">
      <c r="A6" s="3578" t="s">
        <v>3568</v>
      </c>
      <c r="B6" s="3579"/>
      <c r="I6">
        <v>5</v>
      </c>
    </row>
    <row r="7" spans="1:9">
      <c r="A7" s="3578" t="s">
        <v>3569</v>
      </c>
      <c r="B7" s="3579">
        <v>321.22000000000003</v>
      </c>
      <c r="I7">
        <v>6</v>
      </c>
    </row>
    <row r="8" spans="1:9">
      <c r="A8" s="3578" t="s">
        <v>3570</v>
      </c>
      <c r="B8" s="3579">
        <v>413.66</v>
      </c>
      <c r="I8">
        <v>7</v>
      </c>
    </row>
    <row r="9" spans="1:9">
      <c r="A9" s="3578" t="s">
        <v>3571</v>
      </c>
      <c r="B9" s="3579"/>
      <c r="I9">
        <v>8</v>
      </c>
    </row>
    <row r="10" spans="1:9">
      <c r="A10" s="3578" t="s">
        <v>3572</v>
      </c>
      <c r="B10" s="3579">
        <v>1002.32</v>
      </c>
      <c r="I10">
        <v>9</v>
      </c>
    </row>
    <row r="11" spans="1:9">
      <c r="A11" s="3578" t="s">
        <v>3573</v>
      </c>
      <c r="B11" s="3579"/>
      <c r="I11">
        <v>10</v>
      </c>
    </row>
    <row r="12" spans="1:9">
      <c r="A12" s="3578" t="s">
        <v>3574</v>
      </c>
      <c r="B12" s="3579">
        <v>1320.97</v>
      </c>
      <c r="I12">
        <v>11</v>
      </c>
    </row>
    <row r="13" spans="1:9">
      <c r="A13" s="3578" t="s">
        <v>3575</v>
      </c>
      <c r="B13" s="3579"/>
      <c r="I13">
        <v>12</v>
      </c>
    </row>
    <row r="14" spans="1:9">
      <c r="A14" s="3578" t="s">
        <v>3576</v>
      </c>
      <c r="B14" s="3579">
        <v>1488.24</v>
      </c>
      <c r="I14">
        <v>15</v>
      </c>
    </row>
    <row r="15" spans="1:9">
      <c r="A15" s="3578" t="s">
        <v>3577</v>
      </c>
      <c r="B15" s="3579"/>
      <c r="I15">
        <v>16</v>
      </c>
    </row>
    <row r="16" spans="1:9">
      <c r="A16" s="3578" t="s">
        <v>3578</v>
      </c>
      <c r="B16" s="3579">
        <v>1435.93</v>
      </c>
      <c r="I16">
        <v>17</v>
      </c>
    </row>
    <row r="17" spans="1:9">
      <c r="A17" s="3578" t="s">
        <v>3579</v>
      </c>
      <c r="B17" s="3579"/>
      <c r="I17">
        <v>18</v>
      </c>
    </row>
    <row r="18" spans="1:9">
      <c r="A18" s="3578" t="s">
        <v>3772</v>
      </c>
      <c r="B18" s="3579">
        <v>1435.93</v>
      </c>
      <c r="I18">
        <v>19</v>
      </c>
    </row>
    <row r="19" spans="1:9">
      <c r="A19" s="3578" t="s">
        <v>3581</v>
      </c>
      <c r="B19" s="3579"/>
      <c r="I19">
        <v>20</v>
      </c>
    </row>
    <row r="20" spans="1:9">
      <c r="A20" s="3578" t="s">
        <v>3582</v>
      </c>
      <c r="B20" s="3579">
        <v>1488.24</v>
      </c>
      <c r="I20">
        <v>21</v>
      </c>
    </row>
    <row r="21" spans="1:9">
      <c r="A21" s="3578" t="s">
        <v>3583</v>
      </c>
      <c r="B21" s="3579"/>
      <c r="I21">
        <v>22</v>
      </c>
    </row>
    <row r="22" spans="1:9">
      <c r="A22" s="3578" t="s">
        <v>3584</v>
      </c>
      <c r="B22" s="3579">
        <v>1435.93</v>
      </c>
      <c r="I22">
        <v>23</v>
      </c>
    </row>
    <row r="23" spans="1:9">
      <c r="A23" s="3578" t="s">
        <v>3585</v>
      </c>
      <c r="B23" s="3579"/>
      <c r="I23">
        <v>25</v>
      </c>
    </row>
    <row r="24" spans="1:9">
      <c r="A24" s="3578" t="s">
        <v>3586</v>
      </c>
      <c r="B24" s="3579">
        <v>1435.93</v>
      </c>
      <c r="I24">
        <v>26</v>
      </c>
    </row>
    <row r="25" spans="1:9">
      <c r="A25" s="3578" t="s">
        <v>3587</v>
      </c>
      <c r="B25" s="3579"/>
      <c r="I25">
        <v>27</v>
      </c>
    </row>
    <row r="26" spans="1:9">
      <c r="A26" s="3578" t="s">
        <v>3588</v>
      </c>
      <c r="B26" s="3579">
        <v>1488.24</v>
      </c>
      <c r="I26">
        <v>28</v>
      </c>
    </row>
    <row r="27" spans="1:9">
      <c r="A27" s="3578" t="s">
        <v>3589</v>
      </c>
      <c r="B27" s="3579"/>
    </row>
    <row r="28" spans="1:9">
      <c r="A28" s="3578" t="s">
        <v>3590</v>
      </c>
      <c r="B28" s="3579">
        <v>1435.93</v>
      </c>
    </row>
    <row r="29" spans="1:9">
      <c r="A29" s="3578" t="s">
        <v>3591</v>
      </c>
      <c r="B29" s="3579"/>
    </row>
    <row r="30" spans="1:9">
      <c r="A30" s="3578" t="s">
        <v>3592</v>
      </c>
      <c r="B30" s="3579">
        <v>1435.93</v>
      </c>
    </row>
    <row r="31" spans="1:9">
      <c r="A31" s="3578" t="s">
        <v>3593</v>
      </c>
      <c r="B31" s="3579"/>
    </row>
    <row r="32" spans="1:9">
      <c r="A32" s="3578" t="s">
        <v>3594</v>
      </c>
      <c r="B32" s="3579">
        <v>1488.24</v>
      </c>
    </row>
    <row r="33" spans="1:2">
      <c r="A33" s="3578" t="s">
        <v>3595</v>
      </c>
      <c r="B33" s="3579"/>
    </row>
    <row r="34" spans="1:2">
      <c r="A34" s="3578" t="s">
        <v>3596</v>
      </c>
      <c r="B34" s="3579">
        <v>1435.93</v>
      </c>
    </row>
    <row r="35" spans="1:2">
      <c r="A35" s="3578" t="s">
        <v>3597</v>
      </c>
      <c r="B35" s="3579"/>
    </row>
    <row r="36" spans="1:2">
      <c r="A36" s="3578" t="s">
        <v>3598</v>
      </c>
      <c r="B36" s="3579">
        <v>1435.93</v>
      </c>
    </row>
    <row r="37" spans="1:2">
      <c r="A37" s="3578" t="s">
        <v>3599</v>
      </c>
      <c r="B37" s="3579"/>
    </row>
    <row r="38" spans="1:2">
      <c r="A38" s="3578" t="s">
        <v>3600</v>
      </c>
      <c r="B38" s="3579">
        <v>1488.24</v>
      </c>
    </row>
    <row r="39" spans="1:2">
      <c r="A39" s="3578" t="s">
        <v>3601</v>
      </c>
      <c r="B39" s="3579"/>
    </row>
    <row r="40" spans="1:2">
      <c r="A40" s="3578" t="s">
        <v>3602</v>
      </c>
      <c r="B40" s="3579">
        <v>1435.93</v>
      </c>
    </row>
    <row r="41" spans="1:2">
      <c r="A41" s="3578" t="s">
        <v>3603</v>
      </c>
      <c r="B41" s="3579"/>
    </row>
    <row r="42" spans="1:2">
      <c r="A42" s="3578" t="s">
        <v>3604</v>
      </c>
      <c r="B42" s="3579">
        <v>1435.93</v>
      </c>
    </row>
    <row r="43" spans="1:2">
      <c r="A43" s="3578" t="s">
        <v>3605</v>
      </c>
      <c r="B43" s="3579"/>
    </row>
    <row r="44" spans="1:2">
      <c r="A44" s="3578" t="s">
        <v>3606</v>
      </c>
      <c r="B44" s="3579">
        <v>1488.24</v>
      </c>
    </row>
    <row r="45" spans="1:2">
      <c r="A45" s="3578" t="s">
        <v>3607</v>
      </c>
      <c r="B45" s="3579"/>
    </row>
    <row r="46" spans="1:2">
      <c r="A46" s="3578" t="s">
        <v>3608</v>
      </c>
      <c r="B46" s="3579">
        <v>1435.93</v>
      </c>
    </row>
    <row r="47" spans="1:2">
      <c r="A47" s="3578" t="s">
        <v>3773</v>
      </c>
      <c r="B47" s="3579"/>
    </row>
    <row r="48" spans="1:2">
      <c r="A48" s="3578" t="s">
        <v>3774</v>
      </c>
      <c r="B48" s="3579">
        <v>1435.93</v>
      </c>
    </row>
    <row r="49" spans="1:2">
      <c r="A49" s="3578" t="s">
        <v>3775</v>
      </c>
      <c r="B49" s="3579"/>
    </row>
    <row r="50" spans="1:2">
      <c r="A50" s="3578" t="s">
        <v>3776</v>
      </c>
      <c r="B50" s="3579">
        <v>1488.24</v>
      </c>
    </row>
    <row r="51" spans="1:2">
      <c r="A51" s="3578" t="s">
        <v>3777</v>
      </c>
      <c r="B51" s="3579"/>
    </row>
    <row r="52" spans="1:2">
      <c r="A52" s="3578" t="s">
        <v>3778</v>
      </c>
      <c r="B52" s="3579">
        <v>1429.77</v>
      </c>
    </row>
    <row r="53" spans="1:2">
      <c r="A53" s="3578" t="s">
        <v>3779</v>
      </c>
      <c r="B53" s="3579"/>
    </row>
    <row r="54" spans="1:2">
      <c r="A54" s="3578" t="s">
        <v>3780</v>
      </c>
      <c r="B54" s="3579">
        <v>1429.77</v>
      </c>
    </row>
    <row r="55" spans="1:2">
      <c r="A55" s="3578" t="s">
        <v>3781</v>
      </c>
      <c r="B55" s="3579"/>
    </row>
    <row r="56" spans="1:2">
      <c r="A56" s="3578" t="s">
        <v>3782</v>
      </c>
      <c r="B56" s="3579">
        <v>33.299999999999997</v>
      </c>
    </row>
    <row r="57" spans="1:2">
      <c r="A57" s="3578" t="s">
        <v>3783</v>
      </c>
      <c r="B57" s="3579"/>
    </row>
    <row r="58" spans="1:2">
      <c r="A58" s="3578" t="s">
        <v>3782</v>
      </c>
      <c r="B58" s="3579">
        <v>18.23</v>
      </c>
    </row>
  </sheetData>
  <phoneticPr fontId="134" type="noConversion"/>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AG87"/>
  <sheetViews>
    <sheetView workbookViewId="0">
      <selection activeCell="Y28" sqref="Y28"/>
    </sheetView>
  </sheetViews>
  <sheetFormatPr defaultRowHeight="14.4"/>
  <cols>
    <col min="4" max="5" width="9" style="3457"/>
    <col min="8" max="8" width="15.6640625" customWidth="1"/>
  </cols>
  <sheetData>
    <row r="1" spans="1:32" ht="24.6" thickTop="1">
      <c r="A1" s="3456" t="s">
        <v>3384</v>
      </c>
      <c r="H1" s="3522" t="s">
        <v>3563</v>
      </c>
      <c r="I1" s="3523"/>
      <c r="K1" s="3456" t="s">
        <v>3562</v>
      </c>
      <c r="L1" s="3456" t="s">
        <v>3385</v>
      </c>
      <c r="M1" s="3456" t="s">
        <v>3386</v>
      </c>
      <c r="O1" s="3526" t="s">
        <v>3621</v>
      </c>
      <c r="P1" s="3526" t="s">
        <v>3622</v>
      </c>
      <c r="Q1" s="3527" t="s">
        <v>3623</v>
      </c>
      <c r="R1" s="3528" t="s">
        <v>3624</v>
      </c>
      <c r="S1" s="3545" t="s">
        <v>3625</v>
      </c>
      <c r="V1" s="3456" t="s">
        <v>3786</v>
      </c>
      <c r="AC1" s="3692" t="s">
        <v>3789</v>
      </c>
      <c r="AD1" s="3692"/>
      <c r="AE1" s="3692" t="s">
        <v>3790</v>
      </c>
      <c r="AF1" s="3692"/>
    </row>
    <row r="2" spans="1:32" ht="15">
      <c r="A2" s="3456" t="s">
        <v>3385</v>
      </c>
      <c r="B2" s="3456" t="s">
        <v>3386</v>
      </c>
      <c r="D2" s="3458" t="s">
        <v>3385</v>
      </c>
      <c r="E2" s="3458" t="s">
        <v>3388</v>
      </c>
      <c r="H2" s="3524" t="s">
        <v>3564</v>
      </c>
      <c r="I2" s="3525">
        <v>285.33</v>
      </c>
      <c r="K2">
        <v>1</v>
      </c>
      <c r="L2" t="s">
        <v>3391</v>
      </c>
      <c r="M2">
        <v>1807.12</v>
      </c>
      <c r="O2" s="3529">
        <v>1</v>
      </c>
      <c r="P2" s="3530" t="s">
        <v>3626</v>
      </c>
      <c r="Q2" s="3531" t="s">
        <v>3626</v>
      </c>
      <c r="R2" s="3531">
        <f>M3</f>
        <v>1026.51</v>
      </c>
      <c r="S2" s="3531">
        <v>734.88</v>
      </c>
      <c r="V2" s="3456">
        <v>1</v>
      </c>
      <c r="Y2" s="3456" t="s">
        <v>3788</v>
      </c>
      <c r="Z2">
        <f>Sheet1!B2+Sheet1!B3+Sheet1!B4+Sheet1!B5</f>
        <v>1863.16</v>
      </c>
      <c r="AC2" s="3693" t="s">
        <v>3791</v>
      </c>
      <c r="AD2" s="3694"/>
      <c r="AE2" s="3694">
        <v>1807.12</v>
      </c>
      <c r="AF2" s="3694"/>
    </row>
    <row r="3" spans="1:32" ht="15">
      <c r="A3">
        <v>1</v>
      </c>
      <c r="B3">
        <v>421.51</v>
      </c>
      <c r="C3">
        <v>-1</v>
      </c>
      <c r="D3" s="3546" t="s">
        <v>3389</v>
      </c>
      <c r="E3" s="3547">
        <f>129.2+290.65+253.09</f>
        <v>672.93999999999994</v>
      </c>
      <c r="H3" s="3522" t="s">
        <v>3565</v>
      </c>
      <c r="I3" s="3525">
        <v>135.06</v>
      </c>
      <c r="K3">
        <v>2</v>
      </c>
      <c r="L3" t="s">
        <v>3392</v>
      </c>
      <c r="M3">
        <v>1026.51</v>
      </c>
      <c r="O3" s="3532" t="s">
        <v>3627</v>
      </c>
      <c r="P3" s="3530" t="s">
        <v>3563</v>
      </c>
      <c r="Q3" s="3531" t="s">
        <v>3563</v>
      </c>
      <c r="R3" s="3531">
        <f>M2</f>
        <v>1807.12</v>
      </c>
      <c r="S3" s="3531">
        <v>1863.16</v>
      </c>
      <c r="V3" s="3456" t="s">
        <v>3787</v>
      </c>
      <c r="Y3" s="3456">
        <v>1</v>
      </c>
      <c r="Z3">
        <f>Sheet1!B7+Sheet1!B8</f>
        <v>734.88000000000011</v>
      </c>
      <c r="AC3" s="3693" t="s">
        <v>3792</v>
      </c>
      <c r="AD3" s="3694"/>
      <c r="AE3" s="3694">
        <v>1026.51</v>
      </c>
      <c r="AF3" s="3694"/>
    </row>
    <row r="4" spans="1:32" ht="15">
      <c r="A4">
        <v>2</v>
      </c>
      <c r="B4">
        <v>736.83</v>
      </c>
      <c r="C4">
        <v>1</v>
      </c>
      <c r="D4" s="3546" t="s">
        <v>3390</v>
      </c>
      <c r="E4" s="3547">
        <f>684.66+126.45+266.98</f>
        <v>1078.0900000000001</v>
      </c>
      <c r="H4" s="3522" t="s">
        <v>3566</v>
      </c>
      <c r="I4" s="3525">
        <v>646.01</v>
      </c>
      <c r="K4">
        <v>3</v>
      </c>
      <c r="L4" t="s">
        <v>3393</v>
      </c>
      <c r="M4">
        <v>1023.34</v>
      </c>
      <c r="O4" s="3529">
        <v>2</v>
      </c>
      <c r="P4" s="3530" t="s">
        <v>3628</v>
      </c>
      <c r="Q4" s="3531" t="s">
        <v>3628</v>
      </c>
      <c r="R4" s="3531">
        <f t="shared" ref="R4:R26" si="0">M4</f>
        <v>1023.34</v>
      </c>
      <c r="S4" s="3531">
        <v>1002.32</v>
      </c>
      <c r="V4">
        <v>2</v>
      </c>
      <c r="Y4">
        <v>2</v>
      </c>
      <c r="Z4">
        <f>Sheet1!B10</f>
        <v>1002.32</v>
      </c>
      <c r="AC4" s="3693" t="s">
        <v>3393</v>
      </c>
      <c r="AD4" s="3694"/>
      <c r="AE4" s="3694">
        <v>1023.34</v>
      </c>
      <c r="AF4" s="3694"/>
    </row>
    <row r="5" spans="1:32" ht="15">
      <c r="A5">
        <v>3</v>
      </c>
      <c r="B5">
        <v>1004.98</v>
      </c>
      <c r="C5">
        <v>2</v>
      </c>
      <c r="D5" s="3547">
        <v>1</v>
      </c>
      <c r="E5" s="3547">
        <f>395.39+306.39</f>
        <v>701.78</v>
      </c>
      <c r="H5" s="3522" t="s">
        <v>3567</v>
      </c>
      <c r="I5" s="3525">
        <v>796.76</v>
      </c>
      <c r="K5">
        <v>4</v>
      </c>
      <c r="L5" t="s">
        <v>3394</v>
      </c>
      <c r="M5">
        <v>1270.94</v>
      </c>
      <c r="O5" s="3529">
        <v>3</v>
      </c>
      <c r="P5" s="3530" t="s">
        <v>3629</v>
      </c>
      <c r="Q5" s="3531" t="s">
        <v>3629</v>
      </c>
      <c r="R5" s="3531">
        <f t="shared" si="0"/>
        <v>1270.94</v>
      </c>
      <c r="S5" s="3531">
        <v>1320.97</v>
      </c>
      <c r="V5">
        <v>3</v>
      </c>
      <c r="Y5">
        <v>3</v>
      </c>
      <c r="Z5">
        <f>Sheet1!B12</f>
        <v>1320.97</v>
      </c>
      <c r="AC5" s="3693" t="s">
        <v>3394</v>
      </c>
      <c r="AD5" s="3694"/>
      <c r="AE5" s="3694">
        <v>1270.94</v>
      </c>
      <c r="AF5" s="3694"/>
    </row>
    <row r="6" spans="1:32" ht="15">
      <c r="A6">
        <v>4</v>
      </c>
      <c r="B6">
        <v>1324.47</v>
      </c>
      <c r="C6">
        <v>3</v>
      </c>
      <c r="D6" s="3457">
        <v>3</v>
      </c>
      <c r="E6" s="3457">
        <v>1336.34</v>
      </c>
      <c r="H6" s="3522" t="s">
        <v>3568</v>
      </c>
      <c r="I6" s="3525"/>
      <c r="K6">
        <v>5</v>
      </c>
      <c r="L6" t="s">
        <v>3395</v>
      </c>
      <c r="M6">
        <v>1388.11</v>
      </c>
      <c r="O6" s="3529">
        <v>4</v>
      </c>
      <c r="P6" s="3530" t="s">
        <v>3630</v>
      </c>
      <c r="Q6" s="3531" t="s">
        <v>3631</v>
      </c>
      <c r="R6" s="3531">
        <f t="shared" si="0"/>
        <v>1388.11</v>
      </c>
      <c r="S6" s="3531">
        <v>1488.24</v>
      </c>
      <c r="V6">
        <v>5</v>
      </c>
      <c r="Y6">
        <v>4</v>
      </c>
      <c r="Z6">
        <f>Sheet1!B14</f>
        <v>1488.24</v>
      </c>
      <c r="AC6" s="3693" t="s">
        <v>3395</v>
      </c>
      <c r="AD6" s="3694"/>
      <c r="AE6" s="3694">
        <v>1388.11</v>
      </c>
      <c r="AF6" s="3694"/>
    </row>
    <row r="7" spans="1:32" ht="15">
      <c r="A7">
        <v>5</v>
      </c>
      <c r="B7">
        <v>1492.19</v>
      </c>
      <c r="C7">
        <v>4</v>
      </c>
      <c r="D7" s="3457">
        <v>5</v>
      </c>
      <c r="E7" s="3457">
        <v>1511.02</v>
      </c>
      <c r="H7" s="3522" t="s">
        <v>3569</v>
      </c>
      <c r="I7" s="3525">
        <v>321.22000000000003</v>
      </c>
      <c r="K7">
        <v>6</v>
      </c>
      <c r="L7" t="s">
        <v>3396</v>
      </c>
      <c r="M7">
        <v>1348.62</v>
      </c>
      <c r="O7" s="3529">
        <v>5</v>
      </c>
      <c r="P7" s="3530" t="s">
        <v>3632</v>
      </c>
      <c r="Q7" s="3531" t="s">
        <v>3633</v>
      </c>
      <c r="R7" s="3531">
        <f t="shared" si="0"/>
        <v>1348.62</v>
      </c>
      <c r="S7" s="3531">
        <v>1435.93</v>
      </c>
      <c r="V7">
        <v>6</v>
      </c>
      <c r="Y7">
        <v>5</v>
      </c>
      <c r="Z7">
        <f>Sheet1!B16</f>
        <v>1435.93</v>
      </c>
      <c r="AC7" s="3693" t="s">
        <v>3396</v>
      </c>
      <c r="AD7" s="3694"/>
      <c r="AE7" s="3694">
        <v>1348.62</v>
      </c>
      <c r="AF7" s="3694"/>
    </row>
    <row r="8" spans="1:32" ht="15">
      <c r="A8">
        <v>6</v>
      </c>
      <c r="B8">
        <v>1439.73</v>
      </c>
      <c r="C8">
        <v>5</v>
      </c>
      <c r="D8" s="3457">
        <v>6</v>
      </c>
      <c r="E8" s="3457">
        <v>748.95</v>
      </c>
      <c r="H8" s="3522" t="s">
        <v>3570</v>
      </c>
      <c r="I8" s="3525">
        <v>413.66</v>
      </c>
      <c r="K8">
        <v>7</v>
      </c>
      <c r="L8" t="s">
        <v>3397</v>
      </c>
      <c r="M8">
        <v>1348.62</v>
      </c>
      <c r="O8" s="3529">
        <v>6</v>
      </c>
      <c r="P8" s="3530" t="s">
        <v>3634</v>
      </c>
      <c r="Q8" s="3531" t="s">
        <v>3635</v>
      </c>
      <c r="R8" s="3531">
        <f t="shared" si="0"/>
        <v>1348.62</v>
      </c>
      <c r="S8" s="3531">
        <v>1435.93</v>
      </c>
      <c r="V8">
        <v>7</v>
      </c>
      <c r="Y8">
        <v>6</v>
      </c>
      <c r="Z8">
        <f>Sheet1!B18</f>
        <v>1435.93</v>
      </c>
      <c r="AC8" s="3693" t="s">
        <v>3397</v>
      </c>
      <c r="AD8" s="3694"/>
      <c r="AE8" s="3694">
        <v>1348.62</v>
      </c>
      <c r="AF8" s="3694"/>
    </row>
    <row r="9" spans="1:32" ht="15">
      <c r="A9">
        <v>7</v>
      </c>
      <c r="B9">
        <v>1439.73</v>
      </c>
      <c r="C9">
        <v>6</v>
      </c>
      <c r="D9" s="3457">
        <v>7</v>
      </c>
      <c r="E9" s="3457">
        <v>1456.71</v>
      </c>
      <c r="H9" s="3522" t="s">
        <v>3571</v>
      </c>
      <c r="I9" s="3525"/>
      <c r="K9">
        <v>8</v>
      </c>
      <c r="L9" t="s">
        <v>3398</v>
      </c>
      <c r="M9">
        <v>1388.11</v>
      </c>
      <c r="O9" s="3529">
        <v>7</v>
      </c>
      <c r="P9" s="3530" t="s">
        <v>3636</v>
      </c>
      <c r="Q9" s="3531" t="s">
        <v>3637</v>
      </c>
      <c r="R9" s="3531">
        <f t="shared" si="0"/>
        <v>1388.11</v>
      </c>
      <c r="S9" s="3531">
        <v>1488.24</v>
      </c>
      <c r="V9">
        <v>8</v>
      </c>
      <c r="Y9">
        <v>7</v>
      </c>
      <c r="Z9">
        <f>Sheet1!B20</f>
        <v>1488.24</v>
      </c>
      <c r="AC9" s="3693" t="s">
        <v>3398</v>
      </c>
      <c r="AD9" s="3694"/>
      <c r="AE9" s="3694">
        <v>1388.11</v>
      </c>
      <c r="AF9" s="3694"/>
    </row>
    <row r="10" spans="1:32" ht="15">
      <c r="A10">
        <v>8</v>
      </c>
      <c r="B10">
        <v>1492.19</v>
      </c>
      <c r="C10">
        <v>7</v>
      </c>
      <c r="D10" s="3457">
        <v>8</v>
      </c>
      <c r="E10" s="3457">
        <f>876.91+635</f>
        <v>1511.9099999999999</v>
      </c>
      <c r="H10" s="3522" t="s">
        <v>3572</v>
      </c>
      <c r="I10" s="3525">
        <v>1002.32</v>
      </c>
      <c r="K10">
        <v>9</v>
      </c>
      <c r="L10" t="s">
        <v>3399</v>
      </c>
      <c r="M10">
        <v>1348.62</v>
      </c>
      <c r="O10" s="3529">
        <v>8</v>
      </c>
      <c r="P10" s="3530" t="s">
        <v>3638</v>
      </c>
      <c r="Q10" s="3531" t="s">
        <v>3639</v>
      </c>
      <c r="R10" s="3531">
        <f t="shared" si="0"/>
        <v>1348.62</v>
      </c>
      <c r="S10" s="3531">
        <v>1435.93</v>
      </c>
      <c r="V10">
        <v>9</v>
      </c>
      <c r="Y10">
        <v>8</v>
      </c>
      <c r="Z10">
        <f>Sheet1!B22</f>
        <v>1435.93</v>
      </c>
      <c r="AC10" s="3693" t="s">
        <v>3399</v>
      </c>
      <c r="AD10" s="3694"/>
      <c r="AE10" s="3694">
        <v>1348.62</v>
      </c>
      <c r="AF10" s="3694"/>
    </row>
    <row r="11" spans="1:32" ht="15">
      <c r="A11">
        <v>9</v>
      </c>
      <c r="B11">
        <v>1439.73</v>
      </c>
      <c r="C11">
        <v>8</v>
      </c>
      <c r="D11" s="3457">
        <v>9</v>
      </c>
      <c r="E11" s="3457">
        <v>1456.02</v>
      </c>
      <c r="H11" s="3522" t="s">
        <v>3573</v>
      </c>
      <c r="I11" s="3525"/>
      <c r="K11">
        <v>10</v>
      </c>
      <c r="L11" t="s">
        <v>3400</v>
      </c>
      <c r="M11">
        <v>1348.62</v>
      </c>
      <c r="O11" s="3529">
        <v>9</v>
      </c>
      <c r="P11" s="3530" t="s">
        <v>3640</v>
      </c>
      <c r="Q11" s="3531" t="s">
        <v>3641</v>
      </c>
      <c r="R11" s="3531">
        <f t="shared" si="0"/>
        <v>1348.62</v>
      </c>
      <c r="S11" s="3531">
        <v>1435.93</v>
      </c>
      <c r="V11">
        <v>10</v>
      </c>
      <c r="Y11">
        <v>9</v>
      </c>
      <c r="Z11">
        <f>Sheet1!B24</f>
        <v>1435.93</v>
      </c>
      <c r="AC11" s="3699" t="s">
        <v>3400</v>
      </c>
      <c r="AD11" s="3700"/>
      <c r="AE11" s="3700">
        <v>1348.62</v>
      </c>
      <c r="AF11" s="3700"/>
    </row>
    <row r="12" spans="1:32" ht="15">
      <c r="A12">
        <v>10</v>
      </c>
      <c r="B12">
        <v>1439.73</v>
      </c>
      <c r="C12">
        <v>9</v>
      </c>
      <c r="D12" s="3457">
        <v>10</v>
      </c>
      <c r="E12" s="3457">
        <v>1456.02</v>
      </c>
      <c r="H12" s="3522" t="s">
        <v>3574</v>
      </c>
      <c r="I12" s="3525">
        <v>1320.97</v>
      </c>
      <c r="K12">
        <v>11</v>
      </c>
      <c r="L12" t="s">
        <v>3401</v>
      </c>
      <c r="M12">
        <v>1388.11</v>
      </c>
      <c r="O12" s="3529">
        <v>10</v>
      </c>
      <c r="P12" s="3530" t="s">
        <v>3642</v>
      </c>
      <c r="Q12" s="3531" t="s">
        <v>3643</v>
      </c>
      <c r="R12" s="3531">
        <f t="shared" si="0"/>
        <v>1388.11</v>
      </c>
      <c r="S12" s="3531">
        <v>1488.24</v>
      </c>
      <c r="V12">
        <v>11</v>
      </c>
      <c r="Y12">
        <v>10</v>
      </c>
      <c r="Z12">
        <f>Sheet1!B26</f>
        <v>1488.24</v>
      </c>
      <c r="AC12" s="3693" t="s">
        <v>3401</v>
      </c>
      <c r="AD12" s="3694"/>
      <c r="AE12" s="3694">
        <v>1388.11</v>
      </c>
      <c r="AF12" s="3694"/>
    </row>
    <row r="13" spans="1:32" ht="15">
      <c r="A13">
        <v>11</v>
      </c>
      <c r="B13">
        <v>1492.19</v>
      </c>
      <c r="C13">
        <v>10</v>
      </c>
      <c r="D13" s="3457">
        <v>11</v>
      </c>
      <c r="E13" s="3457">
        <v>1511</v>
      </c>
      <c r="H13" s="3522" t="s">
        <v>3575</v>
      </c>
      <c r="I13" s="3525"/>
      <c r="K13">
        <v>12</v>
      </c>
      <c r="L13" t="s">
        <v>3402</v>
      </c>
      <c r="M13">
        <v>1348.62</v>
      </c>
      <c r="O13" s="3529">
        <v>11</v>
      </c>
      <c r="P13" s="3530" t="s">
        <v>3644</v>
      </c>
      <c r="Q13" s="3531" t="s">
        <v>3645</v>
      </c>
      <c r="R13" s="3531">
        <f t="shared" si="0"/>
        <v>1348.62</v>
      </c>
      <c r="S13" s="3531">
        <v>1435.93</v>
      </c>
      <c r="V13">
        <v>12</v>
      </c>
      <c r="Y13">
        <v>11</v>
      </c>
      <c r="Z13">
        <f>Sheet1!B28</f>
        <v>1435.93</v>
      </c>
      <c r="AC13" s="3693" t="s">
        <v>3402</v>
      </c>
      <c r="AD13" s="3694"/>
      <c r="AE13" s="3694">
        <v>1348.62</v>
      </c>
      <c r="AF13" s="3694"/>
    </row>
    <row r="14" spans="1:32" ht="15">
      <c r="A14">
        <v>12</v>
      </c>
      <c r="B14">
        <v>1439.73</v>
      </c>
      <c r="C14">
        <v>11</v>
      </c>
      <c r="D14" s="3457">
        <v>12</v>
      </c>
      <c r="E14" s="3457">
        <v>728.02</v>
      </c>
      <c r="H14" s="3522" t="s">
        <v>3576</v>
      </c>
      <c r="I14" s="3525">
        <v>1488.24</v>
      </c>
      <c r="K14">
        <v>13</v>
      </c>
      <c r="L14" t="s">
        <v>3403</v>
      </c>
      <c r="M14">
        <v>1348.62</v>
      </c>
      <c r="O14" s="3529">
        <v>12</v>
      </c>
      <c r="P14" s="3530" t="s">
        <v>3646</v>
      </c>
      <c r="Q14" s="3531" t="s">
        <v>3591</v>
      </c>
      <c r="R14" s="3531">
        <f t="shared" si="0"/>
        <v>1348.62</v>
      </c>
      <c r="S14" s="3531">
        <v>1435.93</v>
      </c>
      <c r="V14">
        <v>15</v>
      </c>
      <c r="Y14">
        <v>12</v>
      </c>
      <c r="Z14">
        <f>Sheet1!B30</f>
        <v>1435.93</v>
      </c>
      <c r="AC14" s="3693" t="s">
        <v>3403</v>
      </c>
      <c r="AD14" s="3694"/>
      <c r="AE14" s="3694">
        <v>1348.62</v>
      </c>
      <c r="AF14" s="3694"/>
    </row>
    <row r="15" spans="1:32" ht="15">
      <c r="A15">
        <v>13</v>
      </c>
      <c r="B15">
        <v>1439.73</v>
      </c>
      <c r="C15">
        <v>12</v>
      </c>
      <c r="D15" s="3457">
        <v>15</v>
      </c>
      <c r="E15" s="3457">
        <v>1456.04</v>
      </c>
      <c r="H15" s="3522" t="s">
        <v>3577</v>
      </c>
      <c r="I15" s="3525"/>
      <c r="K15">
        <v>14</v>
      </c>
      <c r="L15" t="s">
        <v>3404</v>
      </c>
      <c r="M15">
        <v>1388.11</v>
      </c>
      <c r="O15" s="3529">
        <v>13</v>
      </c>
      <c r="P15" s="3530" t="s">
        <v>3647</v>
      </c>
      <c r="Q15" s="3531" t="s">
        <v>3593</v>
      </c>
      <c r="R15" s="3531">
        <f t="shared" si="0"/>
        <v>1388.11</v>
      </c>
      <c r="S15" s="3531">
        <v>1488.24</v>
      </c>
      <c r="V15">
        <v>16</v>
      </c>
      <c r="Y15">
        <v>13</v>
      </c>
      <c r="Z15">
        <f>Sheet1!B32</f>
        <v>1488.24</v>
      </c>
      <c r="AC15" s="3693" t="s">
        <v>3404</v>
      </c>
      <c r="AD15" s="3694"/>
      <c r="AE15" s="3694">
        <v>1388.11</v>
      </c>
      <c r="AF15" s="3694"/>
    </row>
    <row r="16" spans="1:32" ht="15">
      <c r="A16">
        <v>14</v>
      </c>
      <c r="B16">
        <v>1492.19</v>
      </c>
      <c r="C16">
        <v>13</v>
      </c>
      <c r="D16" s="3457">
        <v>16</v>
      </c>
      <c r="E16" s="3457">
        <v>1511.24</v>
      </c>
      <c r="H16" s="3522" t="s">
        <v>3578</v>
      </c>
      <c r="I16" s="3525">
        <v>1435.93</v>
      </c>
      <c r="K16">
        <v>15</v>
      </c>
      <c r="L16" t="s">
        <v>3405</v>
      </c>
      <c r="M16">
        <v>1348.62</v>
      </c>
      <c r="O16" s="3529">
        <v>14</v>
      </c>
      <c r="P16" s="3530" t="s">
        <v>3648</v>
      </c>
      <c r="Q16" s="3531" t="s">
        <v>3649</v>
      </c>
      <c r="R16" s="3531">
        <f t="shared" si="0"/>
        <v>1348.62</v>
      </c>
      <c r="S16" s="3531">
        <v>1435.93</v>
      </c>
      <c r="V16">
        <v>17</v>
      </c>
      <c r="Y16">
        <v>14</v>
      </c>
      <c r="Z16">
        <f>Sheet1!B34</f>
        <v>1435.93</v>
      </c>
      <c r="AC16" s="3693" t="s">
        <v>3405</v>
      </c>
      <c r="AD16" s="3694"/>
      <c r="AE16" s="3694">
        <v>1348.62</v>
      </c>
      <c r="AF16" s="3694"/>
    </row>
    <row r="17" spans="1:33" ht="15">
      <c r="A17">
        <v>15</v>
      </c>
      <c r="B17">
        <v>1439.73</v>
      </c>
      <c r="C17">
        <v>14</v>
      </c>
      <c r="D17" s="3457">
        <v>17</v>
      </c>
      <c r="E17" s="3457">
        <v>1456.04</v>
      </c>
      <c r="H17" s="3522" t="s">
        <v>3579</v>
      </c>
      <c r="I17" s="3525"/>
      <c r="K17">
        <v>16</v>
      </c>
      <c r="L17" t="s">
        <v>3406</v>
      </c>
      <c r="M17">
        <v>1348.62</v>
      </c>
      <c r="O17" s="3529">
        <v>15</v>
      </c>
      <c r="P17" s="3530" t="s">
        <v>3406</v>
      </c>
      <c r="Q17" s="3531" t="s">
        <v>3650</v>
      </c>
      <c r="R17" s="3531">
        <f t="shared" si="0"/>
        <v>1348.62</v>
      </c>
      <c r="S17" s="3531">
        <v>1435.93</v>
      </c>
      <c r="V17">
        <v>18</v>
      </c>
      <c r="Y17">
        <v>15</v>
      </c>
      <c r="Z17">
        <f>Sheet1!B36</f>
        <v>1435.93</v>
      </c>
      <c r="AC17" s="3693" t="s">
        <v>3406</v>
      </c>
      <c r="AD17" s="3694"/>
      <c r="AE17" s="3694">
        <v>1348.62</v>
      </c>
      <c r="AF17" s="3694"/>
    </row>
    <row r="18" spans="1:33" ht="15">
      <c r="A18">
        <v>16</v>
      </c>
      <c r="B18">
        <v>1439.73</v>
      </c>
      <c r="C18">
        <v>15</v>
      </c>
      <c r="D18" s="3457">
        <v>18</v>
      </c>
      <c r="E18" s="3457">
        <v>1456.04</v>
      </c>
      <c r="H18" s="3522" t="s">
        <v>3580</v>
      </c>
      <c r="I18" s="3525">
        <v>1435.93</v>
      </c>
      <c r="K18">
        <v>17</v>
      </c>
      <c r="L18" t="s">
        <v>3407</v>
      </c>
      <c r="M18">
        <v>1388.11</v>
      </c>
      <c r="O18" s="3529">
        <v>16</v>
      </c>
      <c r="P18" s="3530" t="s">
        <v>3407</v>
      </c>
      <c r="Q18" s="3531" t="s">
        <v>3651</v>
      </c>
      <c r="R18" s="3531">
        <f t="shared" si="0"/>
        <v>1388.11</v>
      </c>
      <c r="S18" s="3531">
        <v>1488.24</v>
      </c>
      <c r="V18">
        <v>19</v>
      </c>
      <c r="Y18">
        <v>16</v>
      </c>
      <c r="Z18">
        <f>Sheet1!B38</f>
        <v>1488.24</v>
      </c>
      <c r="AC18" s="3693" t="s">
        <v>3407</v>
      </c>
      <c r="AD18" s="3694"/>
      <c r="AE18" s="3694">
        <v>1388.11</v>
      </c>
      <c r="AF18" s="3694"/>
    </row>
    <row r="19" spans="1:33" ht="15">
      <c r="A19">
        <v>17</v>
      </c>
      <c r="B19">
        <v>1492.19</v>
      </c>
      <c r="C19">
        <v>16</v>
      </c>
      <c r="D19" s="3457">
        <v>19</v>
      </c>
      <c r="E19" s="3457">
        <v>1511.24</v>
      </c>
      <c r="H19" s="3522" t="s">
        <v>3581</v>
      </c>
      <c r="I19" s="3525"/>
      <c r="K19">
        <v>18</v>
      </c>
      <c r="L19" t="s">
        <v>3408</v>
      </c>
      <c r="M19">
        <v>1348.62</v>
      </c>
      <c r="O19" s="3529">
        <v>17</v>
      </c>
      <c r="P19" s="3530" t="s">
        <v>3408</v>
      </c>
      <c r="Q19" s="3531" t="s">
        <v>3652</v>
      </c>
      <c r="R19" s="3531">
        <f t="shared" si="0"/>
        <v>1348.62</v>
      </c>
      <c r="S19" s="3531">
        <v>1435.93</v>
      </c>
      <c r="V19">
        <v>20</v>
      </c>
      <c r="Y19">
        <v>17</v>
      </c>
      <c r="Z19">
        <f>Sheet1!B40</f>
        <v>1435.93</v>
      </c>
      <c r="AC19" s="3693" t="s">
        <v>3408</v>
      </c>
      <c r="AD19" s="3694"/>
      <c r="AE19" s="3694">
        <v>1348.62</v>
      </c>
      <c r="AF19" s="3694"/>
    </row>
    <row r="20" spans="1:33" ht="15">
      <c r="A20">
        <v>18</v>
      </c>
      <c r="B20">
        <v>1439.73</v>
      </c>
      <c r="C20">
        <v>17</v>
      </c>
      <c r="D20" s="3457">
        <v>20</v>
      </c>
      <c r="E20" s="3683">
        <v>4423.32</v>
      </c>
      <c r="H20" s="3522" t="s">
        <v>3582</v>
      </c>
      <c r="I20" s="3525">
        <v>1488.24</v>
      </c>
      <c r="K20">
        <v>19</v>
      </c>
      <c r="L20" t="s">
        <v>3409</v>
      </c>
      <c r="M20">
        <v>1348.62</v>
      </c>
      <c r="O20" s="3529">
        <v>18</v>
      </c>
      <c r="P20" s="3530" t="s">
        <v>3409</v>
      </c>
      <c r="Q20" s="3531" t="s">
        <v>3653</v>
      </c>
      <c r="R20" s="3531">
        <f t="shared" si="0"/>
        <v>1348.62</v>
      </c>
      <c r="S20" s="3531">
        <v>1435.93</v>
      </c>
      <c r="V20">
        <v>21</v>
      </c>
      <c r="Y20">
        <v>18</v>
      </c>
      <c r="Z20">
        <f>Sheet1!B42</f>
        <v>1435.93</v>
      </c>
      <c r="AC20" s="3693" t="s">
        <v>3409</v>
      </c>
      <c r="AD20" s="3694"/>
      <c r="AE20" s="3694">
        <v>1348.62</v>
      </c>
      <c r="AF20" s="3694"/>
    </row>
    <row r="21" spans="1:33" ht="15">
      <c r="A21">
        <v>19</v>
      </c>
      <c r="B21">
        <v>1439.73</v>
      </c>
      <c r="C21">
        <v>18</v>
      </c>
      <c r="D21" s="3457">
        <v>21</v>
      </c>
      <c r="E21" s="3683"/>
      <c r="H21" s="3522" t="s">
        <v>3583</v>
      </c>
      <c r="I21" s="3525"/>
      <c r="K21">
        <v>20</v>
      </c>
      <c r="L21" t="s">
        <v>3410</v>
      </c>
      <c r="M21">
        <v>1388.11</v>
      </c>
      <c r="O21" s="3529">
        <v>19</v>
      </c>
      <c r="P21" s="3530" t="s">
        <v>3410</v>
      </c>
      <c r="Q21" s="3531" t="s">
        <v>3654</v>
      </c>
      <c r="R21" s="3531">
        <f t="shared" si="0"/>
        <v>1388.11</v>
      </c>
      <c r="S21" s="3531">
        <v>1488.24</v>
      </c>
      <c r="V21">
        <v>22</v>
      </c>
      <c r="Y21">
        <v>19</v>
      </c>
      <c r="Z21">
        <f>Sheet1!B44</f>
        <v>1488.24</v>
      </c>
      <c r="AC21" s="3693" t="s">
        <v>3410</v>
      </c>
      <c r="AD21" s="3694"/>
      <c r="AE21" s="3694">
        <v>1388.11</v>
      </c>
      <c r="AF21" s="3694"/>
    </row>
    <row r="22" spans="1:33" ht="15">
      <c r="A22">
        <v>20</v>
      </c>
      <c r="B22">
        <v>1492.19</v>
      </c>
      <c r="C22">
        <v>19</v>
      </c>
      <c r="D22" s="3457">
        <v>22</v>
      </c>
      <c r="E22" s="3683"/>
      <c r="H22" s="3522" t="s">
        <v>3584</v>
      </c>
      <c r="I22" s="3525">
        <v>1435.93</v>
      </c>
      <c r="K22">
        <v>21</v>
      </c>
      <c r="L22" t="s">
        <v>3411</v>
      </c>
      <c r="M22">
        <v>1348.62</v>
      </c>
      <c r="O22" s="3529">
        <v>20</v>
      </c>
      <c r="P22" s="3530" t="s">
        <v>3411</v>
      </c>
      <c r="Q22" s="3531" t="s">
        <v>3655</v>
      </c>
      <c r="R22" s="3531">
        <f t="shared" si="0"/>
        <v>1348.62</v>
      </c>
      <c r="S22" s="3531">
        <v>1435.93</v>
      </c>
      <c r="V22">
        <v>23</v>
      </c>
      <c r="Y22">
        <v>20</v>
      </c>
      <c r="Z22">
        <f>Sheet1!B46</f>
        <v>1435.93</v>
      </c>
      <c r="AC22" s="3693" t="s">
        <v>3411</v>
      </c>
      <c r="AD22" s="3694"/>
      <c r="AE22" s="3694">
        <v>1348.62</v>
      </c>
      <c r="AF22" s="3694"/>
    </row>
    <row r="23" spans="1:33" ht="15">
      <c r="A23">
        <v>21</v>
      </c>
      <c r="B23">
        <v>1439.73</v>
      </c>
      <c r="C23">
        <v>20</v>
      </c>
      <c r="D23" s="3457">
        <v>23</v>
      </c>
      <c r="E23" s="3457">
        <v>1456.04</v>
      </c>
      <c r="H23" s="3522" t="s">
        <v>3585</v>
      </c>
      <c r="I23" s="3525"/>
      <c r="K23">
        <v>22</v>
      </c>
      <c r="L23" t="s">
        <v>3412</v>
      </c>
      <c r="M23">
        <v>1348.62</v>
      </c>
      <c r="O23" s="3529">
        <v>21</v>
      </c>
      <c r="P23" s="3530" t="s">
        <v>3656</v>
      </c>
      <c r="Q23" s="3531" t="s">
        <v>3657</v>
      </c>
      <c r="R23" s="3531">
        <f t="shared" si="0"/>
        <v>1348.62</v>
      </c>
      <c r="S23" s="3531">
        <v>1435.93</v>
      </c>
      <c r="V23">
        <v>25</v>
      </c>
      <c r="Y23">
        <v>21</v>
      </c>
      <c r="Z23">
        <f>Sheet1!B48</f>
        <v>1435.93</v>
      </c>
      <c r="AC23" s="3693" t="s">
        <v>3412</v>
      </c>
      <c r="AD23" s="3694"/>
      <c r="AE23" s="3694">
        <v>1348.62</v>
      </c>
      <c r="AF23" s="3694"/>
    </row>
    <row r="24" spans="1:33" ht="15">
      <c r="A24">
        <v>22</v>
      </c>
      <c r="B24">
        <v>1439.73</v>
      </c>
      <c r="C24">
        <v>21</v>
      </c>
      <c r="D24" s="3457">
        <v>25</v>
      </c>
      <c r="E24" s="3457">
        <f>1116.3+339.74</f>
        <v>1456.04</v>
      </c>
      <c r="H24" s="3522" t="s">
        <v>3586</v>
      </c>
      <c r="I24" s="3525">
        <v>1435.93</v>
      </c>
      <c r="K24">
        <v>23</v>
      </c>
      <c r="L24" t="s">
        <v>3413</v>
      </c>
      <c r="M24">
        <v>1388.11</v>
      </c>
      <c r="O24" s="3529">
        <v>22</v>
      </c>
      <c r="P24" s="3530" t="s">
        <v>3658</v>
      </c>
      <c r="Q24" s="3531" t="s">
        <v>3611</v>
      </c>
      <c r="R24" s="3531">
        <f t="shared" si="0"/>
        <v>1388.11</v>
      </c>
      <c r="S24" s="3531">
        <v>1488.24</v>
      </c>
      <c r="V24">
        <v>26</v>
      </c>
      <c r="Y24">
        <v>22</v>
      </c>
      <c r="Z24">
        <f>Sheet1!B50</f>
        <v>1488.24</v>
      </c>
      <c r="AC24" s="3693" t="s">
        <v>3413</v>
      </c>
      <c r="AD24" s="3694"/>
      <c r="AE24" s="3694">
        <v>1388.11</v>
      </c>
      <c r="AF24" s="3694"/>
    </row>
    <row r="25" spans="1:33" ht="15">
      <c r="A25">
        <v>23</v>
      </c>
      <c r="B25">
        <v>1492.19</v>
      </c>
      <c r="C25">
        <v>22</v>
      </c>
      <c r="D25" s="3457">
        <v>26</v>
      </c>
      <c r="E25" s="3457">
        <v>1511.24</v>
      </c>
      <c r="H25" s="3522" t="s">
        <v>3587</v>
      </c>
      <c r="I25" s="3525"/>
      <c r="K25">
        <v>24</v>
      </c>
      <c r="L25" t="s">
        <v>3414</v>
      </c>
      <c r="M25">
        <v>1348.62</v>
      </c>
      <c r="O25" s="3529">
        <v>23</v>
      </c>
      <c r="P25" s="3530" t="s">
        <v>3414</v>
      </c>
      <c r="Q25" s="3531" t="s">
        <v>3659</v>
      </c>
      <c r="R25" s="3531">
        <f t="shared" si="0"/>
        <v>1348.62</v>
      </c>
      <c r="S25" s="3531">
        <v>1429.77</v>
      </c>
      <c r="V25">
        <v>27</v>
      </c>
      <c r="Y25">
        <v>23</v>
      </c>
      <c r="Z25">
        <f>Sheet1!B52</f>
        <v>1429.77</v>
      </c>
      <c r="AC25" s="3693" t="s">
        <v>3414</v>
      </c>
      <c r="AD25" s="3694"/>
      <c r="AE25" s="3694">
        <v>1348.62</v>
      </c>
      <c r="AF25" s="3694"/>
    </row>
    <row r="26" spans="1:33" ht="15.6" thickBot="1">
      <c r="A26">
        <v>24</v>
      </c>
      <c r="B26">
        <v>1433.56</v>
      </c>
      <c r="C26">
        <v>23</v>
      </c>
      <c r="D26" s="3457">
        <v>27</v>
      </c>
      <c r="E26" s="3457">
        <v>1444.5</v>
      </c>
      <c r="H26" s="3522" t="s">
        <v>3588</v>
      </c>
      <c r="I26" s="3525">
        <v>1488.24</v>
      </c>
      <c r="K26">
        <v>25</v>
      </c>
      <c r="L26" t="s">
        <v>3415</v>
      </c>
      <c r="M26">
        <v>1348.62</v>
      </c>
      <c r="O26" s="3533"/>
      <c r="P26" s="3534" t="s">
        <v>3660</v>
      </c>
      <c r="Q26" s="3535" t="s">
        <v>3661</v>
      </c>
      <c r="R26" s="3531">
        <f t="shared" si="0"/>
        <v>1348.62</v>
      </c>
      <c r="S26" s="3535">
        <v>1429.77</v>
      </c>
      <c r="V26">
        <v>28</v>
      </c>
      <c r="Y26">
        <v>24</v>
      </c>
      <c r="Z26">
        <f>Sheet1!B54</f>
        <v>1429.77</v>
      </c>
      <c r="AC26" s="3693" t="s">
        <v>3415</v>
      </c>
      <c r="AD26" s="3694"/>
      <c r="AE26" s="3694">
        <v>1348.62</v>
      </c>
      <c r="AF26" s="3694"/>
    </row>
    <row r="27" spans="1:33" ht="15.6" thickTop="1">
      <c r="A27">
        <v>25</v>
      </c>
      <c r="B27">
        <v>1433.56</v>
      </c>
      <c r="C27">
        <v>24</v>
      </c>
      <c r="D27" s="3457">
        <v>28</v>
      </c>
      <c r="E27" s="3457">
        <v>1444.5</v>
      </c>
      <c r="H27" s="3522" t="s">
        <v>3589</v>
      </c>
      <c r="I27" s="3525"/>
      <c r="L27" t="s">
        <v>3416</v>
      </c>
      <c r="M27">
        <v>271.14</v>
      </c>
      <c r="O27" s="3536"/>
      <c r="P27" s="3526" t="s">
        <v>3662</v>
      </c>
      <c r="Q27" s="3537"/>
      <c r="R27" s="3538" t="s">
        <v>3663</v>
      </c>
      <c r="S27" s="3539">
        <f>SUM(S2:S26)</f>
        <v>35429.710000000006</v>
      </c>
      <c r="T27">
        <v>43.77</v>
      </c>
      <c r="U27">
        <v>35489.51</v>
      </c>
      <c r="Z27">
        <f>SUM(Z2:Z26)</f>
        <v>35429.710000000006</v>
      </c>
      <c r="AC27" s="3693" t="s">
        <v>3793</v>
      </c>
      <c r="AD27" s="3694"/>
      <c r="AE27" s="3694">
        <v>271.14</v>
      </c>
      <c r="AF27" s="3694"/>
    </row>
    <row r="28" spans="1:33" ht="26.4">
      <c r="A28">
        <v>26</v>
      </c>
      <c r="B28">
        <v>42.85</v>
      </c>
      <c r="H28" s="3522" t="s">
        <v>3590</v>
      </c>
      <c r="I28" s="3525">
        <v>1435.93</v>
      </c>
      <c r="L28" t="s">
        <v>3417</v>
      </c>
      <c r="M28">
        <v>271.14</v>
      </c>
      <c r="O28" s="3536"/>
      <c r="P28" s="3540" t="s">
        <v>3664</v>
      </c>
      <c r="Q28" s="3537"/>
      <c r="R28" s="3540" t="s">
        <v>3665</v>
      </c>
      <c r="S28" s="3541">
        <v>51.53</v>
      </c>
      <c r="U28">
        <f>U27-S27</f>
        <v>59.799999999995634</v>
      </c>
      <c r="AC28" s="3693" t="s">
        <v>3417</v>
      </c>
      <c r="AD28" s="3694"/>
      <c r="AE28" s="3694">
        <v>271.14</v>
      </c>
      <c r="AF28" s="3694"/>
    </row>
    <row r="29" spans="1:33" ht="26.4">
      <c r="A29" s="3456" t="s">
        <v>3387</v>
      </c>
      <c r="B29">
        <v>11570.68</v>
      </c>
      <c r="H29" s="3522" t="s">
        <v>3591</v>
      </c>
      <c r="I29" s="3525"/>
      <c r="L29" t="s">
        <v>3418</v>
      </c>
      <c r="M29">
        <v>1057.22</v>
      </c>
      <c r="O29" s="3536"/>
      <c r="P29" s="3540" t="s">
        <v>3666</v>
      </c>
      <c r="Q29" s="3537"/>
      <c r="R29" s="3540" t="s">
        <v>3667</v>
      </c>
      <c r="S29" s="3541">
        <f>S27+S28</f>
        <v>35481.240000000005</v>
      </c>
      <c r="AC29" s="3693" t="s">
        <v>3794</v>
      </c>
      <c r="AD29" s="3694"/>
      <c r="AE29" s="3694">
        <v>1057.22</v>
      </c>
      <c r="AF29" s="3694"/>
      <c r="AG29" s="3581" t="s">
        <v>3796</v>
      </c>
    </row>
    <row r="30" spans="1:33" ht="26.4">
      <c r="B30">
        <f>SUM(B3:B29)</f>
        <v>45690.529999999992</v>
      </c>
      <c r="H30" s="3522" t="s">
        <v>3592</v>
      </c>
      <c r="I30" s="3525">
        <v>1435.93</v>
      </c>
      <c r="L30" t="s">
        <v>3419</v>
      </c>
      <c r="M30">
        <v>289.42</v>
      </c>
      <c r="O30" s="3536"/>
      <c r="P30" s="3542" t="s">
        <v>3668</v>
      </c>
      <c r="Q30" s="3537"/>
      <c r="R30" s="3540" t="s">
        <v>3669</v>
      </c>
      <c r="S30" s="3541">
        <v>10432.68</v>
      </c>
      <c r="AC30" s="3701" t="s">
        <v>3795</v>
      </c>
      <c r="AD30" s="3702"/>
      <c r="AE30" s="3702">
        <v>289.42</v>
      </c>
      <c r="AF30" s="3702"/>
      <c r="AG30" s="3581" t="s">
        <v>3797</v>
      </c>
    </row>
    <row r="31" spans="1:33" ht="27" thickBot="1">
      <c r="H31" s="3522" t="s">
        <v>3593</v>
      </c>
      <c r="I31" s="3525"/>
      <c r="M31">
        <f>SUM(M2:M30)</f>
        <v>35614.279999999992</v>
      </c>
      <c r="O31" s="3536"/>
      <c r="P31" s="3542" t="s">
        <v>3670</v>
      </c>
      <c r="Q31" s="3537"/>
      <c r="R31" s="3543" t="s">
        <v>3671</v>
      </c>
      <c r="S31" s="3544">
        <f>S29+S30</f>
        <v>45913.920000000006</v>
      </c>
      <c r="U31" s="3456" t="s">
        <v>3811</v>
      </c>
      <c r="V31" s="3456" t="s">
        <v>3813</v>
      </c>
      <c r="AC31" s="3690"/>
      <c r="AD31" s="3691"/>
      <c r="AE31" s="3691"/>
      <c r="AF31" s="3691"/>
    </row>
    <row r="32" spans="1:33" ht="40.200000000000003" thickTop="1">
      <c r="H32" s="3522" t="s">
        <v>3594</v>
      </c>
      <c r="I32" s="3525">
        <v>1488.24</v>
      </c>
      <c r="O32" s="3536"/>
      <c r="P32" s="3542" t="s">
        <v>3672</v>
      </c>
      <c r="Q32" s="3537"/>
      <c r="R32" s="3537"/>
      <c r="S32" s="3536"/>
      <c r="U32" s="3582" t="s">
        <v>3798</v>
      </c>
      <c r="V32" s="3525">
        <v>976.21</v>
      </c>
      <c r="AC32" s="3690"/>
      <c r="AD32" s="3691"/>
      <c r="AE32" s="3691"/>
      <c r="AF32" s="3691"/>
    </row>
    <row r="33" spans="8:32" ht="26.4">
      <c r="H33" s="3522" t="s">
        <v>3595</v>
      </c>
      <c r="I33" s="3525"/>
      <c r="O33" s="3536"/>
      <c r="P33" s="3540" t="s">
        <v>3673</v>
      </c>
      <c r="Q33" s="3537"/>
      <c r="R33" s="3537"/>
      <c r="S33" s="3536"/>
      <c r="U33" s="3582" t="s">
        <v>3799</v>
      </c>
      <c r="V33" s="3525">
        <v>90.05</v>
      </c>
      <c r="AC33" s="3695"/>
      <c r="AD33" s="3696"/>
      <c r="AE33" s="3696"/>
      <c r="AF33" s="3696"/>
    </row>
    <row r="34" spans="8:32" ht="40.200000000000003" thickBot="1">
      <c r="H34" s="3522" t="s">
        <v>3596</v>
      </c>
      <c r="I34" s="3525">
        <v>1435.93</v>
      </c>
      <c r="O34" s="3536"/>
      <c r="P34" s="3543" t="s">
        <v>3674</v>
      </c>
      <c r="Q34" s="3537"/>
      <c r="R34" s="3537"/>
      <c r="S34" s="3536"/>
      <c r="U34" s="3582" t="s">
        <v>3800</v>
      </c>
      <c r="V34" s="3525">
        <v>201.86</v>
      </c>
      <c r="AC34" s="3697"/>
      <c r="AD34" s="3698"/>
      <c r="AE34" s="3698"/>
      <c r="AF34" s="3698"/>
    </row>
    <row r="35" spans="8:32" ht="15.6" thickTop="1">
      <c r="H35" s="3522" t="s">
        <v>3597</v>
      </c>
      <c r="I35" s="3525"/>
      <c r="U35" s="3582" t="s">
        <v>3801</v>
      </c>
      <c r="V35" s="3525">
        <v>64.599999999999994</v>
      </c>
      <c r="AC35" s="3690"/>
      <c r="AD35" s="3691"/>
      <c r="AE35" s="3691"/>
      <c r="AF35" s="3691"/>
    </row>
    <row r="36" spans="8:32" ht="15">
      <c r="H36" s="3522" t="s">
        <v>3598</v>
      </c>
      <c r="I36" s="3525">
        <v>1435.93</v>
      </c>
      <c r="U36" s="3582" t="s">
        <v>3802</v>
      </c>
      <c r="V36" s="3525">
        <v>64.599999999999994</v>
      </c>
      <c r="AC36" s="3690"/>
      <c r="AD36" s="3691"/>
      <c r="AE36" s="3691"/>
      <c r="AF36" s="3691"/>
    </row>
    <row r="37" spans="8:32" ht="15">
      <c r="H37" s="3522" t="s">
        <v>3599</v>
      </c>
      <c r="I37" s="3525"/>
      <c r="U37" s="3582" t="s">
        <v>3803</v>
      </c>
      <c r="V37" s="3525">
        <v>64.33</v>
      </c>
      <c r="AC37" s="3690"/>
      <c r="AD37" s="3691"/>
      <c r="AE37" s="3691"/>
      <c r="AF37" s="3691"/>
    </row>
    <row r="38" spans="8:32" ht="15">
      <c r="H38" s="3522" t="s">
        <v>3600</v>
      </c>
      <c r="I38" s="3525">
        <v>1488.24</v>
      </c>
      <c r="U38" s="3582" t="s">
        <v>3804</v>
      </c>
      <c r="V38" s="3525">
        <v>64.87</v>
      </c>
      <c r="AC38" s="3690"/>
      <c r="AD38" s="3691"/>
      <c r="AE38" s="3691"/>
      <c r="AF38" s="3691"/>
    </row>
    <row r="39" spans="8:32" ht="15">
      <c r="H39" s="3522" t="s">
        <v>3601</v>
      </c>
      <c r="I39" s="3525"/>
      <c r="U39" s="3582" t="s">
        <v>3805</v>
      </c>
      <c r="V39" s="3525">
        <v>78.510000000000005</v>
      </c>
      <c r="AC39" s="3690"/>
      <c r="AD39" s="3691"/>
      <c r="AE39" s="3691"/>
      <c r="AF39" s="3691"/>
    </row>
    <row r="40" spans="8:32" ht="15">
      <c r="H40" s="3522" t="s">
        <v>3602</v>
      </c>
      <c r="I40" s="3525">
        <v>1435.93</v>
      </c>
      <c r="U40" s="3582" t="s">
        <v>3806</v>
      </c>
      <c r="V40" s="3525">
        <v>269.08999999999997</v>
      </c>
      <c r="AC40" s="3690"/>
      <c r="AD40" s="3691"/>
      <c r="AE40" s="3691"/>
      <c r="AF40" s="3691"/>
    </row>
    <row r="41" spans="8:32" ht="15">
      <c r="H41" s="3522" t="s">
        <v>3603</v>
      </c>
      <c r="I41" s="3525"/>
      <c r="U41" s="3582" t="s">
        <v>3807</v>
      </c>
      <c r="V41" s="3525">
        <v>323.38</v>
      </c>
      <c r="AC41" s="3690"/>
      <c r="AD41" s="3691"/>
      <c r="AE41" s="3691"/>
      <c r="AF41" s="3691"/>
    </row>
    <row r="42" spans="8:32" ht="15">
      <c r="H42" s="3522" t="s">
        <v>3604</v>
      </c>
      <c r="I42" s="3525">
        <v>1435.93</v>
      </c>
      <c r="U42" s="3582" t="s">
        <v>3808</v>
      </c>
      <c r="V42" s="3525">
        <v>288.16000000000003</v>
      </c>
      <c r="AC42" s="3690"/>
      <c r="AD42" s="3691"/>
      <c r="AE42" s="3691"/>
      <c r="AF42" s="3691"/>
    </row>
    <row r="43" spans="8:32" ht="15">
      <c r="H43" s="3522" t="s">
        <v>3605</v>
      </c>
      <c r="I43" s="3525"/>
      <c r="U43" s="3582" t="s">
        <v>3809</v>
      </c>
      <c r="V43" s="3525">
        <v>92.81</v>
      </c>
      <c r="AC43" s="3690"/>
      <c r="AD43" s="3691"/>
      <c r="AE43" s="3691"/>
      <c r="AF43" s="3691"/>
    </row>
    <row r="44" spans="8:32" ht="15">
      <c r="H44" s="3522" t="s">
        <v>3606</v>
      </c>
      <c r="I44" s="3525">
        <v>1488.24</v>
      </c>
      <c r="U44" s="3582" t="s">
        <v>3810</v>
      </c>
      <c r="V44" s="3525">
        <v>92.81</v>
      </c>
      <c r="AC44" s="3690"/>
      <c r="AD44" s="3691"/>
      <c r="AE44" s="3691"/>
      <c r="AF44" s="3691"/>
    </row>
    <row r="45" spans="8:32" ht="15">
      <c r="H45" s="3522" t="s">
        <v>3607</v>
      </c>
      <c r="I45" s="3525"/>
      <c r="V45">
        <f>SUM(V32:V44)</f>
        <v>2671.2799999999993</v>
      </c>
      <c r="AC45" s="3690"/>
      <c r="AD45" s="3691"/>
      <c r="AE45" s="3691"/>
      <c r="AF45" s="3691"/>
    </row>
    <row r="46" spans="8:32" ht="15">
      <c r="H46" s="3522" t="s">
        <v>3608</v>
      </c>
      <c r="I46" s="3525">
        <v>1435.93</v>
      </c>
      <c r="AC46" s="3690"/>
      <c r="AD46" s="3691"/>
      <c r="AE46" s="3691"/>
      <c r="AF46" s="3691"/>
    </row>
    <row r="47" spans="8:32" ht="15">
      <c r="H47" s="3522" t="s">
        <v>3609</v>
      </c>
      <c r="I47" s="3525"/>
      <c r="AC47" s="3690"/>
      <c r="AD47" s="3691"/>
      <c r="AE47" s="3691"/>
      <c r="AF47" s="3691"/>
    </row>
    <row r="48" spans="8:32" ht="15">
      <c r="H48" s="3522" t="s">
        <v>3610</v>
      </c>
      <c r="I48" s="3525">
        <v>1435.93</v>
      </c>
      <c r="AC48" s="3690"/>
      <c r="AD48" s="3691"/>
      <c r="AE48" s="3691"/>
      <c r="AF48" s="3691"/>
    </row>
    <row r="49" spans="8:32" ht="15">
      <c r="H49" s="3522" t="s">
        <v>3611</v>
      </c>
      <c r="I49" s="3525"/>
      <c r="AC49" s="3690"/>
      <c r="AD49" s="3691"/>
      <c r="AE49" s="3691"/>
      <c r="AF49" s="3691"/>
    </row>
    <row r="50" spans="8:32" ht="15">
      <c r="H50" s="3522" t="s">
        <v>3612</v>
      </c>
      <c r="I50" s="3525">
        <v>1488.24</v>
      </c>
      <c r="AC50" s="3690"/>
      <c r="AD50" s="3691"/>
      <c r="AE50" s="3691"/>
      <c r="AF50" s="3691"/>
    </row>
    <row r="51" spans="8:32" ht="15">
      <c r="H51" s="3522" t="s">
        <v>3613</v>
      </c>
      <c r="I51" s="3525"/>
      <c r="AC51" s="3690"/>
      <c r="AD51" s="3691"/>
      <c r="AE51" s="3691"/>
      <c r="AF51" s="3691"/>
    </row>
    <row r="52" spans="8:32" ht="15">
      <c r="H52" s="3522" t="s">
        <v>3614</v>
      </c>
      <c r="I52" s="3525">
        <v>1429.77</v>
      </c>
      <c r="AC52" s="3690"/>
      <c r="AD52" s="3691"/>
      <c r="AE52" s="3691"/>
      <c r="AF52" s="3691"/>
    </row>
    <row r="53" spans="8:32" ht="15">
      <c r="H53" s="3522" t="s">
        <v>3615</v>
      </c>
      <c r="I53" s="3525"/>
      <c r="AC53" s="3690"/>
      <c r="AD53" s="3691"/>
      <c r="AE53" s="3691"/>
      <c r="AF53" s="3691"/>
    </row>
    <row r="54" spans="8:32" ht="15">
      <c r="H54" s="3522" t="s">
        <v>3616</v>
      </c>
      <c r="I54" s="3525">
        <v>1429.77</v>
      </c>
      <c r="AC54" s="3690"/>
      <c r="AD54" s="3691"/>
      <c r="AE54" s="3691"/>
      <c r="AF54" s="3691"/>
    </row>
    <row r="55" spans="8:32" ht="15">
      <c r="H55" s="3522" t="s">
        <v>3617</v>
      </c>
      <c r="I55" s="3523"/>
      <c r="AC55" s="3690"/>
      <c r="AD55" s="3691"/>
      <c r="AE55" s="3691"/>
      <c r="AF55" s="3691"/>
    </row>
    <row r="56" spans="8:32" ht="15">
      <c r="H56" s="3522" t="s">
        <v>3618</v>
      </c>
      <c r="I56" s="3523">
        <v>33.299999999999997</v>
      </c>
      <c r="AC56" s="3690"/>
      <c r="AD56" s="3691"/>
      <c r="AE56" s="3691"/>
      <c r="AF56" s="3691"/>
    </row>
    <row r="57" spans="8:32" ht="15">
      <c r="H57" s="3522" t="s">
        <v>3619</v>
      </c>
      <c r="I57" s="3523"/>
      <c r="AC57" s="3690"/>
      <c r="AD57" s="3691"/>
      <c r="AE57" s="3691"/>
      <c r="AF57" s="3691"/>
    </row>
    <row r="58" spans="8:32" ht="15">
      <c r="H58" s="3522" t="s">
        <v>3620</v>
      </c>
      <c r="I58" s="3523">
        <v>18.23</v>
      </c>
      <c r="AC58" s="3690"/>
      <c r="AD58" s="3691"/>
      <c r="AE58" s="3691"/>
      <c r="AF58" s="3691"/>
    </row>
    <row r="59" spans="8:32">
      <c r="AC59" s="3690"/>
      <c r="AD59" s="3691"/>
      <c r="AE59" s="3691"/>
      <c r="AF59" s="3691"/>
    </row>
    <row r="60" spans="8:32">
      <c r="AC60" s="3690"/>
      <c r="AD60" s="3691"/>
      <c r="AE60" s="3691"/>
      <c r="AF60" s="3691"/>
    </row>
    <row r="61" spans="8:32">
      <c r="AC61" s="3690"/>
      <c r="AD61" s="3691"/>
      <c r="AE61" s="3691"/>
      <c r="AF61" s="3691"/>
    </row>
    <row r="62" spans="8:32">
      <c r="AC62" s="3690"/>
      <c r="AD62" s="3691"/>
      <c r="AE62" s="3691"/>
      <c r="AF62" s="3691"/>
    </row>
    <row r="63" spans="8:32">
      <c r="AC63" s="3690"/>
      <c r="AD63" s="3691"/>
      <c r="AE63" s="3691"/>
      <c r="AF63" s="3691"/>
    </row>
    <row r="64" spans="8:32">
      <c r="AC64" s="3690"/>
      <c r="AD64" s="3691"/>
      <c r="AE64" s="3691"/>
      <c r="AF64" s="3691"/>
    </row>
    <row r="65" spans="29:32">
      <c r="AC65" s="3695"/>
      <c r="AD65" s="3696"/>
      <c r="AE65" s="3580"/>
      <c r="AF65" s="3580"/>
    </row>
    <row r="66" spans="29:32">
      <c r="AC66" s="3697"/>
      <c r="AD66" s="3698"/>
      <c r="AE66" s="3698"/>
      <c r="AF66" s="3698"/>
    </row>
    <row r="67" spans="29:32">
      <c r="AC67" s="3690"/>
      <c r="AD67" s="3691"/>
      <c r="AE67" s="3691"/>
      <c r="AF67" s="3691"/>
    </row>
    <row r="68" spans="29:32">
      <c r="AC68" s="3690"/>
      <c r="AD68" s="3691"/>
      <c r="AE68" s="3691"/>
      <c r="AF68" s="3691"/>
    </row>
    <row r="69" spans="29:32">
      <c r="AC69" s="3690"/>
      <c r="AD69" s="3691"/>
      <c r="AE69" s="3691"/>
      <c r="AF69" s="3691"/>
    </row>
    <row r="70" spans="29:32">
      <c r="AC70" s="3690"/>
      <c r="AD70" s="3691"/>
      <c r="AE70" s="3691"/>
      <c r="AF70" s="3691"/>
    </row>
    <row r="71" spans="29:32">
      <c r="AC71" s="3690"/>
      <c r="AD71" s="3691"/>
      <c r="AE71" s="3691"/>
      <c r="AF71" s="3691"/>
    </row>
    <row r="72" spans="29:32">
      <c r="AC72" s="3690"/>
      <c r="AD72" s="3691"/>
      <c r="AE72" s="3691"/>
      <c r="AF72" s="3691"/>
    </row>
    <row r="73" spans="29:32">
      <c r="AC73" s="3690"/>
      <c r="AD73" s="3691"/>
      <c r="AE73" s="3691"/>
      <c r="AF73" s="3691"/>
    </row>
    <row r="74" spans="29:32">
      <c r="AC74" s="3690"/>
      <c r="AD74" s="3691"/>
      <c r="AE74" s="3691"/>
      <c r="AF74" s="3691"/>
    </row>
    <row r="75" spans="29:32">
      <c r="AC75" s="3690"/>
      <c r="AD75" s="3691"/>
      <c r="AE75" s="3691"/>
      <c r="AF75" s="3691"/>
    </row>
    <row r="76" spans="29:32">
      <c r="AC76" s="3690"/>
      <c r="AD76" s="3691"/>
      <c r="AE76" s="3691"/>
      <c r="AF76" s="3691"/>
    </row>
    <row r="77" spans="29:32">
      <c r="AC77" s="3690"/>
      <c r="AD77" s="3691"/>
      <c r="AE77" s="3691"/>
      <c r="AF77" s="3691"/>
    </row>
    <row r="78" spans="29:32">
      <c r="AC78" s="3690"/>
      <c r="AD78" s="3691"/>
      <c r="AE78" s="3691"/>
      <c r="AF78" s="3691"/>
    </row>
    <row r="79" spans="29:32">
      <c r="AC79" s="3690"/>
      <c r="AD79" s="3691"/>
      <c r="AE79" s="3691"/>
      <c r="AF79" s="3691"/>
    </row>
    <row r="80" spans="29:32">
      <c r="AC80" s="3690"/>
      <c r="AD80" s="3691"/>
      <c r="AE80" s="3691"/>
      <c r="AF80" s="3691"/>
    </row>
    <row r="81" spans="29:32">
      <c r="AC81" s="3690"/>
      <c r="AD81" s="3691"/>
      <c r="AE81" s="3691"/>
      <c r="AF81" s="3691"/>
    </row>
    <row r="82" spans="29:32">
      <c r="AC82" s="3690"/>
      <c r="AD82" s="3691"/>
      <c r="AE82" s="3691"/>
      <c r="AF82" s="3691"/>
    </row>
    <row r="83" spans="29:32">
      <c r="AC83" s="3690"/>
      <c r="AD83" s="3691"/>
      <c r="AE83" s="3691"/>
      <c r="AF83" s="3691"/>
    </row>
    <row r="84" spans="29:32">
      <c r="AC84" s="3690"/>
      <c r="AD84" s="3691"/>
      <c r="AE84" s="3691"/>
      <c r="AF84" s="3691"/>
    </row>
    <row r="85" spans="29:32">
      <c r="AC85" s="3690"/>
      <c r="AD85" s="3691"/>
      <c r="AE85" s="3691"/>
      <c r="AF85" s="3691"/>
    </row>
    <row r="86" spans="29:32">
      <c r="AC86" s="3690"/>
      <c r="AD86" s="3691"/>
      <c r="AE86" s="3691"/>
      <c r="AF86" s="3691"/>
    </row>
    <row r="87" spans="29:32">
      <c r="AC87" s="3690"/>
      <c r="AD87" s="3691"/>
      <c r="AE87" s="3691"/>
      <c r="AF87" s="3691"/>
    </row>
  </sheetData>
  <mergeCells count="174">
    <mergeCell ref="AC30:AD30"/>
    <mergeCell ref="AE30:AF30"/>
    <mergeCell ref="AC27:AD27"/>
    <mergeCell ref="AE27:AF27"/>
    <mergeCell ref="AC28:AD28"/>
    <mergeCell ref="AE28:AF28"/>
    <mergeCell ref="AC29:AD29"/>
    <mergeCell ref="AE29:AF29"/>
    <mergeCell ref="AC24:AD24"/>
    <mergeCell ref="AE24:AF24"/>
    <mergeCell ref="AC25:AD25"/>
    <mergeCell ref="AE25:AF25"/>
    <mergeCell ref="AC26:AD26"/>
    <mergeCell ref="AE26:AF26"/>
    <mergeCell ref="AE21:AF21"/>
    <mergeCell ref="AC22:AD22"/>
    <mergeCell ref="AE22:AF22"/>
    <mergeCell ref="AC23:AD23"/>
    <mergeCell ref="AE23:AF23"/>
    <mergeCell ref="AC18:AD18"/>
    <mergeCell ref="AE18:AF18"/>
    <mergeCell ref="AC19:AD19"/>
    <mergeCell ref="AE19:AF19"/>
    <mergeCell ref="AC20:AD20"/>
    <mergeCell ref="AE20:AF20"/>
    <mergeCell ref="AC68:AD68"/>
    <mergeCell ref="AE68:AF68"/>
    <mergeCell ref="AC69:AD69"/>
    <mergeCell ref="AE69:AF69"/>
    <mergeCell ref="AC70:AD70"/>
    <mergeCell ref="AE70:AF70"/>
    <mergeCell ref="AC9:AD9"/>
    <mergeCell ref="AE9:AF9"/>
    <mergeCell ref="AC10:AD10"/>
    <mergeCell ref="AE10:AF10"/>
    <mergeCell ref="AC11:AD11"/>
    <mergeCell ref="AE11:AF11"/>
    <mergeCell ref="AC15:AD15"/>
    <mergeCell ref="AE15:AF15"/>
    <mergeCell ref="AC16:AD16"/>
    <mergeCell ref="AE16:AF16"/>
    <mergeCell ref="AC17:AD17"/>
    <mergeCell ref="AE17:AF17"/>
    <mergeCell ref="AC12:AD12"/>
    <mergeCell ref="AE12:AF12"/>
    <mergeCell ref="AC13:AD13"/>
    <mergeCell ref="AE13:AF13"/>
    <mergeCell ref="AC14:AD14"/>
    <mergeCell ref="AE14:AF14"/>
    <mergeCell ref="AC86:AD86"/>
    <mergeCell ref="AE86:AF86"/>
    <mergeCell ref="AC87:AD87"/>
    <mergeCell ref="AE87:AF87"/>
    <mergeCell ref="AC76:AD76"/>
    <mergeCell ref="AE76:AF76"/>
    <mergeCell ref="AC71:AD71"/>
    <mergeCell ref="AE71:AF71"/>
    <mergeCell ref="AC72:AD72"/>
    <mergeCell ref="AE72:AF72"/>
    <mergeCell ref="AC73:AD73"/>
    <mergeCell ref="AE73:AF73"/>
    <mergeCell ref="AC77:AD77"/>
    <mergeCell ref="AE77:AF77"/>
    <mergeCell ref="AC78:AD78"/>
    <mergeCell ref="AE78:AF78"/>
    <mergeCell ref="AC79:AD79"/>
    <mergeCell ref="AE79:AF79"/>
    <mergeCell ref="AC74:AD74"/>
    <mergeCell ref="AE74:AF74"/>
    <mergeCell ref="AC75:AD75"/>
    <mergeCell ref="AE75:AF75"/>
    <mergeCell ref="AC83:AD83"/>
    <mergeCell ref="AE83:AF83"/>
    <mergeCell ref="AC84:AD84"/>
    <mergeCell ref="AE84:AF84"/>
    <mergeCell ref="AC85:AD85"/>
    <mergeCell ref="AE85:AF85"/>
    <mergeCell ref="AC80:AD80"/>
    <mergeCell ref="AE80:AF80"/>
    <mergeCell ref="AC81:AD81"/>
    <mergeCell ref="AE81:AF81"/>
    <mergeCell ref="AC82:AD82"/>
    <mergeCell ref="AE82:AF82"/>
    <mergeCell ref="AC65:AD65"/>
    <mergeCell ref="AC66:AD66"/>
    <mergeCell ref="AE66:AF66"/>
    <mergeCell ref="AC67:AD67"/>
    <mergeCell ref="AE67:AF67"/>
    <mergeCell ref="AC62:AD62"/>
    <mergeCell ref="AE62:AF62"/>
    <mergeCell ref="AC63:AD63"/>
    <mergeCell ref="AE63:AF63"/>
    <mergeCell ref="AC64:AD64"/>
    <mergeCell ref="AE64:AF64"/>
    <mergeCell ref="AC59:AD59"/>
    <mergeCell ref="AE59:AF59"/>
    <mergeCell ref="AC60:AD60"/>
    <mergeCell ref="AE60:AF60"/>
    <mergeCell ref="AC61:AD61"/>
    <mergeCell ref="AE61:AF61"/>
    <mergeCell ref="AC56:AD56"/>
    <mergeCell ref="AE56:AF56"/>
    <mergeCell ref="AC57:AD57"/>
    <mergeCell ref="AE57:AF57"/>
    <mergeCell ref="AC58:AD58"/>
    <mergeCell ref="AE58:AF58"/>
    <mergeCell ref="AC53:AD53"/>
    <mergeCell ref="AE53:AF53"/>
    <mergeCell ref="AC54:AD54"/>
    <mergeCell ref="AE54:AF54"/>
    <mergeCell ref="AC55:AD55"/>
    <mergeCell ref="AE55:AF55"/>
    <mergeCell ref="AC50:AD50"/>
    <mergeCell ref="AE50:AF50"/>
    <mergeCell ref="AC51:AD51"/>
    <mergeCell ref="AE51:AF51"/>
    <mergeCell ref="AC52:AD52"/>
    <mergeCell ref="AE52:AF52"/>
    <mergeCell ref="AC47:AD47"/>
    <mergeCell ref="AE47:AF47"/>
    <mergeCell ref="AC48:AD48"/>
    <mergeCell ref="AE48:AF48"/>
    <mergeCell ref="AC49:AD49"/>
    <mergeCell ref="AE49:AF49"/>
    <mergeCell ref="AC44:AD44"/>
    <mergeCell ref="AE44:AF44"/>
    <mergeCell ref="AC45:AD45"/>
    <mergeCell ref="AE45:AF45"/>
    <mergeCell ref="AC46:AD46"/>
    <mergeCell ref="AE46:AF46"/>
    <mergeCell ref="AC42:AD42"/>
    <mergeCell ref="AE42:AF42"/>
    <mergeCell ref="AC43:AD43"/>
    <mergeCell ref="AE43:AF43"/>
    <mergeCell ref="AC38:AD38"/>
    <mergeCell ref="AE38:AF38"/>
    <mergeCell ref="AC39:AD39"/>
    <mergeCell ref="AE39:AF39"/>
    <mergeCell ref="AC40:AD40"/>
    <mergeCell ref="AE40:AF40"/>
    <mergeCell ref="AC37:AD37"/>
    <mergeCell ref="AE37:AF37"/>
    <mergeCell ref="AC32:AD32"/>
    <mergeCell ref="AE32:AF32"/>
    <mergeCell ref="AC33:AD33"/>
    <mergeCell ref="AE33:AF33"/>
    <mergeCell ref="AC34:AD34"/>
    <mergeCell ref="AE34:AF34"/>
    <mergeCell ref="AC41:AD41"/>
    <mergeCell ref="AE41:AF41"/>
    <mergeCell ref="AC31:AD31"/>
    <mergeCell ref="AE31:AF31"/>
    <mergeCell ref="E20:E22"/>
    <mergeCell ref="AC1:AD1"/>
    <mergeCell ref="AE1:AF1"/>
    <mergeCell ref="AC35:AD35"/>
    <mergeCell ref="AE35:AF35"/>
    <mergeCell ref="AC36:AD36"/>
    <mergeCell ref="AE36:AF36"/>
    <mergeCell ref="AC2:AD2"/>
    <mergeCell ref="AE2:AF2"/>
    <mergeCell ref="AC3:AD3"/>
    <mergeCell ref="AE3:AF3"/>
    <mergeCell ref="AC4:AD4"/>
    <mergeCell ref="AE4:AF4"/>
    <mergeCell ref="AC5:AD5"/>
    <mergeCell ref="AE5:AF5"/>
    <mergeCell ref="AC6:AD6"/>
    <mergeCell ref="AE6:AF6"/>
    <mergeCell ref="AC7:AD7"/>
    <mergeCell ref="AE7:AF7"/>
    <mergeCell ref="AC8:AD8"/>
    <mergeCell ref="AE8:AF8"/>
    <mergeCell ref="AC21:AD21"/>
  </mergeCells>
  <phoneticPr fontId="134" type="noConversion"/>
  <pageMargins left="0.7" right="0.7" top="0.75" bottom="0.75" header="0.3" footer="0.3"/>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0" zoomScaleNormal="80" zoomScaleSheetLayoutView="90" workbookViewId="0">
      <pane xSplit="3" ySplit="5" topLeftCell="D6" activePane="bottomRight" state="frozen"/>
      <selection activeCell="C50" sqref="C50"/>
      <selection pane="topRight" activeCell="C50" sqref="C50"/>
      <selection pane="bottomLeft" activeCell="C50" sqref="C50"/>
      <selection pane="bottomRight" activeCell="J13" sqref="J13"/>
    </sheetView>
  </sheetViews>
  <sheetFormatPr defaultColWidth="13.77734375" defaultRowHeight="13.2"/>
  <cols>
    <col min="1" max="1" width="20.88671875" style="1745" customWidth="1"/>
    <col min="2" max="2" width="12" style="1682" customWidth="1"/>
    <col min="3" max="3" width="12.77734375" style="1682" customWidth="1"/>
    <col min="4" max="4" width="9.109375" style="1746" customWidth="1"/>
    <col min="5" max="5" width="15" style="1682" bestFit="1" customWidth="1"/>
    <col min="6" max="10" width="8.88671875" style="1682" customWidth="1"/>
    <col min="11" max="12" width="12.33203125" style="1601" customWidth="1"/>
    <col min="13" max="13" width="8.6640625" style="1682" customWidth="1"/>
    <col min="14" max="14" width="11.88671875" style="1682" customWidth="1"/>
    <col min="15" max="15" width="8.44140625" style="1682" customWidth="1"/>
    <col min="16" max="17" width="10.88671875" style="1682" customWidth="1"/>
    <col min="18" max="19" width="12.44140625" style="1682" customWidth="1"/>
    <col min="20" max="20" width="12.109375" style="1682" customWidth="1"/>
    <col min="21" max="21" width="7.44140625" style="1682" customWidth="1"/>
    <col min="22" max="22" width="6.33203125" style="1682" customWidth="1"/>
    <col min="23" max="30" width="6.77734375" style="1682" customWidth="1"/>
    <col min="31" max="31" width="8" style="1682" customWidth="1"/>
    <col min="32" max="34" width="7.21875" style="1682" customWidth="1"/>
    <col min="35" max="39" width="8" style="1682" customWidth="1"/>
    <col min="40" max="40" width="13.77734375" style="1681"/>
    <col min="41" max="41" width="11.6640625" style="1681" customWidth="1"/>
    <col min="42" max="42" width="9.77734375" style="1681" customWidth="1"/>
    <col min="43" max="67" width="13.77734375" style="1681"/>
    <col min="68" max="16384" width="13.77734375" style="1682"/>
  </cols>
  <sheetData>
    <row r="1" spans="1:67" ht="18"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 thickBot="1">
      <c r="A2" s="1683" t="s">
        <v>1161</v>
      </c>
      <c r="B2" s="1045">
        <f>项目基本情况!D3</f>
        <v>45478</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4.4"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57.6">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3679</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3.8">
      <c r="A6" s="1712" t="str">
        <f>'数据-汇总表'!C19</f>
        <v>商业</v>
      </c>
      <c r="B6" s="1713" t="str">
        <f>IF(A6=0,"","经营性")</f>
        <v>经营性</v>
      </c>
      <c r="C6" s="1714" t="s">
        <v>673</v>
      </c>
      <c r="D6" s="858">
        <f>SUMIF(项目基本情况!C$12:I$12,C6,项目基本情况!C$14:I$14)</f>
        <v>40</v>
      </c>
      <c r="E6" s="857">
        <f>IF(B6="","",SUMIF(项目基本情况!C$12:I$12,C6,项目基本情况!C$13:I$13))</f>
        <v>0</v>
      </c>
      <c r="F6" s="64">
        <f>SUMIF(项目基本情况!C$12:I$12,C6,项目基本情况!C$15:I$15)</f>
        <v>0</v>
      </c>
      <c r="G6" s="65">
        <f>IF(ISERROR(ROUND(POWER(1+H6,D6-F6)*(POWER(1+H6,F6)-1)/(POWER(1+H6,D6)-1),3)),0,ROUND(POWER(1+H6,D6-F6)*(POWER(1+H6,F6)-1)/(POWER(1+H6,D6)-1),3))</f>
        <v>0</v>
      </c>
      <c r="H6" s="732">
        <v>0.04</v>
      </c>
      <c r="I6" s="732">
        <v>5.5E-2</v>
      </c>
      <c r="J6" s="66">
        <v>0.06</v>
      </c>
      <c r="K6" s="1030">
        <f>SUMIF('数据-汇总表'!C$19:C$33,A6,'数据-汇总表'!E$19:E$33)</f>
        <v>1078.0900000000001</v>
      </c>
      <c r="L6" s="733">
        <v>3500</v>
      </c>
      <c r="M6" s="67">
        <f t="shared" ref="M6:M14" si="0">ROUND(K6*L6/10000,0)</f>
        <v>377</v>
      </c>
      <c r="N6" s="731">
        <v>0.7</v>
      </c>
      <c r="O6" s="67" t="str">
        <f>IF($N$5="成新度","——",ROUND(M6*N6,0))</f>
        <v>——</v>
      </c>
      <c r="P6" s="68" t="str">
        <f>IF($N$5="成新度","——",M6-O6)</f>
        <v>——</v>
      </c>
      <c r="Q6" s="734">
        <v>0.3</v>
      </c>
      <c r="R6" s="69">
        <f ca="1">SUMIF('数据-汇总表'!C$19:C$33,A6,'数据-汇总表'!R$19:R$27)</f>
        <v>0</v>
      </c>
      <c r="S6" s="51">
        <f>IF('数据-汇总表'!$I$17="按面积比例",SUMIF('数据-汇总表'!C$19:C$33,A6,'数据-汇总表'!K$19:K$33),SUMIF('数据-汇总表'!C$19:C$33,A6,'数据-汇总表'!N$19:N$33))</f>
        <v>0</v>
      </c>
      <c r="T6" s="1172">
        <f>ROUND($L$14*S6/10000,0)</f>
        <v>0</v>
      </c>
      <c r="U6" s="3428"/>
      <c r="V6" s="70"/>
      <c r="W6" s="70"/>
      <c r="X6" s="1040"/>
      <c r="Y6" s="71"/>
      <c r="Z6" s="72"/>
      <c r="AA6" s="66"/>
      <c r="AB6" s="66"/>
      <c r="AC6" s="1040"/>
      <c r="AD6" s="73"/>
      <c r="AE6" s="1041">
        <f ca="1">IF(AN6="",0,SUMIF(INDIRECT("'"&amp;AN6&amp;"'"&amp;"!E:E"),$AE$5,INDIRECT("'"&amp;AN6&amp;"'"&amp;"!F:F")))</f>
        <v>0</v>
      </c>
      <c r="AF6" s="1348"/>
      <c r="AG6" s="138">
        <f>IF(AF6="",0,AE6-AF6)</f>
        <v>0</v>
      </c>
      <c r="AH6" s="74">
        <f>'数据-汇总表'!F19</f>
        <v>1078.0900000000001</v>
      </c>
      <c r="AI6" s="76">
        <v>365</v>
      </c>
      <c r="AJ6" s="77"/>
      <c r="AK6" s="78">
        <v>0.02</v>
      </c>
      <c r="AL6" s="79">
        <v>2E-3</v>
      </c>
      <c r="AM6" s="80">
        <v>0.02</v>
      </c>
      <c r="AN6" s="1715"/>
      <c r="AO6" s="52" t="e">
        <f ca="1">SUMIF(INDIRECT("'"&amp;AN6&amp;"'"&amp;"!A:A"),"总价",INDIRECT("'"&amp;AN6&amp;"'"&amp;"!B:B"))</f>
        <v>#REF!</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3.8">
      <c r="A7" s="1712" t="str">
        <f>'数据-汇总表'!C20</f>
        <v>办公</v>
      </c>
      <c r="B7" s="1713" t="str">
        <f t="shared" ref="B7:B13" si="1">IF(A7=0,"","经营性")</f>
        <v>经营性</v>
      </c>
      <c r="C7" s="1714" t="s">
        <v>21</v>
      </c>
      <c r="D7" s="858">
        <f>SUMIF(项目基本情况!C$12:I$12,C7,项目基本情况!C$14:I$14)</f>
        <v>50</v>
      </c>
      <c r="E7" s="857">
        <f>IF(B7="","",SUMIF(项目基本情况!C$12:I$12,C7,项目基本情况!C$13:I$13))</f>
        <v>56227</v>
      </c>
      <c r="F7" s="64">
        <f>SUMIF(项目基本情况!C$12:I$12,C7,项目基本情况!C$15:I$15)</f>
        <v>29.44</v>
      </c>
      <c r="G7" s="65">
        <f t="shared" ref="G7:G11" si="2">IF(ISERROR(ROUND(POWER(1+H7,D7-F7)*(POWER(1+H7,F7)-1)/(POWER(1+H7,D7)-1),3)),0,ROUND(POWER(1+H7,D7-F7)*(POWER(1+H7,F7)-1)/(POWER(1+H7,D7)-1),3))</f>
        <v>0.79700000000000004</v>
      </c>
      <c r="H7" s="732">
        <v>0.04</v>
      </c>
      <c r="I7" s="732">
        <v>5.5E-2</v>
      </c>
      <c r="J7" s="66">
        <v>0.06</v>
      </c>
      <c r="K7" s="1030">
        <f>SUMIF('数据-汇总表'!C$19:C$33,A7,'数据-汇总表'!E$19:E$33)</f>
        <v>1336.34</v>
      </c>
      <c r="L7" s="733">
        <v>3500</v>
      </c>
      <c r="M7" s="67">
        <f t="shared" si="0"/>
        <v>468</v>
      </c>
      <c r="N7" s="731">
        <v>0.7</v>
      </c>
      <c r="O7" s="67" t="str">
        <f t="shared" ref="O7:O14" si="3">IF($N$5="成新度","——",ROUND(M7*N7,0))</f>
        <v>——</v>
      </c>
      <c r="P7" s="68" t="str">
        <f t="shared" ref="P7:P14" si="4">IF($N$5="成新度","——",M7-O7)</f>
        <v>——</v>
      </c>
      <c r="Q7" s="734">
        <v>0.25</v>
      </c>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f>'数据-汇总表'!F20</f>
        <v>1336.34</v>
      </c>
      <c r="AI7" s="76">
        <v>365</v>
      </c>
      <c r="AJ7" s="77"/>
      <c r="AK7" s="78">
        <v>0.02</v>
      </c>
      <c r="AL7" s="79">
        <v>2E-3</v>
      </c>
      <c r="AM7" s="80">
        <v>0.02</v>
      </c>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3.8">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3.8">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3.8">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3.8">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3.8">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3.8">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4">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8.8">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 thickBot="1">
      <c r="A16" s="1719" t="s">
        <v>1209</v>
      </c>
      <c r="B16" s="88"/>
      <c r="C16" s="833"/>
      <c r="D16" s="1720"/>
      <c r="E16" s="88"/>
      <c r="F16" s="88"/>
      <c r="G16" s="89">
        <f>ROUND(SUMPRODUCT(G6:G13,K6:K13)/SUMPRODUCT((G6:G13&gt;0)*(K6:K13)),3)</f>
        <v>0.79700000000000004</v>
      </c>
      <c r="H16" s="90">
        <f>ROUND(SUMPRODUCT(H6:H13,K6:K13)/SUMPRODUCT((H6:H13&gt;0)*(K6:K13)),3)</f>
        <v>0.04</v>
      </c>
      <c r="I16" s="91"/>
      <c r="J16" s="91"/>
      <c r="K16" s="92">
        <f>SUM(K6:K15)</f>
        <v>2414.4300000000003</v>
      </c>
      <c r="L16" s="93">
        <f>ROUND(M16*10000/SUM(K6:K14),0)</f>
        <v>3500</v>
      </c>
      <c r="M16" s="93">
        <f>SUM(M6:M14)</f>
        <v>845</v>
      </c>
      <c r="N16" s="94">
        <f>ROUND(SUMPRODUCT(M6:M14,N6:N14)/M16,3)</f>
        <v>0.7</v>
      </c>
      <c r="O16" s="93">
        <f>SUM(O6:O14)</f>
        <v>0</v>
      </c>
      <c r="P16" s="93">
        <f>SUM(P6:P14)</f>
        <v>0</v>
      </c>
      <c r="Q16" s="95">
        <f>ROUND(SUMPRODUCT(Q6:Q13,K6:K13)/SUMPRODUCT((Q6:Q13&gt;0)*(K6:K13)),2)</f>
        <v>0.27</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8"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4">
      <c r="A19" s="1722" t="s">
        <v>1211</v>
      </c>
      <c r="B19" s="103">
        <v>0</v>
      </c>
      <c r="C19" s="2799" t="s">
        <v>2305</v>
      </c>
      <c r="D19" s="2676"/>
      <c r="E19" s="2673"/>
      <c r="F19" s="2673"/>
      <c r="G19" s="2673"/>
      <c r="H19" s="2673"/>
      <c r="I19" s="2673"/>
      <c r="J19" s="2673"/>
      <c r="K19" s="2672">
        <v>2024</v>
      </c>
      <c r="L19" s="2672"/>
      <c r="M19" s="2671"/>
      <c r="N19" s="2671"/>
      <c r="O19" s="2671"/>
      <c r="P19" s="2671"/>
      <c r="Q19" s="2671"/>
      <c r="R19" s="2671"/>
      <c r="S19" s="2671"/>
      <c r="T19" s="2671"/>
      <c r="U19" s="2671"/>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4">
      <c r="A20" s="1723" t="s">
        <v>1212</v>
      </c>
      <c r="B20" s="104">
        <v>2</v>
      </c>
      <c r="C20" s="2800" t="s">
        <v>2303</v>
      </c>
      <c r="D20" s="2676"/>
      <c r="E20" s="2673"/>
      <c r="F20" s="2673"/>
      <c r="G20" s="2673"/>
      <c r="H20" s="2673"/>
      <c r="I20" s="2673"/>
      <c r="J20" s="2673"/>
      <c r="K20" s="2672">
        <v>2005</v>
      </c>
      <c r="L20" s="2672">
        <f>K19-K20</f>
        <v>19</v>
      </c>
      <c r="M20" s="2671"/>
      <c r="N20" s="2671"/>
      <c r="O20" s="2671"/>
      <c r="P20" s="2671"/>
      <c r="Q20" s="2671"/>
      <c r="R20" s="2671"/>
      <c r="S20" s="2671"/>
      <c r="T20" s="2671"/>
      <c r="U20" s="2671"/>
      <c r="V20" s="2671"/>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4">
      <c r="A21" s="1724" t="s">
        <v>1213</v>
      </c>
      <c r="B21" s="104">
        <v>2</v>
      </c>
      <c r="C21" s="2673"/>
      <c r="D21" s="2676"/>
      <c r="E21" s="2673"/>
      <c r="F21" s="2673"/>
      <c r="G21" s="2673"/>
      <c r="H21" s="2673"/>
      <c r="I21" s="2673"/>
      <c r="J21" s="2673"/>
      <c r="K21" s="2672"/>
      <c r="L21" s="2672">
        <f>L20/60</f>
        <v>0.31666666666666665</v>
      </c>
      <c r="M21" s="2671"/>
      <c r="N21" s="2671"/>
      <c r="O21" s="2671"/>
      <c r="P21" s="2671"/>
      <c r="Q21" s="2671"/>
      <c r="R21" s="2671"/>
      <c r="S21" s="2671"/>
      <c r="T21" s="2671"/>
      <c r="U21" s="2671"/>
      <c r="V21" s="2671"/>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4">
      <c r="A22" s="1723" t="s">
        <v>1214</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4">
      <c r="A23" s="1724" t="s">
        <v>1215</v>
      </c>
      <c r="B23" s="105">
        <f>B19+B21</f>
        <v>2</v>
      </c>
      <c r="C23" s="2673"/>
      <c r="D23" s="2676"/>
      <c r="E23" s="2673"/>
      <c r="F23" s="2673"/>
      <c r="G23" s="2673"/>
      <c r="H23" s="2673"/>
      <c r="I23" s="2673"/>
      <c r="J23" s="2673"/>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0</v>
      </c>
      <c r="C24" s="2673"/>
      <c r="D24" s="2676"/>
      <c r="E24" s="2673"/>
      <c r="F24" s="2673"/>
      <c r="G24" s="2673"/>
      <c r="H24" s="2673"/>
      <c r="I24" s="2673"/>
      <c r="J24" s="2673"/>
      <c r="K24" s="2672"/>
      <c r="L24" s="2672"/>
      <c r="M24" s="2671"/>
      <c r="N24" s="2671"/>
      <c r="O24" s="2671"/>
      <c r="P24" s="2671"/>
      <c r="Q24" s="2671"/>
      <c r="R24" s="2671"/>
      <c r="S24" s="267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4.4"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8.8">
      <c r="A27" s="1727" t="s">
        <v>1220</v>
      </c>
      <c r="B27" s="107">
        <v>160</v>
      </c>
      <c r="C27" s="2801" t="s">
        <v>2307</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8.8">
      <c r="A28" s="1729" t="s">
        <v>1221</v>
      </c>
      <c r="B28" s="110">
        <v>200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9.4" thickBot="1">
      <c r="A29" s="1730" t="s">
        <v>1222</v>
      </c>
      <c r="B29" s="112">
        <v>200</v>
      </c>
      <c r="C29" s="2802" t="s">
        <v>2294</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8.8">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8.8">
      <c r="A31" s="1729" t="s">
        <v>1224</v>
      </c>
      <c r="B31" s="111">
        <f>B30-B32</f>
        <v>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9.4" thickBot="1">
      <c r="A32" s="1732" t="s">
        <v>1225</v>
      </c>
      <c r="B32" s="672">
        <v>200</v>
      </c>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4">
      <c r="A33" s="1727" t="s">
        <v>1226</v>
      </c>
      <c r="B33" s="673">
        <v>0.03</v>
      </c>
      <c r="C33" s="2803" t="s">
        <v>2295</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4">
      <c r="A34" s="1729" t="s">
        <v>1227</v>
      </c>
      <c r="B34" s="113">
        <v>0.1</v>
      </c>
      <c r="C34" s="2803" t="s">
        <v>2296</v>
      </c>
      <c r="D34" s="2684" t="s">
        <v>2304</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4">
      <c r="A35" s="1729" t="s">
        <v>1228</v>
      </c>
      <c r="B35" s="110">
        <v>200</v>
      </c>
      <c r="C35" s="2803" t="s">
        <v>2297</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3" t="s">
        <v>2298</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4">
      <c r="A37" s="1731" t="s">
        <v>1230</v>
      </c>
      <c r="B37" s="115">
        <v>0.02</v>
      </c>
      <c r="C37" s="2803" t="s">
        <v>2299</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4">
      <c r="A38" s="1729" t="s">
        <v>1231</v>
      </c>
      <c r="B38" s="113">
        <v>0.02</v>
      </c>
      <c r="C38" s="2803" t="s">
        <v>2299</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4">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14.4" thickBot="1">
      <c r="A40" s="2815" t="s">
        <v>2314</v>
      </c>
      <c r="B40" s="1078">
        <f ca="1">IF(A40="利息：取LPR",存贷款利率!G1,存贷款利率!G1+C40)</f>
        <v>3.4500000000000003E-2</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4">
      <c r="A41" s="1727" t="s">
        <v>1233</v>
      </c>
      <c r="B41" s="116">
        <f>B42+B43</f>
        <v>5.6000000000000001E-2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4">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4">
      <c r="A43" s="1733" t="s">
        <v>1235</v>
      </c>
      <c r="B43" s="118">
        <f>B42*(B44+B45+B46)+B47</f>
        <v>6.000000000000001E-3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4">
      <c r="A44" s="1734" t="s">
        <v>1236</v>
      </c>
      <c r="B44" s="119">
        <v>7.0000000000000007E-2</v>
      </c>
      <c r="C44" s="2803" t="s">
        <v>2308</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4">
      <c r="A45" s="1734" t="s">
        <v>1237</v>
      </c>
      <c r="B45" s="117">
        <v>0.03</v>
      </c>
      <c r="C45" s="2802" t="s">
        <v>2300</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4">
      <c r="A46" s="1734" t="s">
        <v>1238</v>
      </c>
      <c r="B46" s="117">
        <v>0.02</v>
      </c>
      <c r="C46" s="2802" t="s">
        <v>2301</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v>0</v>
      </c>
      <c r="C47" s="2805" t="s">
        <v>2309</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4">
      <c r="A48" s="1736" t="s">
        <v>1240</v>
      </c>
      <c r="B48" s="121">
        <v>0.03</v>
      </c>
      <c r="C48" s="2802" t="s">
        <v>2300</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2302</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4">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4">
      <c r="A52" s="1737" t="s">
        <v>1244</v>
      </c>
      <c r="B52" s="124">
        <f>SUMIF(A54:A63,B53,B54:B63)</f>
        <v>18</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8.8">
      <c r="A53" s="1729" t="s">
        <v>1245</v>
      </c>
      <c r="B53" s="1738" t="s">
        <v>296</v>
      </c>
      <c r="C53" s="2661" t="s">
        <v>1246</v>
      </c>
      <c r="D53" s="2804" t="s">
        <v>2306</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4">
      <c r="A54" s="1739" t="s">
        <v>1247</v>
      </c>
      <c r="B54" s="75">
        <f>C54</f>
        <v>30</v>
      </c>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4">
      <c r="A55" s="1739" t="s">
        <v>1248</v>
      </c>
      <c r="B55" s="75">
        <f t="shared" ref="B55:B59" si="12">C55</f>
        <v>24</v>
      </c>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4">
      <c r="A56" s="1739" t="s">
        <v>1249</v>
      </c>
      <c r="B56" s="75">
        <f t="shared" si="12"/>
        <v>18</v>
      </c>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4">
      <c r="A57" s="1739" t="s">
        <v>1250</v>
      </c>
      <c r="B57" s="75">
        <f t="shared" si="12"/>
        <v>12</v>
      </c>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4">
      <c r="A58" s="1739" t="s">
        <v>1251</v>
      </c>
      <c r="B58" s="75">
        <f t="shared" si="12"/>
        <v>3</v>
      </c>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4">
      <c r="A59" s="1739" t="s">
        <v>1252</v>
      </c>
      <c r="B59" s="75">
        <f t="shared" si="12"/>
        <v>1.5</v>
      </c>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4">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4">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4">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H9" sqref="H9"/>
    </sheetView>
  </sheetViews>
  <sheetFormatPr defaultColWidth="9" defaultRowHeight="13.8"/>
  <cols>
    <col min="1" max="1" width="9.44140625" style="1686" customWidth="1"/>
    <col min="2" max="2" width="24.44140625" style="1572" customWidth="1"/>
    <col min="3" max="3" width="24.44140625" style="2510" customWidth="1"/>
    <col min="4" max="4" width="2.6640625" style="2510" customWidth="1"/>
    <col min="5" max="5" width="5.88671875" style="2510" customWidth="1"/>
    <col min="6" max="6" width="27" style="1572" customWidth="1"/>
    <col min="7" max="7" width="27" style="2511" customWidth="1"/>
    <col min="8" max="8" width="11.88671875" style="2491" customWidth="1"/>
    <col min="9" max="9" width="16.77734375" style="2492" customWidth="1"/>
    <col min="10" max="10" width="2.6640625" style="2491" customWidth="1"/>
    <col min="11" max="11" width="11.88671875" style="2491" customWidth="1"/>
    <col min="12" max="12" width="16.77734375" style="2492" customWidth="1"/>
    <col min="13" max="13" width="2.6640625" style="2491" customWidth="1"/>
    <col min="14" max="14" width="11.88671875" style="2491" customWidth="1"/>
    <col min="15" max="15" width="16.77734375" style="2492" customWidth="1"/>
    <col min="16" max="16" width="2.6640625" style="2491" customWidth="1"/>
    <col min="17" max="17" width="11.88671875" style="2491" customWidth="1"/>
    <col min="18" max="18" width="16.77734375" style="2493" customWidth="1"/>
    <col min="19" max="29" width="9" style="799"/>
    <col min="30" max="16384" width="9" style="1686"/>
  </cols>
  <sheetData>
    <row r="1" spans="1:29" s="2457" customFormat="1" ht="18" thickBot="1">
      <c r="A1" s="3703" t="s">
        <v>2286</v>
      </c>
      <c r="B1" s="3704"/>
      <c r="C1" s="3704"/>
      <c r="D1" s="3704"/>
      <c r="E1" s="3704"/>
      <c r="F1" s="3704"/>
      <c r="G1" s="3704"/>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4.4" thickBot="1">
      <c r="A2" s="2458"/>
      <c r="B2" s="2459"/>
      <c r="C2" s="2460" t="s">
        <v>2281</v>
      </c>
      <c r="D2" s="2461"/>
      <c r="E2" s="2458"/>
      <c r="F2" s="2462"/>
      <c r="G2" s="2460" t="s">
        <v>2282</v>
      </c>
      <c r="H2" s="799"/>
      <c r="I2" s="799"/>
      <c r="J2" s="799"/>
      <c r="K2" s="799"/>
      <c r="L2" s="799"/>
      <c r="M2" s="799"/>
      <c r="N2" s="799"/>
      <c r="O2" s="799"/>
      <c r="P2" s="799"/>
      <c r="Q2" s="799"/>
      <c r="R2" s="799"/>
    </row>
    <row r="3" spans="1:29" ht="48">
      <c r="A3" s="2441" t="s">
        <v>2283</v>
      </c>
      <c r="B3" s="2463" t="s">
        <v>2252</v>
      </c>
      <c r="C3" s="2464" t="s">
        <v>2284</v>
      </c>
      <c r="D3" s="2465"/>
      <c r="E3" s="2442" t="s">
        <v>2283</v>
      </c>
      <c r="F3" s="2466" t="s">
        <v>2253</v>
      </c>
      <c r="G3" s="2467" t="s">
        <v>2285</v>
      </c>
      <c r="H3" s="799"/>
      <c r="I3" s="799"/>
      <c r="J3" s="799"/>
      <c r="K3" s="799"/>
      <c r="L3" s="799"/>
      <c r="M3" s="799"/>
      <c r="N3" s="799"/>
      <c r="O3" s="799"/>
      <c r="P3" s="799"/>
      <c r="Q3" s="799"/>
      <c r="R3" s="799"/>
    </row>
    <row r="4" spans="1:29" ht="37.200000000000003">
      <c r="A4" s="2442"/>
      <c r="B4" s="323" t="s">
        <v>2254</v>
      </c>
      <c r="C4" s="2468" t="s">
        <v>2255</v>
      </c>
      <c r="D4" s="2465"/>
      <c r="E4" s="2469"/>
      <c r="F4" s="1373" t="s">
        <v>2256</v>
      </c>
      <c r="G4" s="2470" t="s">
        <v>2257</v>
      </c>
      <c r="H4" s="799"/>
      <c r="I4" s="799"/>
      <c r="J4" s="799"/>
      <c r="K4" s="799"/>
      <c r="L4" s="799"/>
      <c r="M4" s="799"/>
      <c r="N4" s="799"/>
      <c r="O4" s="799"/>
      <c r="P4" s="799"/>
      <c r="Q4" s="799"/>
      <c r="R4" s="799"/>
    </row>
    <row r="5" spans="1:29" ht="37.200000000000003">
      <c r="A5" s="2442"/>
      <c r="B5" s="323" t="s">
        <v>2258</v>
      </c>
      <c r="C5" s="2468" t="s">
        <v>2259</v>
      </c>
      <c r="D5" s="2465"/>
      <c r="E5" s="2469"/>
      <c r="F5" s="323" t="s">
        <v>2260</v>
      </c>
      <c r="G5" s="2470" t="s">
        <v>2261</v>
      </c>
      <c r="H5" s="799"/>
      <c r="I5" s="799"/>
      <c r="J5" s="799"/>
      <c r="K5" s="799"/>
      <c r="L5" s="799"/>
      <c r="M5" s="799"/>
      <c r="N5" s="799"/>
      <c r="O5" s="799"/>
      <c r="P5" s="799"/>
      <c r="Q5" s="799"/>
      <c r="R5" s="799"/>
    </row>
    <row r="6" spans="1:29" ht="48">
      <c r="A6" s="2442"/>
      <c r="B6" s="323" t="s">
        <v>2262</v>
      </c>
      <c r="C6" s="2470" t="s">
        <v>2257</v>
      </c>
      <c r="D6" s="2465"/>
      <c r="E6" s="2469"/>
      <c r="F6" s="323" t="s">
        <v>2263</v>
      </c>
      <c r="G6" s="2470" t="s">
        <v>2264</v>
      </c>
      <c r="H6" s="799"/>
      <c r="I6" s="799"/>
      <c r="J6" s="799"/>
      <c r="K6" s="799"/>
      <c r="L6" s="799"/>
      <c r="M6" s="799"/>
      <c r="N6" s="799"/>
      <c r="O6" s="799"/>
      <c r="P6" s="799"/>
      <c r="Q6" s="799"/>
      <c r="R6" s="799"/>
    </row>
    <row r="7" spans="1:29" ht="36.6" thickBot="1">
      <c r="A7" s="2442"/>
      <c r="B7" s="323" t="s">
        <v>2260</v>
      </c>
      <c r="C7" s="2470" t="s">
        <v>2261</v>
      </c>
      <c r="D7" s="2471"/>
      <c r="E7" s="2472"/>
      <c r="F7" s="2473" t="s">
        <v>2265</v>
      </c>
      <c r="G7" s="2474" t="s">
        <v>2266</v>
      </c>
      <c r="H7" s="799"/>
      <c r="I7" s="799"/>
      <c r="J7" s="799"/>
      <c r="K7" s="799"/>
      <c r="L7" s="799"/>
      <c r="M7" s="799"/>
      <c r="N7" s="799"/>
      <c r="O7" s="799"/>
      <c r="P7" s="799"/>
      <c r="Q7" s="799"/>
      <c r="R7" s="799"/>
    </row>
    <row r="8" spans="1:29" ht="24">
      <c r="A8" s="2442"/>
      <c r="B8" s="323" t="s">
        <v>2263</v>
      </c>
      <c r="C8" s="2470" t="s">
        <v>2264</v>
      </c>
      <c r="D8" s="2471"/>
      <c r="E8" s="2471"/>
      <c r="F8" s="2475"/>
      <c r="G8" s="2475"/>
      <c r="H8" s="799"/>
      <c r="I8" s="799"/>
      <c r="J8" s="799"/>
      <c r="K8" s="799"/>
      <c r="L8" s="799"/>
      <c r="M8" s="799"/>
      <c r="N8" s="799"/>
      <c r="O8" s="799"/>
      <c r="P8" s="799"/>
      <c r="Q8" s="799"/>
      <c r="R8" s="799"/>
    </row>
    <row r="9" spans="1:29" ht="24">
      <c r="A9" s="2442"/>
      <c r="B9" s="323" t="s">
        <v>2267</v>
      </c>
      <c r="C9" s="2468" t="s">
        <v>2268</v>
      </c>
      <c r="D9" s="2465"/>
      <c r="E9" s="2471"/>
      <c r="F9" s="2475"/>
      <c r="G9" s="2475"/>
      <c r="H9" s="799"/>
      <c r="I9" s="799"/>
      <c r="J9" s="799"/>
      <c r="K9" s="799"/>
      <c r="L9" s="799"/>
      <c r="M9" s="799"/>
      <c r="N9" s="799"/>
      <c r="O9" s="799"/>
      <c r="P9" s="799"/>
      <c r="Q9" s="799"/>
      <c r="R9" s="799"/>
    </row>
    <row r="10" spans="1:29" s="2481" customFormat="1" ht="14.4" thickBot="1">
      <c r="A10" s="2443"/>
      <c r="B10" s="2476" t="s">
        <v>2269</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7.399999999999999">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 thickBot="1">
      <c r="A13" s="2490" t="s">
        <v>2287</v>
      </c>
      <c r="B13" s="2484"/>
      <c r="C13" s="2484"/>
      <c r="D13" s="2482"/>
      <c r="E13" s="2484"/>
      <c r="F13" s="2484"/>
      <c r="G13" s="2484"/>
    </row>
    <row r="14" spans="1:29" ht="14.4" thickBot="1">
      <c r="A14" s="2494"/>
      <c r="B14" s="2494"/>
      <c r="C14" s="2495" t="s">
        <v>2270</v>
      </c>
      <c r="D14" s="2465"/>
      <c r="E14" s="2496"/>
      <c r="F14" s="2496"/>
      <c r="G14" s="2460" t="s">
        <v>2271</v>
      </c>
    </row>
    <row r="15" spans="1:29" ht="52.8">
      <c r="A15" s="2444" t="s">
        <v>2272</v>
      </c>
      <c r="B15" s="2497" t="s">
        <v>2252</v>
      </c>
      <c r="C15" s="2498" t="str">
        <f>C3</f>
        <v>估价对象周边居住用地比例、居住小区规模和社区发展完善程度，综合评价居住社区成熟度一般</v>
      </c>
      <c r="D15" s="2465"/>
      <c r="E15" s="2445" t="s">
        <v>2273</v>
      </c>
      <c r="F15" s="2497" t="s">
        <v>2274</v>
      </c>
      <c r="G15" s="2499" t="str">
        <f>G3</f>
        <v>估价对象位于XX开发区，园区建设成熟度XX，产业集聚程度XX</v>
      </c>
    </row>
    <row r="16" spans="1:29" ht="39.6">
      <c r="A16" s="2446"/>
      <c r="B16" s="2500" t="s">
        <v>2254</v>
      </c>
      <c r="C16" s="2501" t="str">
        <f>C4</f>
        <v>估价对象位于XX商圈，周边商业氛围成熟，人流量大，商业繁华度好</v>
      </c>
      <c r="D16" s="2465"/>
      <c r="E16" s="2447"/>
      <c r="F16" s="2502" t="s">
        <v>2256</v>
      </c>
      <c r="G16" s="2503" t="str">
        <f>G4</f>
        <v>估价对象周边道路状况、公共交通通达情况、停车便捷程度，综合评价交通便捷度较好</v>
      </c>
    </row>
    <row r="17" spans="1:18" ht="39.6">
      <c r="A17" s="2446"/>
      <c r="B17" s="2500" t="s">
        <v>2258</v>
      </c>
      <c r="C17" s="2501" t="str">
        <f>C5</f>
        <v>估价对象位于XX商圈，周边办公楼项目较多，入驻率高，办公集聚程度较好</v>
      </c>
      <c r="D17" s="2471"/>
      <c r="E17" s="2447"/>
      <c r="F17" s="2502" t="s">
        <v>2275</v>
      </c>
      <c r="G17" s="2504"/>
    </row>
    <row r="18" spans="1:18" ht="52.8">
      <c r="A18" s="2446"/>
      <c r="B18" s="2502" t="s">
        <v>2262</v>
      </c>
      <c r="C18" s="2503" t="str">
        <f>C6</f>
        <v>估价对象周边道路状况、公共交通通达情况、停车便捷程度，综合评价交通便捷度较好</v>
      </c>
      <c r="D18" s="2471"/>
      <c r="E18" s="2447"/>
      <c r="F18" s="2502" t="s">
        <v>2265</v>
      </c>
      <c r="G18" s="2503" t="str">
        <f>G7</f>
        <v>该园区内是否有污染型企业，绿化情况，卫生条件，整体环境状况判断</v>
      </c>
    </row>
    <row r="19" spans="1:18" ht="26.4">
      <c r="A19" s="2446"/>
      <c r="B19" s="2502" t="s">
        <v>2276</v>
      </c>
      <c r="C19" s="2504"/>
      <c r="D19" s="2465"/>
      <c r="E19" s="2447"/>
      <c r="F19" s="323" t="s">
        <v>2260</v>
      </c>
      <c r="G19" s="2503" t="str">
        <f>G5</f>
        <v>估价对象所在区域公共配套设施齐备情况</v>
      </c>
    </row>
    <row r="20" spans="1:18" ht="26.4">
      <c r="A20" s="2446"/>
      <c r="B20" s="2502" t="s">
        <v>2277</v>
      </c>
      <c r="C20" s="2501" t="str">
        <f>C9</f>
        <v>区域自然环境：；人文环境；综合评价环境状况一般</v>
      </c>
      <c r="D20" s="2471"/>
      <c r="E20" s="2447"/>
      <c r="F20" s="323" t="s">
        <v>2263</v>
      </c>
      <c r="G20" s="2503" t="str">
        <f>G6</f>
        <v>估价对象所在区域基础设施水平</v>
      </c>
    </row>
    <row r="21" spans="1:18" ht="26.4">
      <c r="A21" s="2446"/>
      <c r="B21" s="323" t="s">
        <v>2260</v>
      </c>
      <c r="C21" s="2503" t="str">
        <f>C7</f>
        <v>估价对象所在区域公共配套设施齐备情况</v>
      </c>
      <c r="D21" s="2465"/>
      <c r="E21" s="2447"/>
      <c r="F21" s="2502" t="s">
        <v>2278</v>
      </c>
      <c r="G21" s="2505"/>
    </row>
    <row r="22" spans="1:18" ht="13.5" customHeight="1">
      <c r="A22" s="2446"/>
      <c r="B22" s="323" t="s">
        <v>2263</v>
      </c>
      <c r="C22" s="2503" t="str">
        <f>C8</f>
        <v>估价对象所在区域基础设施水平</v>
      </c>
      <c r="D22" s="2465"/>
      <c r="E22" s="2447"/>
      <c r="F22" s="2502" t="s">
        <v>2269</v>
      </c>
      <c r="G22" s="2504"/>
    </row>
    <row r="23" spans="1:18" s="799" customFormat="1" ht="14.4" thickBot="1">
      <c r="A23" s="2446"/>
      <c r="B23" s="2502" t="s">
        <v>2278</v>
      </c>
      <c r="C23" s="2505"/>
      <c r="D23" s="1741"/>
      <c r="E23" s="2448"/>
      <c r="F23" s="2506" t="s">
        <v>2279</v>
      </c>
      <c r="G23" s="2507"/>
      <c r="H23" s="2491"/>
      <c r="I23" s="2492"/>
      <c r="J23" s="2491"/>
      <c r="K23" s="2491"/>
      <c r="L23" s="2492"/>
      <c r="M23" s="2491"/>
      <c r="N23" s="2491"/>
      <c r="O23" s="2492"/>
      <c r="P23" s="2491"/>
      <c r="Q23" s="2491"/>
      <c r="R23" s="2493"/>
    </row>
    <row r="24" spans="1:18" s="799" customFormat="1" ht="14.4" thickBot="1">
      <c r="A24" s="2449"/>
      <c r="B24" s="2506" t="s">
        <v>2280</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79" zoomScale="70" zoomScaleNormal="100" zoomScaleSheetLayoutView="70" zoomScalePageLayoutView="80" workbookViewId="0">
      <selection activeCell="F99" sqref="F99"/>
    </sheetView>
  </sheetViews>
  <sheetFormatPr defaultColWidth="12.6640625" defaultRowHeight="21.75" customHeight="1"/>
  <cols>
    <col min="1" max="2" width="12.6640625" style="1753"/>
    <col min="3" max="4" width="12.6640625" style="1753" customWidth="1"/>
    <col min="5" max="9" width="12.6640625" style="1753"/>
    <col min="10" max="11" width="12.6640625" style="725" customWidth="1"/>
    <col min="12" max="12" width="12.6640625" style="725"/>
    <col min="13" max="13" width="14.109375" style="725" bestFit="1" customWidth="1"/>
    <col min="14" max="26" width="12.6640625" style="725"/>
    <col min="27" max="35" width="12.6640625" style="1752"/>
    <col min="36" max="16384" width="12.6640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739" t="str">
        <f>项目基本情况!S2</f>
        <v>房地产</v>
      </c>
      <c r="B2" s="3740"/>
      <c r="C2" s="3740"/>
      <c r="D2" s="3740"/>
      <c r="E2" s="3740"/>
      <c r="F2" s="3740"/>
      <c r="G2" s="3740"/>
      <c r="H2" s="3740"/>
      <c r="I2" s="3741"/>
    </row>
    <row r="3" spans="1:12" ht="13.2">
      <c r="A3" s="3743" t="s">
        <v>1264</v>
      </c>
      <c r="B3" s="3744"/>
      <c r="C3" s="3744"/>
      <c r="D3" s="3744"/>
      <c r="E3" s="3744"/>
      <c r="F3" s="3744"/>
      <c r="G3" s="3744"/>
      <c r="H3" s="3744"/>
      <c r="I3" s="3744"/>
    </row>
    <row r="4" spans="1:12" ht="14.4">
      <c r="A4" s="1754" t="s">
        <v>1265</v>
      </c>
      <c r="B4" s="1755" t="s">
        <v>1266</v>
      </c>
      <c r="C4" s="1756"/>
      <c r="D4" s="1756"/>
      <c r="E4" s="3745" t="s">
        <v>1267</v>
      </c>
      <c r="F4" s="3746"/>
      <c r="G4" s="3746"/>
      <c r="H4" s="3746"/>
      <c r="I4" s="3747"/>
      <c r="K4" s="146" t="str">
        <f>IF(ISNUMBER(FIND("比较法",结果表!C4)),"比较法",IF(ISNUMBER(FIND("成本法",结果表!C4)),"成本法",IF(ISNUMBER(FIND("假设开发法",结果表!C4)),"假设开发法",IF(ISNUMBER(FIND("收益法",结果表!C4)),"收益法","基准地价系数修正法"))))</f>
        <v>基准地价系数修正法</v>
      </c>
      <c r="L4" s="146" t="str">
        <f>IF(ISNUMBER(FIND("比较法",结果表!D4)),"比较法",IF(ISNUMBER(FIND("成本法",结果表!D4)),"成本法",IF(ISNUMBER(FIND("假设开发法",结果表!D4)),"假设开发法",IF(ISNUMBER(FIND("收益法",结果表!D4)),"收益法","基准地价系数修正法"))))</f>
        <v>基准地价系数修正法</v>
      </c>
    </row>
    <row r="5" spans="1:12" ht="13.2">
      <c r="A5" s="3719" t="s">
        <v>1268</v>
      </c>
      <c r="B5" s="3706">
        <v>25</v>
      </c>
      <c r="C5" s="3722"/>
      <c r="D5" s="3742"/>
      <c r="E5" s="131" t="s">
        <v>1269</v>
      </c>
      <c r="F5" s="1757"/>
      <c r="G5" s="1757"/>
      <c r="H5" s="1757"/>
      <c r="I5" s="1373"/>
    </row>
    <row r="6" spans="1:12" ht="13.2">
      <c r="A6" s="3719"/>
      <c r="B6" s="3706"/>
      <c r="C6" s="3723"/>
      <c r="D6" s="3742"/>
      <c r="E6" s="131" t="s">
        <v>1270</v>
      </c>
      <c r="F6" s="1757"/>
      <c r="G6" s="1757"/>
      <c r="H6" s="1757"/>
      <c r="I6" s="1373"/>
    </row>
    <row r="7" spans="1:12" ht="13.2">
      <c r="A7" s="3719"/>
      <c r="B7" s="3706"/>
      <c r="C7" s="3724"/>
      <c r="D7" s="3742"/>
      <c r="E7" s="131" t="s">
        <v>1271</v>
      </c>
      <c r="F7" s="1757"/>
      <c r="G7" s="1757"/>
      <c r="H7" s="1757"/>
      <c r="I7" s="1373"/>
    </row>
    <row r="8" spans="1:12" ht="13.2">
      <c r="A8" s="3719" t="s">
        <v>1272</v>
      </c>
      <c r="B8" s="3706">
        <v>15</v>
      </c>
      <c r="C8" s="3722"/>
      <c r="D8" s="3742"/>
      <c r="E8" s="131" t="s">
        <v>1273</v>
      </c>
      <c r="F8" s="1757"/>
      <c r="G8" s="1757"/>
      <c r="H8" s="1757"/>
      <c r="I8" s="1373"/>
    </row>
    <row r="9" spans="1:12" ht="13.2">
      <c r="A9" s="3719"/>
      <c r="B9" s="3706"/>
      <c r="C9" s="3724"/>
      <c r="D9" s="3742"/>
      <c r="E9" s="131" t="s">
        <v>1274</v>
      </c>
      <c r="F9" s="1757"/>
      <c r="G9" s="1757"/>
      <c r="H9" s="1757"/>
      <c r="I9" s="1373"/>
    </row>
    <row r="10" spans="1:12" ht="13.2">
      <c r="A10" s="3719" t="s">
        <v>1275</v>
      </c>
      <c r="B10" s="3706">
        <v>15</v>
      </c>
      <c r="C10" s="3722"/>
      <c r="D10" s="3742"/>
      <c r="E10" s="131" t="s">
        <v>1276</v>
      </c>
      <c r="F10" s="1757"/>
      <c r="G10" s="1757"/>
      <c r="H10" s="1757"/>
      <c r="I10" s="1373"/>
    </row>
    <row r="11" spans="1:12" ht="13.2">
      <c r="A11" s="3719"/>
      <c r="B11" s="3706"/>
      <c r="C11" s="3724"/>
      <c r="D11" s="3742"/>
      <c r="E11" s="131" t="s">
        <v>1277</v>
      </c>
      <c r="F11" s="1757"/>
      <c r="G11" s="1757"/>
      <c r="H11" s="1757"/>
      <c r="I11" s="1373"/>
    </row>
    <row r="12" spans="1:12" ht="13.2">
      <c r="A12" s="3719" t="s">
        <v>1278</v>
      </c>
      <c r="B12" s="3706">
        <v>15</v>
      </c>
      <c r="C12" s="3722"/>
      <c r="D12" s="3742"/>
      <c r="E12" s="131" t="s">
        <v>1279</v>
      </c>
      <c r="F12" s="1757"/>
      <c r="G12" s="1757"/>
      <c r="H12" s="1757"/>
      <c r="I12" s="1373"/>
    </row>
    <row r="13" spans="1:12" ht="13.2">
      <c r="A13" s="3719"/>
      <c r="B13" s="3706"/>
      <c r="C13" s="3724"/>
      <c r="D13" s="3742"/>
      <c r="E13" s="131" t="s">
        <v>1280</v>
      </c>
      <c r="F13" s="1757"/>
      <c r="G13" s="1757"/>
      <c r="H13" s="1757"/>
      <c r="I13" s="1373"/>
    </row>
    <row r="14" spans="1:12" ht="13.2">
      <c r="A14" s="3719" t="s">
        <v>1281</v>
      </c>
      <c r="B14" s="3706">
        <v>30</v>
      </c>
      <c r="C14" s="3722"/>
      <c r="D14" s="3742"/>
      <c r="E14" s="131" t="s">
        <v>1282</v>
      </c>
      <c r="F14" s="1757"/>
      <c r="G14" s="1757"/>
      <c r="H14" s="1757"/>
      <c r="I14" s="1373"/>
    </row>
    <row r="15" spans="1:12" ht="13.2">
      <c r="A15" s="3719"/>
      <c r="B15" s="3706"/>
      <c r="C15" s="3723"/>
      <c r="D15" s="3742"/>
      <c r="E15" s="131" t="s">
        <v>1283</v>
      </c>
      <c r="F15" s="1757"/>
      <c r="G15" s="1757"/>
      <c r="H15" s="1757"/>
      <c r="I15" s="1373"/>
    </row>
    <row r="16" spans="1:12" ht="13.2">
      <c r="A16" s="3719"/>
      <c r="B16" s="3706"/>
      <c r="C16" s="3724"/>
      <c r="D16" s="3742"/>
      <c r="E16" s="131" t="s">
        <v>1284</v>
      </c>
      <c r="F16" s="1757"/>
      <c r="G16" s="1757"/>
      <c r="H16" s="1757"/>
      <c r="I16" s="1373"/>
    </row>
    <row r="17" spans="1:36" ht="14.4">
      <c r="A17" s="1758" t="s">
        <v>1285</v>
      </c>
      <c r="B17" s="56"/>
      <c r="C17" s="132">
        <f>SUM(C5:C16)</f>
        <v>0</v>
      </c>
      <c r="D17" s="132">
        <f>SUM(D5:D16)</f>
        <v>0</v>
      </c>
      <c r="E17" s="129"/>
      <c r="F17" s="129"/>
      <c r="G17" s="129"/>
      <c r="H17" s="129"/>
      <c r="I17" s="129"/>
      <c r="K17" s="302"/>
      <c r="L17" s="302" t="s">
        <v>1286</v>
      </c>
      <c r="M17" s="302" t="s">
        <v>1287</v>
      </c>
    </row>
    <row r="18" spans="1:36" ht="31.95" customHeight="1" thickBot="1">
      <c r="A18" s="1759" t="s">
        <v>1288</v>
      </c>
      <c r="B18" s="1760"/>
      <c r="C18" s="133" t="e">
        <f>ROUND(C17/SUM(C17:D17),2)</f>
        <v>#DIV/0!</v>
      </c>
      <c r="D18" s="133" t="e">
        <f>1-C18</f>
        <v>#DIV/0!</v>
      </c>
      <c r="E18" s="3729" t="s">
        <v>2131</v>
      </c>
      <c r="F18" s="3730"/>
      <c r="G18" s="3730"/>
      <c r="H18" s="3730"/>
      <c r="I18" s="3730"/>
      <c r="K18" s="302" t="s">
        <v>1289</v>
      </c>
      <c r="L18" s="302">
        <f>IF(C1="",'数据-汇总表'!E3,SUMIF(项目类型,C1,'数据-汇总表'!E17:E26)+SUMIF(项目类型,C1,'数据-汇总表'!I17:I26))</f>
        <v>2414.4300000000003</v>
      </c>
      <c r="M18" s="302">
        <f>IF(C1="",'数据-汇总表'!E3,SUMIF(项目类型,C1,'数据-汇总表'!E17:E26))</f>
        <v>2414.4300000000003</v>
      </c>
    </row>
    <row r="19" spans="1:36" ht="14.4">
      <c r="A19" s="1761" t="s">
        <v>1290</v>
      </c>
      <c r="B19" s="1762" t="s">
        <v>1291</v>
      </c>
      <c r="C19" s="134" t="e">
        <f ca="1">SUMIF(INDIRECT("'"&amp;C4&amp;"'"&amp;"!A:A"),结果表!B19,INDIRECT("'"&amp;C4&amp;"'"&amp;"!B:B"))</f>
        <v>#REF!</v>
      </c>
      <c r="D19" s="135" t="e">
        <f ca="1">SUMIF(INDIRECT("'"&amp;D4&amp;"'"&amp;"!A:A"),结果表!B19,INDIRECT("'"&amp;D4&amp;"'"&amp;"!B:B"))</f>
        <v>#REF!</v>
      </c>
      <c r="E19" s="1761" t="s">
        <v>1292</v>
      </c>
      <c r="F19" s="1762" t="s">
        <v>1291</v>
      </c>
      <c r="G19" s="136" t="e">
        <f ca="1">ROUND(C19*$C$18+D19*$D$18,0)</f>
        <v>#REF!</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4.4">
      <c r="A20" s="1764"/>
      <c r="B20" s="1026" t="s">
        <v>1295</v>
      </c>
      <c r="C20" s="137" t="e">
        <f ca="1">SUMIF(INDIRECT("'"&amp;C4&amp;"'"&amp;"!A:A"),结果表!B20,INDIRECT("'"&amp;C4&amp;"'"&amp;"!B:B"))</f>
        <v>#REF!</v>
      </c>
      <c r="D20" s="138" t="e">
        <f ca="1">SUMIF(INDIRECT("'"&amp;D4&amp;"'"&amp;"!A:A"),结果表!B20,INDIRECT("'"&amp;D4&amp;"'"&amp;"!B:B"))</f>
        <v>#REF!</v>
      </c>
      <c r="E20" s="1764"/>
      <c r="F20" s="1026" t="s">
        <v>1295</v>
      </c>
      <c r="G20" s="139" t="e">
        <f ca="1">ROUND(C20*$C$18+D20*$D$18,0)</f>
        <v>#REF!</v>
      </c>
      <c r="H20" s="808" t="s">
        <v>1296</v>
      </c>
      <c r="I20" s="129"/>
    </row>
    <row r="21" spans="1:36" ht="15" customHeight="1" thickBot="1">
      <c r="A21" s="828"/>
      <c r="B21" s="1765" t="s">
        <v>1297</v>
      </c>
      <c r="C21" s="719" t="e">
        <f ca="1">ROUND(C19*10000/L19,0)</f>
        <v>#REF!</v>
      </c>
      <c r="D21" s="720" t="e">
        <f ca="1">ROUND(D19*10000/L19,0)</f>
        <v>#REF!</v>
      </c>
      <c r="E21" s="828"/>
      <c r="F21" s="1765" t="s">
        <v>1297</v>
      </c>
      <c r="G21" s="140" t="e">
        <f ca="1">ROUND(G19*10000/L19,0)</f>
        <v>#REF!</v>
      </c>
      <c r="H21" s="1766" t="s">
        <v>1296</v>
      </c>
      <c r="I21" s="129"/>
    </row>
    <row r="22" spans="1:36" ht="15" thickBot="1">
      <c r="A22" s="1688" t="s">
        <v>1298</v>
      </c>
      <c r="B22" s="1767"/>
      <c r="C22" s="1768"/>
      <c r="D22" s="721" t="e">
        <f ca="1">IF(C19&lt;D19,D19/C19-1,C19/D19-1)</f>
        <v>#REF!</v>
      </c>
      <c r="E22" s="129"/>
      <c r="F22" s="129"/>
      <c r="G22" s="129"/>
      <c r="H22" s="129"/>
      <c r="I22" s="129"/>
    </row>
    <row r="23" spans="1:36" ht="13.8" thickBot="1">
      <c r="A23" s="1747"/>
      <c r="B23" s="1747"/>
      <c r="C23" s="1747"/>
      <c r="D23" s="1747"/>
      <c r="E23" s="129"/>
      <c r="F23" s="129"/>
      <c r="G23" s="129"/>
      <c r="H23" s="129"/>
      <c r="I23" s="129"/>
    </row>
    <row r="24" spans="1:36" ht="14.4">
      <c r="A24" s="3713" t="s">
        <v>1299</v>
      </c>
      <c r="B24" s="1762" t="s">
        <v>1291</v>
      </c>
      <c r="C24" s="136">
        <f>IF(B30=0,0,D30)</f>
        <v>0</v>
      </c>
      <c r="D24" s="1769"/>
      <c r="E24" s="129"/>
      <c r="F24" s="129"/>
      <c r="G24" s="129"/>
      <c r="H24" s="129"/>
      <c r="I24" s="129"/>
    </row>
    <row r="25" spans="1:36" ht="14.4">
      <c r="A25" s="3714"/>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3.8">
      <c r="A27" s="1771"/>
      <c r="B27" s="142">
        <v>0</v>
      </c>
      <c r="C27" s="142">
        <v>0</v>
      </c>
      <c r="D27" s="143">
        <f>ROUND(C27*B27/10000,0)</f>
        <v>0</v>
      </c>
      <c r="E27" s="129"/>
      <c r="F27" s="129"/>
      <c r="G27" s="129"/>
      <c r="H27" s="129"/>
      <c r="I27" s="129"/>
    </row>
    <row r="28" spans="1:36" ht="13.8">
      <c r="A28" s="1771"/>
      <c r="B28" s="142"/>
      <c r="C28" s="142"/>
      <c r="D28" s="143"/>
      <c r="E28" s="129"/>
      <c r="F28" s="129"/>
      <c r="G28" s="129"/>
      <c r="H28" s="129"/>
      <c r="I28" s="129"/>
    </row>
    <row r="29" spans="1:36" ht="13.8">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 customHeight="1" thickTop="1" thickBot="1">
      <c r="A31" s="2304"/>
      <c r="B31" s="2305"/>
      <c r="C31" s="2305"/>
      <c r="D31" s="2305"/>
      <c r="E31" s="2305"/>
      <c r="F31" s="2305"/>
      <c r="G31" s="2305"/>
      <c r="H31" s="2305"/>
      <c r="I31" s="2306" t="s">
        <v>2133</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5.6" thickTop="1" thickBot="1">
      <c r="A32" s="1773" t="s">
        <v>1305</v>
      </c>
      <c r="B32" s="1774"/>
      <c r="C32" s="144" t="e">
        <f ca="1">IF(D32="总价",G19-C24,G20-C25)</f>
        <v>#REF!</v>
      </c>
      <c r="D32" s="1775"/>
      <c r="E32" s="129"/>
      <c r="F32" s="129"/>
      <c r="G32" s="129"/>
      <c r="H32" s="129"/>
      <c r="I32" s="129"/>
    </row>
    <row r="33" spans="1:15" ht="14.4">
      <c r="A33" s="786" t="s">
        <v>1306</v>
      </c>
      <c r="B33" s="1776"/>
      <c r="C33" s="1777"/>
      <c r="D33" s="1778"/>
      <c r="E33" s="1779" t="s">
        <v>1307</v>
      </c>
      <c r="F33" s="1780" t="str">
        <f>IF(D32="楼面单价","取值（单价）","取值（总价）")</f>
        <v>取值（总价）</v>
      </c>
      <c r="G33" s="129"/>
      <c r="H33" s="129"/>
      <c r="I33" s="129"/>
    </row>
    <row r="34" spans="1:15" ht="14.4">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 thickBot="1">
      <c r="A36" s="3733" t="s">
        <v>1312</v>
      </c>
      <c r="B36" s="1787" t="s">
        <v>1313</v>
      </c>
      <c r="C36" s="145"/>
      <c r="D36" s="1788"/>
      <c r="E36" s="1789"/>
      <c r="F36" s="1790"/>
      <c r="G36" s="129"/>
      <c r="H36" s="129"/>
      <c r="I36" s="129"/>
    </row>
    <row r="37" spans="1:15" ht="15" thickBot="1">
      <c r="A37" s="3734"/>
      <c r="B37" s="1674" t="s">
        <v>1314</v>
      </c>
      <c r="C37" s="147"/>
      <c r="D37" s="1139"/>
      <c r="E37" s="1139"/>
      <c r="F37" s="1790"/>
      <c r="G37" s="129"/>
      <c r="H37" s="129"/>
      <c r="I37" s="129"/>
    </row>
    <row r="38" spans="1:15" ht="15" thickBot="1">
      <c r="A38" s="3735"/>
      <c r="B38" s="1791" t="s">
        <v>1315</v>
      </c>
      <c r="C38" s="674"/>
      <c r="D38" s="1792" t="s">
        <v>1316</v>
      </c>
      <c r="E38" s="1139"/>
      <c r="F38" s="1790"/>
      <c r="G38" s="129"/>
      <c r="H38" s="129"/>
      <c r="I38" s="129"/>
    </row>
    <row r="39" spans="1:15" ht="14.4">
      <c r="A39" s="1764" t="s">
        <v>1317</v>
      </c>
      <c r="B39" s="1793" t="s">
        <v>1318</v>
      </c>
      <c r="C39" s="1794" t="s">
        <v>1319</v>
      </c>
      <c r="D39" s="1794" t="s">
        <v>1320</v>
      </c>
      <c r="E39" s="1795" t="s">
        <v>1321</v>
      </c>
      <c r="F39" s="1790"/>
      <c r="G39" s="129"/>
      <c r="H39" s="129"/>
      <c r="I39" s="129"/>
    </row>
    <row r="40" spans="1:15" ht="13.8">
      <c r="A40" s="1796" t="s">
        <v>1322</v>
      </c>
      <c r="B40" s="149"/>
      <c r="C40" s="150"/>
      <c r="D40" s="150"/>
      <c r="E40" s="151"/>
      <c r="F40" s="1790"/>
      <c r="G40" s="129"/>
      <c r="H40" s="129"/>
      <c r="I40" s="129"/>
    </row>
    <row r="41" spans="1:15" ht="13.8">
      <c r="A41" s="1796" t="s">
        <v>1323</v>
      </c>
      <c r="B41" s="149"/>
      <c r="C41" s="150"/>
      <c r="D41" s="150"/>
      <c r="E41" s="151"/>
      <c r="F41" s="1790"/>
      <c r="G41" s="129"/>
      <c r="H41" s="129"/>
      <c r="I41" s="129"/>
    </row>
    <row r="42" spans="1:15" ht="14.4" thickBot="1">
      <c r="A42" s="1797"/>
      <c r="B42" s="152"/>
      <c r="C42" s="153"/>
      <c r="D42" s="153"/>
      <c r="E42" s="154"/>
      <c r="F42" s="1790"/>
      <c r="G42" s="129"/>
      <c r="H42" s="129"/>
      <c r="I42" s="129"/>
    </row>
    <row r="43" spans="1:15" ht="13.2">
      <c r="A43" s="1577"/>
      <c r="B43" s="1577"/>
      <c r="C43" s="1577"/>
      <c r="D43" s="1577"/>
      <c r="E43" s="1577"/>
      <c r="F43" s="1798"/>
      <c r="G43" s="1798"/>
      <c r="H43" s="1798"/>
      <c r="I43" s="1799"/>
    </row>
    <row r="44" spans="1:15" ht="17.399999999999999">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710" t="s">
        <v>1326</v>
      </c>
      <c r="B45" s="3711"/>
      <c r="C45" s="3712"/>
      <c r="D45" s="155" t="e">
        <f ca="1">ROUND(H101*F45,0)</f>
        <v>#REF!</v>
      </c>
      <c r="E45" s="156" t="s">
        <v>1327</v>
      </c>
      <c r="F45" s="157">
        <v>1</v>
      </c>
      <c r="G45" s="158" t="s">
        <v>1328</v>
      </c>
      <c r="H45" s="129"/>
      <c r="I45" s="129"/>
      <c r="J45" s="3788" t="s">
        <v>1329</v>
      </c>
      <c r="K45" s="3788"/>
      <c r="L45" s="3788"/>
      <c r="M45" s="3788"/>
      <c r="N45" s="3788"/>
      <c r="O45" s="3788"/>
    </row>
    <row r="46" spans="1:15" ht="14.25" customHeight="1">
      <c r="A46" s="3707" t="s">
        <v>1330</v>
      </c>
      <c r="B46" s="3708"/>
      <c r="C46" s="3708"/>
      <c r="D46" s="3708"/>
      <c r="E46" s="3708"/>
      <c r="F46" s="3708"/>
      <c r="G46" s="3709"/>
      <c r="H46" s="1806"/>
      <c r="I46" s="159"/>
      <c r="J46" s="2523">
        <v>1</v>
      </c>
      <c r="K46" s="3769" t="s">
        <v>1331</v>
      </c>
      <c r="L46" s="3769"/>
      <c r="M46" s="3789"/>
      <c r="N46" s="3789"/>
      <c r="O46" s="3789"/>
    </row>
    <row r="47" spans="1:15" ht="12" customHeight="1">
      <c r="A47" s="160" t="s">
        <v>1332</v>
      </c>
      <c r="B47" s="161"/>
      <c r="C47" s="162"/>
      <c r="D47" s="1087" t="s">
        <v>1333</v>
      </c>
      <c r="E47" s="302" t="s">
        <v>1334</v>
      </c>
      <c r="F47" s="163" t="s">
        <v>1335</v>
      </c>
      <c r="G47" s="2546" t="s">
        <v>1336</v>
      </c>
      <c r="H47" s="2547"/>
      <c r="I47" s="159"/>
      <c r="J47" s="2523">
        <v>2</v>
      </c>
      <c r="K47" s="3769" t="s">
        <v>1337</v>
      </c>
      <c r="L47" s="3769"/>
      <c r="M47" s="3790">
        <f>'数据-取费表'!B2</f>
        <v>45478</v>
      </c>
      <c r="N47" s="3790"/>
      <c r="O47" s="3790"/>
    </row>
    <row r="48" spans="1:15" ht="26.4">
      <c r="A48" s="3738" t="s">
        <v>1338</v>
      </c>
      <c r="B48" s="3721"/>
      <c r="C48" s="3721"/>
      <c r="D48" s="2324" t="b">
        <f>IF(H48="情况1",0,IF(H48="情况2",D52,IF(H48="情况3",D53,IF(H48="情况4",D54))))</f>
        <v>0</v>
      </c>
      <c r="E48" s="2334" t="str">
        <f>IF(H48="情况4","(销售额-原购置价)×税（费）率","销售额×税（费）率")</f>
        <v>销售额×税（费）率</v>
      </c>
      <c r="F48" s="2548">
        <f>IF(H48="情况1","免征",'数据-取费表'!B41)</f>
        <v>5.6000000000000001E-2</v>
      </c>
      <c r="G48" s="2549" t="s">
        <v>1339</v>
      </c>
      <c r="H48" s="2550"/>
      <c r="I48" s="1806"/>
      <c r="J48" s="2523">
        <v>3</v>
      </c>
      <c r="K48" s="3769" t="s">
        <v>1340</v>
      </c>
      <c r="L48" s="3769"/>
      <c r="M48" s="3791" t="e">
        <f ca="1">H101</f>
        <v>#REF!</v>
      </c>
      <c r="N48" s="3791"/>
      <c r="O48" s="3791"/>
    </row>
    <row r="49" spans="1:35" ht="25.5" customHeight="1">
      <c r="A49" s="2333" t="s">
        <v>1341</v>
      </c>
      <c r="B49" s="3705" t="s">
        <v>1342</v>
      </c>
      <c r="C49" s="3705"/>
      <c r="D49" s="1590">
        <v>0</v>
      </c>
      <c r="E49" s="324" t="s">
        <v>1343</v>
      </c>
      <c r="F49" s="2424" t="s">
        <v>28</v>
      </c>
      <c r="G49" s="3775"/>
      <c r="H49" s="2310" t="s">
        <v>2134</v>
      </c>
      <c r="I49" s="2311"/>
      <c r="J49" s="2523">
        <v>4</v>
      </c>
      <c r="K49" s="3769" t="str">
        <f>IF(项目基本情况!E8="房地产抵押价值","房地产抵押价值","抵押担保权已注销时的房地产抵押价值")</f>
        <v>抵押担保权已注销时的房地产抵押价值</v>
      </c>
      <c r="L49" s="3769"/>
      <c r="M49" s="3791" t="str">
        <f>IF(项目基本情况!E8="房地产抵押价值",H107,H109)</f>
        <v>——</v>
      </c>
      <c r="N49" s="3791"/>
      <c r="O49" s="3791"/>
    </row>
    <row r="50" spans="1:35" ht="25.5" customHeight="1">
      <c r="A50" s="2551"/>
      <c r="B50" s="3705" t="s">
        <v>1344</v>
      </c>
      <c r="C50" s="3705"/>
      <c r="D50" s="2552"/>
      <c r="E50" s="332"/>
      <c r="F50" s="2424"/>
      <c r="G50" s="3776"/>
      <c r="H50" s="2312" t="s">
        <v>2135</v>
      </c>
      <c r="I50" s="2311"/>
      <c r="J50" s="3788" t="s">
        <v>1345</v>
      </c>
      <c r="K50" s="3788"/>
      <c r="L50" s="3788"/>
      <c r="M50" s="3788"/>
      <c r="N50" s="3788"/>
      <c r="O50" s="3788"/>
    </row>
    <row r="51" spans="1:35" ht="20.399999999999999" customHeight="1">
      <c r="A51" s="2553"/>
      <c r="B51" s="3705" t="s">
        <v>1346</v>
      </c>
      <c r="C51" s="3705"/>
      <c r="D51" s="1087"/>
      <c r="E51" s="327"/>
      <c r="F51" s="2424"/>
      <c r="G51" s="3777"/>
      <c r="H51" s="2312" t="s">
        <v>2136</v>
      </c>
      <c r="I51" s="2311"/>
      <c r="J51" s="2524" t="s">
        <v>1347</v>
      </c>
      <c r="K51" s="3769" t="s">
        <v>1348</v>
      </c>
      <c r="L51" s="3769"/>
      <c r="M51" s="2524" t="s">
        <v>1349</v>
      </c>
      <c r="N51" s="2524" t="s">
        <v>1350</v>
      </c>
      <c r="O51" s="2524" t="s">
        <v>1351</v>
      </c>
    </row>
    <row r="52" spans="1:35" ht="24" customHeight="1">
      <c r="A52" s="2335" t="s">
        <v>1352</v>
      </c>
      <c r="B52" s="3705" t="s">
        <v>1353</v>
      </c>
      <c r="C52" s="3705"/>
      <c r="D52" s="1087" t="e">
        <f ca="1">ROUND(D45*'数据-取费表'!B41/(1+'数据-取费表'!C42),0)</f>
        <v>#REF!</v>
      </c>
      <c r="E52" s="2334" t="s">
        <v>1354</v>
      </c>
      <c r="F52" s="2554">
        <f>'数据-取费表'!B41</f>
        <v>5.6000000000000001E-2</v>
      </c>
      <c r="G52" s="2555"/>
      <c r="H52" s="2544"/>
      <c r="I52" s="1807"/>
      <c r="J52" s="2523">
        <v>1</v>
      </c>
      <c r="K52" s="3770" t="s">
        <v>1355</v>
      </c>
      <c r="L52" s="3770"/>
      <c r="M52" s="2525" t="b">
        <f>D48</f>
        <v>0</v>
      </c>
      <c r="N52" s="2523" t="str">
        <f>E48</f>
        <v>销售额×税（费）率</v>
      </c>
      <c r="O52" s="2526">
        <f>F48</f>
        <v>5.6000000000000001E-2</v>
      </c>
    </row>
    <row r="53" spans="1:35" ht="12" customHeight="1">
      <c r="A53" s="2335" t="s">
        <v>1356</v>
      </c>
      <c r="B53" s="3731" t="s">
        <v>2291</v>
      </c>
      <c r="C53" s="3732"/>
      <c r="D53" s="1087" t="e">
        <f ca="1">ROUND(D45*'数据-取费表'!B41/(1+'数据-取费表'!C42),0)</f>
        <v>#REF!</v>
      </c>
      <c r="E53" s="2334" t="s">
        <v>1354</v>
      </c>
      <c r="F53" s="2554">
        <f>'数据-取费表'!B41</f>
        <v>5.6000000000000001E-2</v>
      </c>
      <c r="G53" s="2555"/>
      <c r="H53" s="2544"/>
      <c r="I53" s="1807"/>
      <c r="J53" s="2523">
        <v>2</v>
      </c>
      <c r="K53" s="3770" t="s">
        <v>1357</v>
      </c>
      <c r="L53" s="3770"/>
      <c r="M53" s="2525" t="e">
        <f t="shared" ref="M53:O54" ca="1" si="0">D55</f>
        <v>#REF!</v>
      </c>
      <c r="N53" s="2523" t="str">
        <f t="shared" si="0"/>
        <v>销售额×税（费）率</v>
      </c>
      <c r="O53" s="2526" t="str">
        <f t="shared" si="0"/>
        <v>免征</v>
      </c>
    </row>
    <row r="54" spans="1:35" ht="12" customHeight="1">
      <c r="A54" s="2335" t="s">
        <v>1358</v>
      </c>
      <c r="B54" s="3731" t="s">
        <v>2292</v>
      </c>
      <c r="C54" s="3732"/>
      <c r="D54" s="1087" t="e">
        <f ca="1">C68</f>
        <v>#REF!</v>
      </c>
      <c r="E54" s="327" t="s">
        <v>1359</v>
      </c>
      <c r="F54" s="2554">
        <f>'数据-取费表'!B41</f>
        <v>5.6000000000000001E-2</v>
      </c>
      <c r="G54" s="2555"/>
      <c r="H54" s="2556"/>
      <c r="I54" s="1807"/>
      <c r="J54" s="2523">
        <v>3</v>
      </c>
      <c r="K54" s="3770" t="s">
        <v>1360</v>
      </c>
      <c r="L54" s="3770"/>
      <c r="M54" s="2525" t="e">
        <f t="shared" ca="1" si="0"/>
        <v>#REF!</v>
      </c>
      <c r="N54" s="2523" t="str">
        <f t="shared" si="0"/>
        <v>增值额×税（费）率</v>
      </c>
      <c r="O54" s="2527" t="str">
        <f t="shared" si="0"/>
        <v>免征</v>
      </c>
    </row>
    <row r="55" spans="1:35" ht="24" customHeight="1">
      <c r="A55" s="3720" t="s">
        <v>1361</v>
      </c>
      <c r="B55" s="3721"/>
      <c r="C55" s="3721"/>
      <c r="D55" s="2324" t="e">
        <f ca="1">IF(H55="个人住宅",0,ROUND(D45*I55,0))</f>
        <v>#REF!</v>
      </c>
      <c r="E55" s="2334" t="s">
        <v>1362</v>
      </c>
      <c r="F55" s="2554" t="str">
        <f>IF(H55="正常",I55,"免征")</f>
        <v>免征</v>
      </c>
      <c r="G55" s="2555"/>
      <c r="H55" s="2550"/>
      <c r="I55" s="165">
        <f>'数据-取费表'!B49</f>
        <v>5.0000000000000001E-4</v>
      </c>
      <c r="J55" s="2523">
        <f>IF(H59="非个人房产","",4)</f>
        <v>4</v>
      </c>
      <c r="K55" s="3770" t="str">
        <f>IF(H59="非个人房产","——","个人所得税")</f>
        <v>个人所得税</v>
      </c>
      <c r="L55" s="3770"/>
      <c r="M55" s="2528" t="e">
        <f ca="1">D59</f>
        <v>#REF!</v>
      </c>
      <c r="N55" s="2040" t="str">
        <f>E59</f>
        <v>差额计税</v>
      </c>
      <c r="O55" s="2529">
        <f>F59</f>
        <v>0.01</v>
      </c>
    </row>
    <row r="56" spans="1:35" ht="25.2">
      <c r="A56" s="3720" t="s">
        <v>1363</v>
      </c>
      <c r="B56" s="3721"/>
      <c r="C56" s="3721"/>
      <c r="D56" s="2324" t="e">
        <f ca="1">IF(H56="个人住宅",D57,D58)</f>
        <v>#REF!</v>
      </c>
      <c r="E56" s="2334" t="s">
        <v>1364</v>
      </c>
      <c r="F56" s="2554" t="str">
        <f>IF(H56="正常",F58,"免征")</f>
        <v>免征</v>
      </c>
      <c r="G56" s="2557" t="s">
        <v>1365</v>
      </c>
      <c r="H56" s="2558"/>
      <c r="I56" s="1808"/>
      <c r="J56" s="2523" t="str">
        <f>IF(项目基本情况!K6="上海银行",IF(J55="",4,J55+1),"")</f>
        <v/>
      </c>
      <c r="K56" s="3793" t="str">
        <f>IF(项目基本情况!K6="上海银行","其他处置费用","")</f>
        <v/>
      </c>
      <c r="L56" s="3794"/>
      <c r="M56" s="2525" t="str">
        <f>IF(项目基本情况!K6="上海银行",M69,"")</f>
        <v/>
      </c>
      <c r="N56" s="3793" t="str">
        <f>IF(项目基本情况!K6="上海银行","包含处置中涉及的律师、诉讼、拍卖、评估等费用","")</f>
        <v/>
      </c>
      <c r="O56" s="3796"/>
    </row>
    <row r="57" spans="1:35" ht="13.2">
      <c r="A57" s="2335" t="s">
        <v>1341</v>
      </c>
      <c r="B57" s="3731" t="s">
        <v>1366</v>
      </c>
      <c r="C57" s="3732"/>
      <c r="D57" s="1590">
        <v>0</v>
      </c>
      <c r="E57" s="324" t="s">
        <v>1343</v>
      </c>
      <c r="F57" s="302"/>
      <c r="G57" s="2555"/>
      <c r="H57" s="2559"/>
      <c r="I57" s="1808"/>
      <c r="J57" s="3770">
        <f>IF(AND(J55="",J56=""),4,IF(项目基本情况!K6="上海银行",结果表!J56+1,结果表!J55+1))</f>
        <v>5</v>
      </c>
      <c r="K57" s="3770" t="s">
        <v>1367</v>
      </c>
      <c r="L57" s="2530" t="s">
        <v>1368</v>
      </c>
      <c r="M57" s="2531"/>
      <c r="N57" s="2532">
        <f ca="1">SUMIF(M52:M56,"&lt;9e307")</f>
        <v>0</v>
      </c>
      <c r="O57" s="2533"/>
      <c r="P57" s="2690" t="e">
        <f ca="1">N57/M49</f>
        <v>#VALUE!</v>
      </c>
    </row>
    <row r="58" spans="1:35" ht="25.2">
      <c r="A58" s="2335" t="s">
        <v>1352</v>
      </c>
      <c r="B58" s="3731" t="s">
        <v>1369</v>
      </c>
      <c r="C58" s="3705"/>
      <c r="D58" s="2324" t="e">
        <f ca="1">IF(H58="转让取得",C81,C97)</f>
        <v>#REF!</v>
      </c>
      <c r="E58" s="2334" t="s">
        <v>1364</v>
      </c>
      <c r="F58" s="302" t="s">
        <v>28</v>
      </c>
      <c r="G58" s="2555"/>
      <c r="H58" s="2558"/>
      <c r="I58" s="1808"/>
      <c r="J58" s="3770"/>
      <c r="K58" s="3770"/>
      <c r="L58" s="2530" t="s">
        <v>1370</v>
      </c>
      <c r="M58" s="2534"/>
      <c r="N58" s="2535" t="str">
        <f ca="1">NUMBERSTRING(INT(N57*10000),2)&amp;"元整"</f>
        <v>零元整</v>
      </c>
      <c r="O58" s="2536"/>
    </row>
    <row r="59" spans="1:35" ht="24.6" thickBot="1">
      <c r="A59" s="3773" t="s">
        <v>1371</v>
      </c>
      <c r="B59" s="3774"/>
      <c r="C59" s="3774"/>
      <c r="D59" s="2560" t="e">
        <f ca="1">IF(H59="非个人房产","——",IF(H59="个人住宅（满五唯一有凭证）",0,IF(H59="个人其他（无凭证）",ROUND(D45*F59,0),ROUND(C67*F59,0))))</f>
        <v>#REF!</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2137</v>
      </c>
      <c r="J59" s="3771">
        <f>J57+1</f>
        <v>6</v>
      </c>
      <c r="K59" s="3770" t="s">
        <v>1372</v>
      </c>
      <c r="L59" s="2523" t="s">
        <v>1368</v>
      </c>
      <c r="M59" s="2537"/>
      <c r="N59" s="2538" t="e">
        <f ca="1">M49-N57</f>
        <v>#VALUE!</v>
      </c>
      <c r="O59" s="2539"/>
    </row>
    <row r="60" spans="1:35" ht="12" customHeight="1">
      <c r="A60" s="1809"/>
      <c r="B60" s="1747"/>
      <c r="C60" s="1747"/>
      <c r="D60" s="1747"/>
      <c r="E60" s="1578"/>
      <c r="F60" s="1808"/>
      <c r="G60" s="1808"/>
      <c r="H60" s="1810"/>
      <c r="I60" s="129"/>
      <c r="J60" s="3772"/>
      <c r="K60" s="3770"/>
      <c r="L60" s="2530" t="s">
        <v>1370</v>
      </c>
      <c r="M60" s="2534"/>
      <c r="N60" s="2535" t="e">
        <f ca="1">NUMBERSTRING(INT(N59*10000),2)&amp;"元整"</f>
        <v>#VALUE!</v>
      </c>
      <c r="O60" s="2536"/>
    </row>
    <row r="61" spans="1:35" ht="13.8" thickBot="1">
      <c r="A61" s="3718" t="s">
        <v>1373</v>
      </c>
      <c r="B61" s="3718"/>
      <c r="C61" s="3718"/>
      <c r="D61" s="3718"/>
      <c r="E61" s="3718"/>
      <c r="F61" s="1808"/>
      <c r="G61" s="1808"/>
      <c r="H61" s="1810"/>
      <c r="I61" s="129"/>
      <c r="J61" s="2523">
        <f>J59+1</f>
        <v>7</v>
      </c>
      <c r="K61" s="3770" t="s">
        <v>1374</v>
      </c>
      <c r="L61" s="3770"/>
      <c r="M61" s="2540"/>
      <c r="N61" s="2541" t="e">
        <f ca="1">ROUND(N59*10000/'数据-汇总表'!E3,0)</f>
        <v>#VALUE!</v>
      </c>
      <c r="O61" s="2542"/>
    </row>
    <row r="62" spans="1:35" ht="13.2">
      <c r="A62" s="3736" t="s">
        <v>1375</v>
      </c>
      <c r="B62" s="3737"/>
      <c r="C62" s="2021"/>
      <c r="D62" s="2021" t="s">
        <v>1376</v>
      </c>
      <c r="E62" s="166" t="s">
        <v>1377</v>
      </c>
      <c r="F62" s="1808"/>
      <c r="G62" s="1808"/>
      <c r="H62" s="1810"/>
      <c r="I62" s="129"/>
    </row>
    <row r="63" spans="1:35" ht="13.2">
      <c r="A63" s="173" t="s">
        <v>330</v>
      </c>
      <c r="B63" s="167" t="s">
        <v>1378</v>
      </c>
      <c r="C63" s="2564" t="e">
        <f ca="1">ROUND((C64+C65)/(1+'数据-取费表'!C42),0)</f>
        <v>#REF!</v>
      </c>
      <c r="D63" s="167"/>
      <c r="E63" s="168"/>
      <c r="F63" s="1808"/>
      <c r="G63" s="1808"/>
      <c r="H63" s="1810"/>
      <c r="I63" s="129"/>
      <c r="J63" s="3795" t="s">
        <v>1379</v>
      </c>
      <c r="K63" s="1332" t="s">
        <v>1380</v>
      </c>
      <c r="L63" s="1332" t="e">
        <f>IF(M49&gt;10000,M49*0.5%,IF(AND(M49&gt;1000,M49&lt;=10000),M49*1%,IF(AND(M49&gt;100,M49&lt;=1000),M49*3%,IF(AND(M49&gt;10,M49&lt;=100),M49*5%,M49*8%))))</f>
        <v>#VALUE!</v>
      </c>
      <c r="M63" s="302" t="e">
        <f>ROUND(L63,1)</f>
        <v>#VALUE!</v>
      </c>
      <c r="N63" s="2543"/>
      <c r="Z63" s="1752"/>
      <c r="AI63" s="1753"/>
    </row>
    <row r="64" spans="1:35" ht="14.25" customHeight="1">
      <c r="A64" s="169" t="s">
        <v>325</v>
      </c>
      <c r="B64" s="170" t="s">
        <v>1381</v>
      </c>
      <c r="C64" s="2565" t="e">
        <f ca="1">D45</f>
        <v>#REF!</v>
      </c>
      <c r="D64" s="170" t="s">
        <v>26</v>
      </c>
      <c r="E64" s="172"/>
      <c r="F64" s="1808"/>
      <c r="G64" s="1808"/>
      <c r="H64" s="1810"/>
      <c r="I64" s="129"/>
      <c r="J64" s="3795"/>
      <c r="K64" s="1332" t="s">
        <v>1382</v>
      </c>
      <c r="L64" s="1332" t="e">
        <f>IF(M49&gt;2000,M49*0.5%,IF(AND(M49&gt;1000,M49&lt;=2000),M49*0.6%,IF(AND(M49&gt;500,M49&lt;=1000),M49*0.7%,IF(AND(M49&gt;200,M49&lt;=500),M49*0.8%,IF(AND(M49&gt;100,M49&lt;=200),M49*0.9%,IF(AND(M49&gt;50,M49&lt;=100),M49*1%,IF(AND(M49&gt;20,M49&lt;=50),M49*1.5%,IF(AND(M49&gt;10,M49&lt;=20),M49*2%,IF(AND(M49&gt;1,M49&lt;=10),M49*2.5%)))))))))</f>
        <v>#VALUE!</v>
      </c>
      <c r="M64" s="302" t="e">
        <f t="shared" ref="M64:M65" si="1">ROUND(L64,1)</f>
        <v>#VALUE!</v>
      </c>
      <c r="N64" s="2544" t="s">
        <v>1383</v>
      </c>
      <c r="Z64" s="1752"/>
      <c r="AI64" s="1753"/>
    </row>
    <row r="65" spans="1:35" ht="14.25" customHeight="1">
      <c r="A65" s="169" t="s">
        <v>326</v>
      </c>
      <c r="B65" s="170" t="s">
        <v>1384</v>
      </c>
      <c r="C65" s="2566"/>
      <c r="D65" s="170"/>
      <c r="E65" s="172"/>
      <c r="F65" s="1808"/>
      <c r="G65" s="1808"/>
      <c r="H65" s="1810"/>
      <c r="I65" s="129"/>
      <c r="J65" s="3795"/>
      <c r="K65" s="1332" t="s">
        <v>1385</v>
      </c>
      <c r="L65" s="1332" t="e">
        <f>IF(M49&gt;1000,M49*0.1%,IF(AND(M49&gt;500,M49&lt;=1000),M49*0.5%,IF(AND(M49&gt;50,M49&lt;=500),M49*1%,IF(AND(M49&gt;1,M49&lt;=50),M49*1.5%))))</f>
        <v>#VALUE!</v>
      </c>
      <c r="M65" s="302" t="e">
        <f t="shared" si="1"/>
        <v>#VALUE!</v>
      </c>
      <c r="N65" s="2544" t="s">
        <v>1383</v>
      </c>
      <c r="Z65" s="1752"/>
      <c r="AI65" s="1753"/>
    </row>
    <row r="66" spans="1:35" ht="14.25" customHeight="1">
      <c r="A66" s="173" t="s">
        <v>327</v>
      </c>
      <c r="B66" s="174" t="s">
        <v>1386</v>
      </c>
      <c r="C66" s="2567"/>
      <c r="D66" s="174" t="s">
        <v>26</v>
      </c>
      <c r="E66" s="1338" t="s">
        <v>671</v>
      </c>
      <c r="F66" s="1808"/>
      <c r="G66" s="1808"/>
      <c r="H66" s="1810"/>
      <c r="I66" s="129"/>
      <c r="J66" s="3795"/>
      <c r="K66" s="1332" t="s">
        <v>1387</v>
      </c>
      <c r="L66" s="1332" t="e">
        <f>M49*0.5%</f>
        <v>#VALUE!</v>
      </c>
      <c r="M66" s="302" t="e">
        <f>IF(L66&gt;0.5,0.5,ROUND(L66,0))</f>
        <v>#VALUE!</v>
      </c>
      <c r="N66" s="2544" t="s">
        <v>1388</v>
      </c>
      <c r="Z66" s="1752"/>
      <c r="AI66" s="1753"/>
    </row>
    <row r="67" spans="1:35" ht="14.25" customHeight="1">
      <c r="A67" s="173" t="s">
        <v>328</v>
      </c>
      <c r="B67" s="174" t="s">
        <v>1389</v>
      </c>
      <c r="C67" s="2568" t="e">
        <f ca="1">C63-C66</f>
        <v>#REF!</v>
      </c>
      <c r="D67" s="170" t="s">
        <v>26</v>
      </c>
      <c r="E67" s="172"/>
      <c r="F67" s="1808"/>
      <c r="G67" s="1808"/>
      <c r="H67" s="1810"/>
      <c r="I67" s="129"/>
      <c r="J67" s="3795"/>
      <c r="K67" s="1332" t="s">
        <v>1390</v>
      </c>
      <c r="L67" s="1332" t="e">
        <f>IF(M49&gt;=10000,(8.25+(M49-10000)*0.01%),IF(AND(M49&gt;=8000,M49&lt;10000),(7.85+(M49-8000)*0.02%),IF(AND(M49&gt;=5000,M49&lt;8000),(6.65+(M49-5000)*0.04%),IF(AND(M49&gt;=2000,M49&lt;5000),(4.25+(PM49-2000)*0.08%),IF(AND(M49&gt;=1000,M49&lt;2000),(2.75+(M49-1000)*0.15%),IF(AND(M49&gt;=100,M49&lt;1000),(0.5+(M49-100)*0.25%),IF(AND(M49&gt;0,M49&lt;100),M49*0.5%)))))))</f>
        <v>#VALUE!</v>
      </c>
      <c r="M67" s="302" t="e">
        <f>ROUND(L67*0.9,1)</f>
        <v>#VALUE!</v>
      </c>
      <c r="N67" s="2543"/>
      <c r="Z67" s="1752"/>
      <c r="AI67" s="1753"/>
    </row>
    <row r="68" spans="1:35" ht="14.25" customHeight="1" thickBot="1">
      <c r="A68" s="176" t="s">
        <v>329</v>
      </c>
      <c r="B68" s="177" t="s">
        <v>1391</v>
      </c>
      <c r="C68" s="2569" t="e">
        <f ca="1">IF(C67&lt;=0,0,ROUND(C67*D68,0))</f>
        <v>#REF!</v>
      </c>
      <c r="D68" s="2570">
        <f>'数据-取费表'!B41</f>
        <v>5.6000000000000001E-2</v>
      </c>
      <c r="E68" s="178"/>
      <c r="F68" s="1808"/>
      <c r="G68" s="1808"/>
      <c r="H68" s="1810"/>
      <c r="I68" s="129"/>
      <c r="J68" s="3795"/>
      <c r="K68" s="1332" t="s">
        <v>1392</v>
      </c>
      <c r="L68" s="1332" t="e">
        <f>IF(M49&gt;10000,M49*0.5%,IF(AND(M49&gt;5000,M49&lt;=10000),M49*1%,IF(AND(M49&gt;1000,M49&lt;=5000),M49*2%,IF(AND(M49&gt;200,M49&lt;=1000),M49*3%,M49*5%))))</f>
        <v>#VALUE!</v>
      </c>
      <c r="M68" s="302" t="e">
        <f>ROUND(L68,1)</f>
        <v>#VALUE!</v>
      </c>
      <c r="N68" s="2543"/>
      <c r="Z68" s="1752"/>
      <c r="AI68" s="1753"/>
    </row>
    <row r="69" spans="1:35" s="1772" customFormat="1" ht="16.5" customHeight="1">
      <c r="A69" s="1811"/>
      <c r="B69" s="1812"/>
      <c r="C69" s="1813"/>
      <c r="D69" s="1814"/>
      <c r="E69" s="1815"/>
      <c r="F69" s="1578"/>
      <c r="G69" s="1578"/>
      <c r="H69" s="1577"/>
      <c r="I69" s="1747"/>
      <c r="J69" s="3795"/>
      <c r="K69" s="1332" t="s">
        <v>1393</v>
      </c>
      <c r="L69" s="1332"/>
      <c r="M69" s="302" t="e">
        <f>ROUND(SUM(M63:M68),0)</f>
        <v>#VALUE!</v>
      </c>
      <c r="N69" s="2545" t="e">
        <f>M69/M49</f>
        <v>#VALUE!</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4.4" thickBot="1">
      <c r="A70" s="3757" t="s">
        <v>1394</v>
      </c>
      <c r="B70" s="3758"/>
      <c r="C70" s="3758"/>
      <c r="D70" s="3758"/>
      <c r="E70" s="3758"/>
      <c r="F70" s="3758"/>
      <c r="G70" s="3758"/>
      <c r="H70" s="3758"/>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3.8">
      <c r="A71" s="3736" t="s">
        <v>1375</v>
      </c>
      <c r="B71" s="3737"/>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3.8">
      <c r="A72" s="173" t="s">
        <v>330</v>
      </c>
      <c r="B72" s="174" t="s">
        <v>1395</v>
      </c>
      <c r="C72" s="2568" t="e">
        <f ca="1">ROUND(D45/(1+'数据-取费表'!C42),0)</f>
        <v>#REF!</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3.8">
      <c r="A73" s="173" t="s">
        <v>327</v>
      </c>
      <c r="B73" s="163" t="s">
        <v>1396</v>
      </c>
      <c r="C73" s="2568" t="e">
        <f ca="1">C74+C78</f>
        <v>#REF!</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28.8">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731" t="s">
        <v>1402</v>
      </c>
      <c r="F76" s="3705"/>
      <c r="G76" s="3705"/>
      <c r="H76" s="3756"/>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t="e">
        <f ca="1">ROUND(D45*D78/(1+'数据-取费表'!C42),0)</f>
        <v>#REF!</v>
      </c>
      <c r="D78" s="2577">
        <f>'数据-取费表'!B43</f>
        <v>6.000000000000001E-3</v>
      </c>
      <c r="E78" s="3715" t="s">
        <v>1406</v>
      </c>
      <c r="F78" s="3716"/>
      <c r="G78" s="3716"/>
      <c r="H78" s="3725"/>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3.8">
      <c r="A79" s="173" t="s">
        <v>334</v>
      </c>
      <c r="B79" s="174" t="s">
        <v>1407</v>
      </c>
      <c r="C79" s="2568" t="e">
        <f ca="1">C72-C73</f>
        <v>#REF!</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t="e">
        <f ca="1">IF(C79&lt;=0,0,C79/C73)</f>
        <v>#REF!</v>
      </c>
      <c r="D80" s="170" t="s">
        <v>26</v>
      </c>
      <c r="E80" s="2324" t="e">
        <f ca="1">IF(C80&gt;=200%,"增值额超过扣除项目金额200%",IF(C80&gt;=100%,"增值额超过扣除项目金额100%，未超过200%",IF(C80&gt;=50%,"增值额超过扣除项目金额50%，未超过100%",IF(C80&lt;50%,"增值额未超过扣除项目金额50%"))))</f>
        <v>#REF!</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6" thickBot="1">
      <c r="A81" s="176" t="s">
        <v>336</v>
      </c>
      <c r="B81" s="177" t="s">
        <v>1409</v>
      </c>
      <c r="C81" s="2579" t="e">
        <f ca="1">ROUND(IF(C79&lt;=0,0,IF(C80&gt;=200%,C79*60%-C73*35%,IF(C80&gt;=100%,C79*50%-C73*15%,IF(C80&gt;=50%,C79*40%-C73*5%,IF(C80&lt;50%,C79*30%,0))))),0)</f>
        <v>#REF!</v>
      </c>
      <c r="D81" s="2580"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4.4" thickBot="1">
      <c r="A83" s="3757" t="s">
        <v>1410</v>
      </c>
      <c r="B83" s="3758"/>
      <c r="C83" s="3758"/>
      <c r="D83" s="3758"/>
      <c r="E83" s="3758"/>
      <c r="F83" s="3758"/>
      <c r="G83" s="3758"/>
      <c r="H83" s="3758"/>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3.8">
      <c r="A84" s="3736" t="s">
        <v>1375</v>
      </c>
      <c r="B84" s="3737"/>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3.8">
      <c r="A85" s="173" t="s">
        <v>330</v>
      </c>
      <c r="B85" s="174" t="s">
        <v>1395</v>
      </c>
      <c r="C85" s="2568" t="e">
        <f ca="1">ROUND(D45/(1+'数据-取费表'!C42),0)</f>
        <v>#REF!</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3.8">
      <c r="A86" s="173" t="s">
        <v>327</v>
      </c>
      <c r="B86" s="163" t="s">
        <v>1396</v>
      </c>
      <c r="C86" s="2568" t="e">
        <f ca="1">IF(H88="仅含出让金",C87+C90+C91+C92+C93+C94,C87+C91+C92+C93+C94)</f>
        <v>#REF!</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3.8">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4">
      <c r="A88" s="169" t="s">
        <v>331</v>
      </c>
      <c r="B88" s="170" t="s">
        <v>1412</v>
      </c>
      <c r="C88" s="2582"/>
      <c r="D88" s="2577"/>
      <c r="E88" s="193" t="s">
        <v>1413</v>
      </c>
      <c r="F88" s="2327"/>
      <c r="G88" s="194" t="s">
        <v>1414</v>
      </c>
      <c r="H88" s="1824"/>
      <c r="I88" s="1821"/>
      <c r="J88" s="2521"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3.8">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4">
      <c r="A90" s="169" t="s">
        <v>326</v>
      </c>
      <c r="B90" s="170" t="s">
        <v>1416</v>
      </c>
      <c r="C90" s="2582"/>
      <c r="D90" s="2577"/>
      <c r="E90" s="193" t="str">
        <f>IF(H88="-","土地取得成本中已包含该笔费用"," ")</f>
        <v xml:space="preserve"> </v>
      </c>
      <c r="F90" s="2327"/>
      <c r="G90" s="3797" t="s">
        <v>2129</v>
      </c>
      <c r="H90" s="3798"/>
      <c r="I90" s="1821"/>
      <c r="J90" s="2521"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715" t="s">
        <v>1419</v>
      </c>
      <c r="F91" s="3716"/>
      <c r="G91" s="3716"/>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715" t="s">
        <v>1422</v>
      </c>
      <c r="F92" s="3716"/>
      <c r="G92" s="3716"/>
      <c r="H92" s="3725"/>
      <c r="I92" s="1821"/>
      <c r="J92" s="2522"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t="e">
        <f ca="1">ROUND(D45*D93/(1+'数据-取费表'!C42),0)</f>
        <v>#REF!</v>
      </c>
      <c r="D93" s="2577">
        <f>'数据-取费表'!B43</f>
        <v>6.000000000000001E-3</v>
      </c>
      <c r="E93" s="3715" t="s">
        <v>1406</v>
      </c>
      <c r="F93" s="3716"/>
      <c r="G93" s="3716"/>
      <c r="H93" s="3725"/>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726" t="s">
        <v>1426</v>
      </c>
      <c r="F94" s="3727"/>
      <c r="G94" s="3727"/>
      <c r="H94" s="3728"/>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3.8">
      <c r="A95" s="173" t="s">
        <v>334</v>
      </c>
      <c r="B95" s="174" t="s">
        <v>1407</v>
      </c>
      <c r="C95" s="2568" t="e">
        <f ca="1">ROUND(C85-C86,0)</f>
        <v>#REF!</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t="e">
        <f ca="1">IF(C95&lt;=0,0,C95/C86)</f>
        <v>#REF!</v>
      </c>
      <c r="D96" s="170" t="s">
        <v>26</v>
      </c>
      <c r="E96" s="2324" t="e">
        <f ca="1">IF(C96&gt;=200%,"增值额超过扣除项目金额200%",IF(C96&gt;=100%,"增值额超过扣除项目金额100%，未超过200%",IF(C96&gt;=50%,"增值额超过扣除项目金额50%，未超过100%",IF(C96&lt;50%,"增值额未超过扣除项目金额50%"))))</f>
        <v>#REF!</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6" thickBot="1">
      <c r="A97" s="176" t="s">
        <v>336</v>
      </c>
      <c r="B97" s="177" t="s">
        <v>1409</v>
      </c>
      <c r="C97" s="2579" t="e">
        <f ca="1">ROUND(IF(C95&lt;=0,0,IF(C96&gt;=200%,C95*60%-C86*35%,IF(C96&gt;=100%,C95*50%-C86*15%,IF(C96&gt;=50%,C95*40%-C86*5%,IF(C96&lt;50%,C95*30%,0))))),0)</f>
        <v>#REF!</v>
      </c>
      <c r="D97" s="2580"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673" t="s">
        <v>1428</v>
      </c>
      <c r="B100" s="3674"/>
      <c r="C100" s="3674"/>
      <c r="D100" s="3717"/>
      <c r="E100" s="3674" t="s">
        <v>1429</v>
      </c>
      <c r="F100" s="3674"/>
      <c r="G100" s="3674"/>
      <c r="H100" s="3717"/>
      <c r="I100" s="129"/>
    </row>
    <row r="101" spans="1:35" ht="18.75" customHeight="1">
      <c r="A101" s="3778" t="s">
        <v>1430</v>
      </c>
      <c r="B101" s="3779"/>
      <c r="C101" s="2585">
        <f>C4</f>
        <v>0</v>
      </c>
      <c r="D101" s="2586">
        <f>D4</f>
        <v>0</v>
      </c>
      <c r="E101" s="3792" t="s">
        <v>1431</v>
      </c>
      <c r="F101" s="3749"/>
      <c r="G101" s="1827" t="s">
        <v>1432</v>
      </c>
      <c r="H101" s="2595" t="e">
        <f ca="1">H118</f>
        <v>#REF!</v>
      </c>
      <c r="I101" s="129"/>
    </row>
    <row r="102" spans="1:35" ht="18.75" customHeight="1">
      <c r="A102" s="3751" t="s">
        <v>1433</v>
      </c>
      <c r="B102" s="2584" t="s">
        <v>1432</v>
      </c>
      <c r="C102" s="2585" t="e">
        <f ca="1">IF(D32="楼面单价",ROUND(C19,0),C19)</f>
        <v>#REF!</v>
      </c>
      <c r="D102" s="2586" t="e">
        <f ca="1">IF(D32="楼面单价",ROUND(D19,0),D19)</f>
        <v>#REF!</v>
      </c>
      <c r="E102" s="3792"/>
      <c r="F102" s="3749"/>
      <c r="G102" s="1827" t="s">
        <v>1434</v>
      </c>
      <c r="H102" s="2555" t="e">
        <f ca="1">I118</f>
        <v>#REF!</v>
      </c>
      <c r="I102" s="129"/>
    </row>
    <row r="103" spans="1:35" ht="42.75" customHeight="1">
      <c r="A103" s="3751"/>
      <c r="B103" s="2584" t="s">
        <v>1434</v>
      </c>
      <c r="C103" s="2587" t="e">
        <f ca="1">C20</f>
        <v>#REF!</v>
      </c>
      <c r="D103" s="2588" t="e">
        <f ca="1">D20</f>
        <v>#REF!</v>
      </c>
      <c r="E103" s="3786" t="s">
        <v>1435</v>
      </c>
      <c r="F103" s="3787"/>
      <c r="G103" s="1828" t="s">
        <v>1436</v>
      </c>
      <c r="H103" s="2595">
        <f>IF(D36="正常操作",H104+H105+H106,H105+H106)</f>
        <v>0</v>
      </c>
      <c r="I103" s="129"/>
    </row>
    <row r="104" spans="1:35" ht="18.75" customHeight="1">
      <c r="A104" s="3751" t="s">
        <v>1437</v>
      </c>
      <c r="B104" s="2589" t="s">
        <v>1432</v>
      </c>
      <c r="C104" s="2590" t="e">
        <f ca="1">H118</f>
        <v>#REF!</v>
      </c>
      <c r="D104" s="2591"/>
      <c r="E104" s="1674" t="s">
        <v>1438</v>
      </c>
      <c r="F104" s="1666"/>
      <c r="G104" s="1828" t="s">
        <v>1436</v>
      </c>
      <c r="H104" s="2596">
        <f>IF(D36="同一抵押权人同一抵押物续贷",C36&amp;"（续贷，未扣减，详见特别提示）",C36)</f>
        <v>0</v>
      </c>
      <c r="I104" s="129"/>
    </row>
    <row r="105" spans="1:35" ht="18.75" customHeight="1" thickBot="1">
      <c r="A105" s="3752"/>
      <c r="B105" s="2592" t="s">
        <v>1434</v>
      </c>
      <c r="C105" s="2593" t="e">
        <f ca="1">I118</f>
        <v>#REF!</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748" t="str">
        <f>IF(项目基本情况!E8="已注销","——","3.房地产抵押价值")</f>
        <v>3.房地产抵押价值</v>
      </c>
      <c r="F107" s="3749"/>
      <c r="G107" s="1827" t="s">
        <v>1432</v>
      </c>
      <c r="H107" s="2595" t="e">
        <f ca="1">IF(E107="——","——",H101-H103)</f>
        <v>#REF!</v>
      </c>
      <c r="I107" s="129"/>
    </row>
    <row r="108" spans="1:35" ht="18.75" customHeight="1">
      <c r="A108" s="129"/>
      <c r="B108" s="129"/>
      <c r="C108" s="129"/>
      <c r="D108" s="129"/>
      <c r="E108" s="3748"/>
      <c r="F108" s="3749"/>
      <c r="G108" s="1827" t="s">
        <v>1434</v>
      </c>
      <c r="H108" s="2555">
        <f ca="1">IF(H107=H101,H102,ROUND(H107*10000/'数据-汇总表'!E3,0))</f>
        <v>0</v>
      </c>
      <c r="I108" s="129"/>
    </row>
    <row r="109" spans="1:35" ht="18.75" customHeight="1">
      <c r="A109" s="129"/>
      <c r="B109" s="129"/>
      <c r="C109" s="129"/>
      <c r="D109" s="129"/>
      <c r="E109" s="3748" t="str">
        <f>IF(项目基本情况!E8="已注销及未注销","4.抵押担保权已注销时的房地产抵押价值",IF(项目基本情况!E8="已注销","3.抵押担保权已注销时的房地产抵押价值","——"))</f>
        <v>——</v>
      </c>
      <c r="F109" s="3749"/>
      <c r="G109" s="1827" t="s">
        <v>1432</v>
      </c>
      <c r="H109" s="2598" t="str">
        <f>IF(E109="——","——",H101-H105-H106)</f>
        <v>——</v>
      </c>
      <c r="I109" s="129"/>
    </row>
    <row r="110" spans="1:35" ht="18.75" customHeight="1">
      <c r="A110" s="129"/>
      <c r="B110" s="129"/>
      <c r="C110" s="129"/>
      <c r="D110" s="129"/>
      <c r="E110" s="3748"/>
      <c r="F110" s="3749"/>
      <c r="G110" s="1827" t="s">
        <v>1434</v>
      </c>
      <c r="H110" s="2555" t="str">
        <f>IF(H109="——","——",ROUND(H109*10000/'数据-汇总表'!E3,0))</f>
        <v>——</v>
      </c>
      <c r="I110" s="129"/>
    </row>
    <row r="111" spans="1:35" ht="18.75" customHeight="1">
      <c r="A111" s="129"/>
      <c r="B111" s="129"/>
      <c r="C111" s="129"/>
      <c r="D111" s="129"/>
      <c r="E111" s="3780" t="str">
        <f>IF(项目基本情况!E9="抵押净值",IF(OR(项目基本情况!E8="已注销",项目基本情况!E8="房地产抵押价值"),"4.抵押净值","5.抵押净值"),"——")</f>
        <v>——</v>
      </c>
      <c r="F111" s="3750"/>
      <c r="G111" s="1827" t="s">
        <v>1432</v>
      </c>
      <c r="H111" s="2595" t="str">
        <f>IF(E111="——","——",N59)</f>
        <v>——</v>
      </c>
      <c r="I111" s="129"/>
    </row>
    <row r="112" spans="1:35" ht="18.75" customHeight="1" thickBot="1">
      <c r="A112" s="129"/>
      <c r="B112" s="129"/>
      <c r="C112" s="129"/>
      <c r="D112" s="129"/>
      <c r="E112" s="3781"/>
      <c r="F112" s="3782"/>
      <c r="G112" s="1830" t="s">
        <v>1434</v>
      </c>
      <c r="H112" s="2599" t="str">
        <f>IF(E111="——","——",N61)</f>
        <v>——</v>
      </c>
      <c r="I112" s="129"/>
    </row>
    <row r="113" spans="1:27" ht="18.75" customHeight="1">
      <c r="A113" s="129"/>
      <c r="B113" s="129"/>
      <c r="C113" s="129"/>
      <c r="D113" s="129"/>
      <c r="E113" s="3753" t="s">
        <v>1440</v>
      </c>
      <c r="F113" s="3753"/>
      <c r="G113" s="3753"/>
      <c r="H113" s="3753"/>
      <c r="I113" s="129"/>
    </row>
    <row r="114" spans="1:27" ht="3.75" customHeight="1">
      <c r="A114" s="1747"/>
      <c r="B114" s="1747"/>
      <c r="C114" s="1747"/>
      <c r="D114" s="1747"/>
      <c r="E114" s="1809"/>
      <c r="F114" s="1809"/>
      <c r="G114" s="1809"/>
      <c r="H114" s="1809"/>
      <c r="I114" s="1747"/>
    </row>
    <row r="115" spans="1:27" ht="18.75" customHeight="1">
      <c r="A115" s="3763" t="s">
        <v>1442</v>
      </c>
      <c r="B115" s="3764"/>
      <c r="C115" s="3764"/>
      <c r="D115" s="3764"/>
      <c r="E115" s="3764"/>
      <c r="F115" s="3764"/>
      <c r="G115" s="3764"/>
      <c r="H115" s="3764"/>
      <c r="I115" s="3765"/>
    </row>
    <row r="116" spans="1:27" ht="27" customHeight="1">
      <c r="A116" s="3719" t="s">
        <v>1443</v>
      </c>
      <c r="B116" s="3754" t="s">
        <v>1444</v>
      </c>
      <c r="C116" s="3754" t="s">
        <v>1445</v>
      </c>
      <c r="D116" s="3767" t="s">
        <v>1446</v>
      </c>
      <c r="E116" s="3768"/>
      <c r="F116" s="3762" t="s">
        <v>1447</v>
      </c>
      <c r="G116" s="3762"/>
      <c r="H116" s="3719" t="s">
        <v>1448</v>
      </c>
      <c r="I116" s="3719"/>
    </row>
    <row r="117" spans="1:27" ht="18.75" customHeight="1">
      <c r="A117" s="3719"/>
      <c r="B117" s="3755"/>
      <c r="C117" s="3755"/>
      <c r="D117" s="2329" t="s">
        <v>1449</v>
      </c>
      <c r="E117" s="2329" t="s">
        <v>1450</v>
      </c>
      <c r="F117" s="2329" t="s">
        <v>1449</v>
      </c>
      <c r="G117" s="2329" t="s">
        <v>1451</v>
      </c>
      <c r="H117" s="2329" t="s">
        <v>1449</v>
      </c>
      <c r="I117" s="2329" t="s">
        <v>1451</v>
      </c>
    </row>
    <row r="118" spans="1:27" ht="24.75" customHeight="1">
      <c r="A118" s="2600" t="str">
        <f>项目基本情况!S2</f>
        <v>房地产</v>
      </c>
      <c r="B118" s="2329">
        <f>M18</f>
        <v>2414.4300000000003</v>
      </c>
      <c r="C118" s="2329">
        <f>M19</f>
        <v>0</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t="e">
        <f ca="1">ROUND(IF(D32="总价",C32,I118*B118/10000),0)</f>
        <v>#REF!</v>
      </c>
      <c r="I118" s="2329" t="e">
        <f ca="1">ROUND(IF(D32="楼面单价",C32,H118*10000/B118),0)</f>
        <v>#REF!</v>
      </c>
    </row>
    <row r="119" spans="1:27" ht="18.75" customHeight="1">
      <c r="A119" s="3719" t="s">
        <v>1452</v>
      </c>
      <c r="B119" s="3719"/>
      <c r="C119" s="3719"/>
      <c r="D119" s="3759" t="e">
        <f ca="1">NUMBERSTRING(INT(D118*10000),2)&amp;"元整"</f>
        <v>#REF!</v>
      </c>
      <c r="E119" s="3761"/>
      <c r="F119" s="3759" t="e">
        <f ca="1">NUMBERSTRING(INT(F118*10000),2)&amp;"元整"</f>
        <v>#REF!</v>
      </c>
      <c r="G119" s="3761"/>
      <c r="H119" s="3759" t="e">
        <f ca="1">NUMBERSTRING(INT(H118*10000),2)&amp;"元整"</f>
        <v>#REF!</v>
      </c>
      <c r="I119" s="3761"/>
    </row>
    <row r="120" spans="1:27" ht="18.75" customHeight="1">
      <c r="A120" s="3783" t="str">
        <f>IF(项目基本情况!B9="房地产市场价值","",MID(E103,3,LEN(E103)-2))</f>
        <v>估价师知悉的法定优先受偿款</v>
      </c>
      <c r="B120" s="3784"/>
      <c r="C120" s="3785"/>
      <c r="D120" s="3783">
        <f>H103</f>
        <v>0</v>
      </c>
      <c r="E120" s="3784"/>
      <c r="F120" s="3784"/>
      <c r="G120" s="3784"/>
      <c r="H120" s="3784"/>
      <c r="I120" s="3785"/>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759" t="s">
        <v>1452</v>
      </c>
      <c r="B121" s="3760"/>
      <c r="C121" s="3761"/>
      <c r="D121" s="3759" t="str">
        <f>IF(D120=0,"零元整",NUMBERSTRING(INT(D120*10000),2)&amp;"元整")</f>
        <v>零元整</v>
      </c>
      <c r="E121" s="3760"/>
      <c r="F121" s="3760"/>
      <c r="G121" s="3760"/>
      <c r="H121" s="3760"/>
      <c r="I121" s="3761"/>
      <c r="AA121" s="725"/>
    </row>
    <row r="122" spans="1:27" ht="18.75" customHeight="1">
      <c r="A122" s="3750" t="str">
        <f>IF(项目基本情况!B9="房地产市场价值","",MID(E107,3,LEN(E107)-2))</f>
        <v>房地产抵押价值</v>
      </c>
      <c r="B122" s="3750"/>
      <c r="C122" s="3750"/>
      <c r="D122" s="3783" t="e">
        <f ca="1">H107</f>
        <v>#REF!</v>
      </c>
      <c r="E122" s="3784"/>
      <c r="F122" s="3784"/>
      <c r="G122" s="3784"/>
      <c r="H122" s="3784"/>
      <c r="I122" s="3785"/>
      <c r="AA122" s="725"/>
    </row>
    <row r="123" spans="1:27" ht="18.75" customHeight="1">
      <c r="A123" s="3719" t="s">
        <v>1452</v>
      </c>
      <c r="B123" s="3719"/>
      <c r="C123" s="3719"/>
      <c r="D123" s="3759" t="e">
        <f ca="1">NUMBERSTRING(INT(D122*10000),2)&amp;"元整"</f>
        <v>#REF!</v>
      </c>
      <c r="E123" s="3760"/>
      <c r="F123" s="3760"/>
      <c r="G123" s="3760"/>
      <c r="H123" s="3760"/>
      <c r="I123" s="3761"/>
      <c r="AA123" s="725"/>
    </row>
    <row r="124" spans="1:27" ht="18.75" customHeight="1">
      <c r="A124" s="3750" t="str">
        <f>IF(项目基本情况!B9="房地产市场价值","",MID(E109,3,LEN(E109)-2))</f>
        <v/>
      </c>
      <c r="B124" s="3750"/>
      <c r="C124" s="3750"/>
      <c r="D124" s="3783" t="str">
        <f>H109</f>
        <v>——</v>
      </c>
      <c r="E124" s="3784"/>
      <c r="F124" s="3784"/>
      <c r="G124" s="3784"/>
      <c r="H124" s="3784"/>
      <c r="I124" s="3785"/>
      <c r="AA124" s="725"/>
    </row>
    <row r="125" spans="1:27" ht="18.75" customHeight="1">
      <c r="A125" s="3719" t="s">
        <v>1452</v>
      </c>
      <c r="B125" s="3719"/>
      <c r="C125" s="3719"/>
      <c r="D125" s="3759" t="e">
        <f>NUMBERSTRING(INT(D124*10000),2)&amp;"元整"</f>
        <v>#VALUE!</v>
      </c>
      <c r="E125" s="3760"/>
      <c r="F125" s="3760"/>
      <c r="G125" s="3760"/>
      <c r="H125" s="3760"/>
      <c r="I125" s="3761"/>
      <c r="AA125" s="725"/>
    </row>
    <row r="126" spans="1:27" ht="18.75" customHeight="1">
      <c r="A126" s="3750" t="str">
        <f>IF(项目基本情况!B9="房地产市场价值","",MID(E111,3,LEN(E111)-2))</f>
        <v/>
      </c>
      <c r="B126" s="3750"/>
      <c r="C126" s="3750"/>
      <c r="D126" s="3783" t="str">
        <f>H111</f>
        <v>——</v>
      </c>
      <c r="E126" s="3784"/>
      <c r="F126" s="3784"/>
      <c r="G126" s="3784"/>
      <c r="H126" s="3784"/>
      <c r="I126" s="3785"/>
      <c r="AA126" s="725"/>
    </row>
    <row r="127" spans="1:27" ht="18.75" customHeight="1">
      <c r="A127" s="3719" t="s">
        <v>1452</v>
      </c>
      <c r="B127" s="3719"/>
      <c r="C127" s="3719"/>
      <c r="D127" s="3759" t="e">
        <f>NUMBERSTRING(INT(D126*10000),2)&amp;"元整"</f>
        <v>#VALUE!</v>
      </c>
      <c r="E127" s="3760"/>
      <c r="F127" s="3760"/>
      <c r="G127" s="3760"/>
      <c r="H127" s="3760"/>
      <c r="I127" s="3761"/>
      <c r="AA127" s="725"/>
    </row>
    <row r="128" spans="1:27" ht="21.75" customHeight="1">
      <c r="A128" s="3766" t="s">
        <v>1453</v>
      </c>
      <c r="B128" s="3766"/>
      <c r="C128" s="3766"/>
      <c r="D128" s="3766"/>
      <c r="E128" s="3766"/>
      <c r="F128" s="3766"/>
      <c r="G128" s="3766"/>
      <c r="H128" s="3766"/>
      <c r="I128" s="3766"/>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216" priority="21" stopIfTrue="1" operator="equal">
      <formula>25</formula>
    </cfRule>
  </conditionalFormatting>
  <conditionalFormatting sqref="C8:C9">
    <cfRule type="cellIs" dxfId="215" priority="19" stopIfTrue="1" operator="equal">
      <formula>15</formula>
    </cfRule>
  </conditionalFormatting>
  <conditionalFormatting sqref="C14:C16">
    <cfRule type="cellIs" dxfId="214" priority="13" stopIfTrue="1" operator="equal">
      <formula>30</formula>
    </cfRule>
  </conditionalFormatting>
  <conditionalFormatting sqref="D5:D7">
    <cfRule type="cellIs" dxfId="213" priority="10" stopIfTrue="1" operator="equal">
      <formula>25</formula>
    </cfRule>
  </conditionalFormatting>
  <conditionalFormatting sqref="D8:D9">
    <cfRule type="cellIs" dxfId="212" priority="9" stopIfTrue="1" operator="equal">
      <formula>15</formula>
    </cfRule>
  </conditionalFormatting>
  <conditionalFormatting sqref="C10:D13">
    <cfRule type="cellIs" dxfId="211" priority="8" stopIfTrue="1" operator="equal">
      <formula>15</formula>
    </cfRule>
  </conditionalFormatting>
  <conditionalFormatting sqref="D14:D16">
    <cfRule type="cellIs" dxfId="210" priority="6" stopIfTrue="1" operator="equal">
      <formula>30</formula>
    </cfRule>
  </conditionalFormatting>
  <conditionalFormatting sqref="C90">
    <cfRule type="expression" dxfId="209" priority="3" stopIfTrue="1">
      <formula>$H$88&lt;&gt;"仅含出让金"</formula>
    </cfRule>
  </conditionalFormatting>
  <conditionalFormatting sqref="C91">
    <cfRule type="expression" dxfId="208" priority="2" stopIfTrue="1">
      <formula>$H$91="由企业提供"</formula>
    </cfRule>
  </conditionalFormatting>
  <conditionalFormatting sqref="E36">
    <cfRule type="expression" dxfId="20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tint="-0.499984740745262"/>
  </sheetPr>
  <dimension ref="A1:P47"/>
  <sheetViews>
    <sheetView view="pageBreakPreview" topLeftCell="A16" zoomScaleSheetLayoutView="100" workbookViewId="0">
      <selection activeCell="G37" sqref="G37"/>
    </sheetView>
  </sheetViews>
  <sheetFormatPr defaultColWidth="9" defaultRowHeight="14.4"/>
  <cols>
    <col min="1" max="1" width="6.33203125" style="3463" customWidth="1"/>
    <col min="2" max="2" width="19.33203125" style="3506" customWidth="1"/>
    <col min="3" max="3" width="10.33203125" style="3463" customWidth="1"/>
    <col min="4" max="4" width="9" style="3463" customWidth="1"/>
    <col min="5" max="5" width="8.6640625" style="3463" customWidth="1"/>
    <col min="6" max="6" width="4.77734375" style="3463" customWidth="1"/>
    <col min="7" max="7" width="19.33203125" style="3507" customWidth="1"/>
    <col min="8" max="8" width="18" style="3463" customWidth="1"/>
    <col min="9" max="9" width="6.88671875" style="3463" customWidth="1"/>
    <col min="10" max="10" width="10.44140625" style="3459" customWidth="1"/>
    <col min="11" max="11" width="4.88671875" style="3459" customWidth="1"/>
    <col min="12" max="12" width="16.33203125" style="3459" customWidth="1"/>
    <col min="13" max="16" width="8.109375" style="3463" customWidth="1"/>
    <col min="17" max="16384" width="9" style="3463"/>
  </cols>
  <sheetData>
    <row r="1" spans="1:16">
      <c r="A1" s="3799" t="s">
        <v>3420</v>
      </c>
      <c r="B1" s="3799"/>
      <c r="C1" s="3799"/>
      <c r="D1" s="3799"/>
      <c r="E1" s="3799"/>
      <c r="F1" s="3799"/>
      <c r="G1" s="3799"/>
      <c r="H1" s="3799"/>
      <c r="I1" s="3799"/>
      <c r="K1" s="3800" t="s">
        <v>3421</v>
      </c>
      <c r="L1" s="3460" t="s">
        <v>3422</v>
      </c>
      <c r="M1" s="3461">
        <v>0</v>
      </c>
      <c r="N1" s="3462"/>
      <c r="O1" s="3462"/>
    </row>
    <row r="2" spans="1:16" ht="15.75" customHeight="1">
      <c r="A2" s="3464" t="s">
        <v>3423</v>
      </c>
      <c r="B2" s="3465" t="s">
        <v>3424</v>
      </c>
      <c r="C2" s="3801" t="s">
        <v>3425</v>
      </c>
      <c r="D2" s="3802"/>
      <c r="E2" s="3802"/>
      <c r="F2" s="3803"/>
      <c r="G2" s="3466" t="s">
        <v>3426</v>
      </c>
      <c r="H2" s="3804" t="s">
        <v>3427</v>
      </c>
      <c r="I2" s="3804"/>
      <c r="K2" s="3800"/>
      <c r="L2" s="3460" t="s">
        <v>3428</v>
      </c>
      <c r="M2" s="3467" t="s">
        <v>3429</v>
      </c>
      <c r="N2" s="3468"/>
      <c r="O2" s="3468"/>
    </row>
    <row r="3" spans="1:16" ht="28.8">
      <c r="A3" s="3466" t="s">
        <v>3430</v>
      </c>
      <c r="B3" s="3469" t="s">
        <v>3431</v>
      </c>
      <c r="C3" s="3805">
        <f>ROUND(37338*I3,0)</f>
        <v>27438949</v>
      </c>
      <c r="D3" s="3806"/>
      <c r="E3" s="3806"/>
      <c r="F3" s="3807"/>
      <c r="G3" s="3466" t="s">
        <v>3432</v>
      </c>
      <c r="H3" s="3469" t="s">
        <v>3433</v>
      </c>
      <c r="I3" s="3470">
        <f>'售价比较法-商业'!C33</f>
        <v>734.88</v>
      </c>
      <c r="K3" s="3800"/>
      <c r="L3" s="3460" t="s">
        <v>3434</v>
      </c>
      <c r="M3" s="3467" t="s">
        <v>3435</v>
      </c>
      <c r="N3" s="3468"/>
      <c r="O3" s="3468"/>
    </row>
    <row r="4" spans="1:16">
      <c r="A4" s="3804" t="s">
        <v>3436</v>
      </c>
      <c r="B4" s="3808" t="s">
        <v>3437</v>
      </c>
      <c r="C4" s="3809">
        <f>ROUND(C3*(I4-I6)/(1-((1+I6)/(1+I4))^I5),0)</f>
        <v>1615208</v>
      </c>
      <c r="D4" s="3810"/>
      <c r="E4" s="3810"/>
      <c r="F4" s="3811"/>
      <c r="G4" s="3804" t="s">
        <v>3438</v>
      </c>
      <c r="H4" s="3471" t="s">
        <v>3439</v>
      </c>
      <c r="I4" s="3472">
        <v>5.5E-2</v>
      </c>
      <c r="K4" s="3800"/>
      <c r="L4" s="3460" t="s">
        <v>3440</v>
      </c>
      <c r="M4" s="3473">
        <f>ROUND(1-(1-M1)*M2/M3,2)</f>
        <v>0.55000000000000004</v>
      </c>
      <c r="N4" s="3468"/>
      <c r="O4" s="3468"/>
    </row>
    <row r="5" spans="1:16" s="3477" customFormat="1" ht="18" customHeight="1">
      <c r="A5" s="3804"/>
      <c r="B5" s="3808"/>
      <c r="C5" s="3812"/>
      <c r="D5" s="3813"/>
      <c r="E5" s="3813"/>
      <c r="F5" s="3814"/>
      <c r="G5" s="3804"/>
      <c r="H5" s="3469" t="s">
        <v>3441</v>
      </c>
      <c r="I5" s="3474">
        <f>项目基本情况!E15</f>
        <v>29.44</v>
      </c>
      <c r="J5" s="3475"/>
      <c r="K5" s="3800"/>
      <c r="L5" s="3460" t="s">
        <v>3442</v>
      </c>
      <c r="M5" s="3476">
        <v>0.5</v>
      </c>
      <c r="N5" s="3468"/>
      <c r="O5" s="3468"/>
    </row>
    <row r="6" spans="1:16" s="3477" customFormat="1" ht="18" customHeight="1">
      <c r="A6" s="3804"/>
      <c r="B6" s="3808"/>
      <c r="C6" s="3815"/>
      <c r="D6" s="3816"/>
      <c r="E6" s="3816"/>
      <c r="F6" s="3817"/>
      <c r="G6" s="3804"/>
      <c r="H6" s="3469" t="s">
        <v>3443</v>
      </c>
      <c r="I6" s="3478">
        <v>1.4999999999999999E-2</v>
      </c>
      <c r="J6" s="3479"/>
      <c r="K6" s="3804" t="s">
        <v>3444</v>
      </c>
      <c r="L6" s="3480" t="s">
        <v>3445</v>
      </c>
      <c r="M6" s="3481" t="s">
        <v>3446</v>
      </c>
      <c r="N6" s="3481" t="s">
        <v>3447</v>
      </c>
      <c r="O6" s="3481" t="s">
        <v>3448</v>
      </c>
      <c r="P6" s="3481" t="s">
        <v>3449</v>
      </c>
    </row>
    <row r="7" spans="1:16" s="3477" customFormat="1" ht="17.25" customHeight="1">
      <c r="A7" s="3466" t="s">
        <v>3450</v>
      </c>
      <c r="B7" s="3469" t="s">
        <v>3451</v>
      </c>
      <c r="C7" s="3801">
        <f>ROUND(C23*I7,0)</f>
        <v>2822866</v>
      </c>
      <c r="D7" s="3802"/>
      <c r="E7" s="3802"/>
      <c r="F7" s="3803"/>
      <c r="G7" s="3466" t="s">
        <v>3452</v>
      </c>
      <c r="H7" s="3469" t="s">
        <v>3453</v>
      </c>
      <c r="I7" s="3482">
        <v>0.7</v>
      </c>
      <c r="K7" s="3804"/>
      <c r="L7" s="3480" t="s">
        <v>3454</v>
      </c>
      <c r="M7" s="3481">
        <v>100</v>
      </c>
      <c r="N7" s="3481" t="s">
        <v>3455</v>
      </c>
      <c r="O7" s="3481">
        <v>80</v>
      </c>
      <c r="P7" s="3483">
        <v>0.3</v>
      </c>
    </row>
    <row r="8" spans="1:16" s="3477" customFormat="1" ht="29.25" customHeight="1">
      <c r="A8" s="3464" t="s">
        <v>3456</v>
      </c>
      <c r="B8" s="3469" t="s">
        <v>3457</v>
      </c>
      <c r="C8" s="3801">
        <f>ROUND(I8*I3,0)</f>
        <v>2572080</v>
      </c>
      <c r="D8" s="3802"/>
      <c r="E8" s="3802"/>
      <c r="F8" s="3803"/>
      <c r="G8" s="3466" t="s">
        <v>3458</v>
      </c>
      <c r="H8" s="3469" t="s">
        <v>3561</v>
      </c>
      <c r="I8" s="3466">
        <v>3500</v>
      </c>
      <c r="J8" s="3484">
        <f>D36</f>
        <v>13.1</v>
      </c>
      <c r="K8" s="3804"/>
      <c r="L8" s="3480" t="s">
        <v>3459</v>
      </c>
      <c r="M8" s="3481">
        <v>100</v>
      </c>
      <c r="N8" s="3481" t="s">
        <v>3460</v>
      </c>
      <c r="O8" s="3481">
        <v>80</v>
      </c>
      <c r="P8" s="3483">
        <v>0.5</v>
      </c>
    </row>
    <row r="9" spans="1:16" s="3477" customFormat="1" ht="18" customHeight="1">
      <c r="A9" s="3464" t="s">
        <v>3461</v>
      </c>
      <c r="B9" s="3469" t="s">
        <v>3462</v>
      </c>
      <c r="C9" s="3801">
        <f>ROUND(C8*H9,0)</f>
        <v>77162</v>
      </c>
      <c r="D9" s="3802"/>
      <c r="E9" s="3802"/>
      <c r="F9" s="3803"/>
      <c r="G9" s="3466" t="s">
        <v>3463</v>
      </c>
      <c r="H9" s="3818">
        <f>'[1]数据-取费表'!B33</f>
        <v>0.03</v>
      </c>
      <c r="I9" s="3818"/>
      <c r="J9" s="3484">
        <f>D37</f>
        <v>9.86</v>
      </c>
      <c r="K9" s="3804"/>
      <c r="L9" s="3480" t="s">
        <v>3464</v>
      </c>
      <c r="M9" s="3481">
        <v>100</v>
      </c>
      <c r="N9" s="3481" t="s">
        <v>3460</v>
      </c>
      <c r="O9" s="3481">
        <v>80</v>
      </c>
      <c r="P9" s="3483">
        <f>1-P7-P8</f>
        <v>0.19999999999999996</v>
      </c>
    </row>
    <row r="10" spans="1:16" s="3477" customFormat="1" ht="18" customHeight="1">
      <c r="A10" s="3464" t="s">
        <v>3465</v>
      </c>
      <c r="B10" s="3469" t="s">
        <v>3466</v>
      </c>
      <c r="C10" s="3801">
        <f>ROUND(C8*H10,0)</f>
        <v>0</v>
      </c>
      <c r="D10" s="3802"/>
      <c r="E10" s="3802"/>
      <c r="F10" s="3803"/>
      <c r="G10" s="3466" t="s">
        <v>3463</v>
      </c>
      <c r="H10" s="3818">
        <v>0</v>
      </c>
      <c r="I10" s="3818"/>
      <c r="J10" s="3484">
        <f>D38</f>
        <v>11.5</v>
      </c>
      <c r="K10" s="3804"/>
      <c r="L10" s="3485" t="s">
        <v>3467</v>
      </c>
      <c r="M10" s="3486">
        <f>1-M5</f>
        <v>0.5</v>
      </c>
      <c r="N10" s="3481" t="s">
        <v>3440</v>
      </c>
      <c r="O10" s="3487">
        <f>ROUND((O7*P7+O8*P8+O9*P9)/100,2)</f>
        <v>0.8</v>
      </c>
      <c r="P10" s="3488"/>
    </row>
    <row r="11" spans="1:16" s="3477" customFormat="1" ht="29.25" customHeight="1">
      <c r="A11" s="3464" t="s">
        <v>3468</v>
      </c>
      <c r="B11" s="3469" t="s">
        <v>3469</v>
      </c>
      <c r="C11" s="3801">
        <f>ROUND(I11*I3,0)</f>
        <v>146976</v>
      </c>
      <c r="D11" s="3802"/>
      <c r="E11" s="3802"/>
      <c r="F11" s="3803"/>
      <c r="G11" s="3466" t="s">
        <v>3470</v>
      </c>
      <c r="H11" s="3469" t="s">
        <v>3471</v>
      </c>
      <c r="I11" s="3466">
        <f>'[1]数据-取费表'!B35</f>
        <v>200</v>
      </c>
      <c r="J11" s="3475"/>
      <c r="K11" s="3459"/>
      <c r="L11" s="3459"/>
    </row>
    <row r="12" spans="1:16" s="3477" customFormat="1" ht="18" customHeight="1">
      <c r="A12" s="3464" t="s">
        <v>3472</v>
      </c>
      <c r="B12" s="3469" t="s">
        <v>3473</v>
      </c>
      <c r="C12" s="3801">
        <f>ROUND(C8*H12,0)</f>
        <v>38581</v>
      </c>
      <c r="D12" s="3802"/>
      <c r="E12" s="3802"/>
      <c r="F12" s="3803"/>
      <c r="G12" s="3466" t="s">
        <v>3463</v>
      </c>
      <c r="H12" s="3818">
        <f>'[1]数据-取费表'!B36</f>
        <v>1.4999999999999999E-2</v>
      </c>
      <c r="I12" s="3818"/>
      <c r="J12" s="3489" t="s">
        <v>3474</v>
      </c>
      <c r="L12" s="3490"/>
    </row>
    <row r="13" spans="1:16" s="3477" customFormat="1" ht="18" customHeight="1">
      <c r="A13" s="3464" t="s">
        <v>3475</v>
      </c>
      <c r="B13" s="3469" t="s">
        <v>3476</v>
      </c>
      <c r="C13" s="3801">
        <f>SUM(C8:F12)</f>
        <v>2834799</v>
      </c>
      <c r="D13" s="3802"/>
      <c r="E13" s="3802"/>
      <c r="F13" s="3803"/>
      <c r="G13" s="3804" t="s">
        <v>3477</v>
      </c>
      <c r="H13" s="3804"/>
      <c r="I13" s="3804"/>
      <c r="J13" s="3489" t="s">
        <v>3478</v>
      </c>
      <c r="L13" s="3490"/>
    </row>
    <row r="14" spans="1:16" s="3477" customFormat="1" ht="18" customHeight="1">
      <c r="A14" s="3464" t="s">
        <v>3479</v>
      </c>
      <c r="B14" s="3469" t="s">
        <v>3480</v>
      </c>
      <c r="C14" s="3801">
        <f>ROUND(C13*H14,0)</f>
        <v>56696</v>
      </c>
      <c r="D14" s="3802"/>
      <c r="E14" s="3802"/>
      <c r="F14" s="3803"/>
      <c r="G14" s="3466" t="s">
        <v>3481</v>
      </c>
      <c r="H14" s="3823">
        <v>0.02</v>
      </c>
      <c r="I14" s="3823"/>
      <c r="J14" s="3475"/>
      <c r="L14" s="3490"/>
    </row>
    <row r="15" spans="1:16" s="3477" customFormat="1" ht="18" customHeight="1">
      <c r="A15" s="3464" t="s">
        <v>3482</v>
      </c>
      <c r="B15" s="3469" t="s">
        <v>3483</v>
      </c>
      <c r="C15" s="3824">
        <f>H15</f>
        <v>0.02</v>
      </c>
      <c r="D15" s="3825"/>
      <c r="E15" s="3821" t="str">
        <f>E18</f>
        <v>V</v>
      </c>
      <c r="F15" s="3822"/>
      <c r="G15" s="3466" t="s">
        <v>3484</v>
      </c>
      <c r="H15" s="3823">
        <v>0.02</v>
      </c>
      <c r="I15" s="3823"/>
      <c r="J15" s="3491"/>
      <c r="K15" s="3484"/>
    </row>
    <row r="16" spans="1:16" s="3477" customFormat="1" ht="18" customHeight="1">
      <c r="A16" s="3492" t="s">
        <v>3485</v>
      </c>
      <c r="B16" s="3493" t="s">
        <v>3486</v>
      </c>
      <c r="C16" s="3494">
        <f>C17</f>
        <v>99757</v>
      </c>
      <c r="D16" s="3495" t="s">
        <v>3487</v>
      </c>
      <c r="E16" s="3496">
        <f>C18</f>
        <v>6.9000000000000008E-4</v>
      </c>
      <c r="F16" s="3497" t="str">
        <f>E18</f>
        <v>V</v>
      </c>
      <c r="G16" s="3801" t="s">
        <v>3488</v>
      </c>
      <c r="H16" s="3802"/>
      <c r="I16" s="3803"/>
      <c r="J16" s="3475"/>
      <c r="K16" s="3459"/>
    </row>
    <row r="17" spans="1:12" s="3477" customFormat="1" ht="18" customHeight="1">
      <c r="A17" s="3464" t="s">
        <v>3489</v>
      </c>
      <c r="B17" s="3469" t="s">
        <v>3490</v>
      </c>
      <c r="C17" s="3801">
        <f>ROUND((C13+C14)*I18*(I17/2),0)</f>
        <v>99757</v>
      </c>
      <c r="D17" s="3802"/>
      <c r="E17" s="3802"/>
      <c r="F17" s="3803"/>
      <c r="G17" s="3494" t="s">
        <v>3491</v>
      </c>
      <c r="H17" s="3469" t="s">
        <v>3492</v>
      </c>
      <c r="I17" s="3498">
        <v>2</v>
      </c>
      <c r="J17" s="3489" t="s">
        <v>3493</v>
      </c>
      <c r="K17" s="3459"/>
      <c r="L17" s="3459"/>
    </row>
    <row r="18" spans="1:12" s="3477" customFormat="1" ht="18" customHeight="1">
      <c r="A18" s="3464" t="s">
        <v>3494</v>
      </c>
      <c r="B18" s="3469" t="s">
        <v>3495</v>
      </c>
      <c r="C18" s="3819">
        <f>H15*I18*I17/2</f>
        <v>6.9000000000000008E-4</v>
      </c>
      <c r="D18" s="3820"/>
      <c r="E18" s="3821" t="s">
        <v>3496</v>
      </c>
      <c r="F18" s="3822"/>
      <c r="G18" s="3494" t="s">
        <v>3497</v>
      </c>
      <c r="H18" s="3469" t="s">
        <v>3498</v>
      </c>
      <c r="I18" s="3499">
        <v>3.4500000000000003E-2</v>
      </c>
      <c r="J18" s="3489" t="s">
        <v>3499</v>
      </c>
      <c r="K18" s="3459"/>
      <c r="L18" s="3459"/>
    </row>
    <row r="19" spans="1:12" s="3477" customFormat="1" ht="27" customHeight="1">
      <c r="A19" s="3464" t="s">
        <v>3500</v>
      </c>
      <c r="B19" s="3469" t="s">
        <v>3501</v>
      </c>
      <c r="C19" s="3494">
        <f>C20</f>
        <v>722874</v>
      </c>
      <c r="D19" s="3495" t="s">
        <v>3487</v>
      </c>
      <c r="E19" s="3495">
        <f>C21</f>
        <v>5.0000000000000001E-3</v>
      </c>
      <c r="F19" s="3497" t="str">
        <f>E21</f>
        <v>V</v>
      </c>
      <c r="G19" s="3801" t="s">
        <v>3502</v>
      </c>
      <c r="H19" s="3802"/>
      <c r="I19" s="3803"/>
      <c r="J19" s="3475"/>
      <c r="K19" s="3459"/>
      <c r="L19" s="3459"/>
    </row>
    <row r="20" spans="1:12" s="3477" customFormat="1" ht="26.25" customHeight="1">
      <c r="A20" s="3464" t="s">
        <v>3503</v>
      </c>
      <c r="B20" s="3469" t="s">
        <v>3504</v>
      </c>
      <c r="C20" s="3801">
        <f>ROUND((C13+C14)*I20,0)</f>
        <v>722874</v>
      </c>
      <c r="D20" s="3802"/>
      <c r="E20" s="3802"/>
      <c r="F20" s="3803"/>
      <c r="G20" s="3466" t="s">
        <v>3505</v>
      </c>
      <c r="H20" s="3828" t="s">
        <v>3506</v>
      </c>
      <c r="I20" s="3830">
        <v>0.25</v>
      </c>
      <c r="J20" s="3489" t="s">
        <v>3507</v>
      </c>
      <c r="K20" s="3459"/>
      <c r="L20" s="3459"/>
    </row>
    <row r="21" spans="1:12" s="3477" customFormat="1" ht="27" customHeight="1">
      <c r="A21" s="3464" t="s">
        <v>3503</v>
      </c>
      <c r="B21" s="3469" t="s">
        <v>3508</v>
      </c>
      <c r="C21" s="3824">
        <f>H15*I20</f>
        <v>5.0000000000000001E-3</v>
      </c>
      <c r="D21" s="3825"/>
      <c r="E21" s="3821" t="s">
        <v>3496</v>
      </c>
      <c r="F21" s="3822"/>
      <c r="G21" s="3466" t="s">
        <v>3509</v>
      </c>
      <c r="H21" s="3829"/>
      <c r="I21" s="3830"/>
      <c r="J21" s="3475"/>
      <c r="K21" s="3459"/>
      <c r="L21" s="3459"/>
    </row>
    <row r="22" spans="1:12" s="3477" customFormat="1" ht="18" customHeight="1">
      <c r="A22" s="3464" t="s">
        <v>3510</v>
      </c>
      <c r="B22" s="3469" t="s">
        <v>3511</v>
      </c>
      <c r="C22" s="3824">
        <f>ROUND(H22/1.05,4)</f>
        <v>5.33E-2</v>
      </c>
      <c r="D22" s="3825"/>
      <c r="E22" s="3821" t="s">
        <v>3496</v>
      </c>
      <c r="F22" s="3822"/>
      <c r="G22" s="3466" t="s">
        <v>3512</v>
      </c>
      <c r="H22" s="3818">
        <v>5.6000000000000001E-2</v>
      </c>
      <c r="I22" s="3818"/>
      <c r="J22" s="3500"/>
      <c r="K22" s="3459"/>
      <c r="L22" s="3459"/>
    </row>
    <row r="23" spans="1:12" s="3477" customFormat="1" ht="18" customHeight="1">
      <c r="A23" s="3464" t="s">
        <v>3513</v>
      </c>
      <c r="B23" s="3469" t="s">
        <v>3514</v>
      </c>
      <c r="C23" s="3801">
        <f>ROUND((C13+C14+C17+C20)/(1-H15-C18-C21-C22),0)</f>
        <v>4032666</v>
      </c>
      <c r="D23" s="3802"/>
      <c r="E23" s="3802"/>
      <c r="F23" s="3803"/>
      <c r="G23" s="3801" t="s">
        <v>3515</v>
      </c>
      <c r="H23" s="3802"/>
      <c r="I23" s="3803"/>
      <c r="J23" s="3500"/>
      <c r="K23" s="3459"/>
      <c r="L23" s="3459"/>
    </row>
    <row r="24" spans="1:12" s="3477" customFormat="1" ht="18" customHeight="1">
      <c r="A24" s="3464" t="s">
        <v>3516</v>
      </c>
      <c r="B24" s="3469" t="s">
        <v>3517</v>
      </c>
      <c r="C24" s="3501">
        <f>C27+C28</f>
        <v>86299</v>
      </c>
      <c r="D24" s="3502" t="s">
        <v>3518</v>
      </c>
      <c r="E24" s="3826">
        <f>H29+E26+H25</f>
        <v>0.19599999999999998</v>
      </c>
      <c r="F24" s="3827"/>
      <c r="G24" s="3804" t="s">
        <v>3519</v>
      </c>
      <c r="H24" s="3804"/>
      <c r="I24" s="3804"/>
      <c r="J24" s="3500"/>
      <c r="K24" s="3459"/>
      <c r="L24" s="3459"/>
    </row>
    <row r="25" spans="1:12" s="3477" customFormat="1" ht="18" customHeight="1">
      <c r="A25" s="3464" t="s">
        <v>3475</v>
      </c>
      <c r="B25" s="3469" t="s">
        <v>3520</v>
      </c>
      <c r="C25" s="3824" t="s">
        <v>3521</v>
      </c>
      <c r="D25" s="3825"/>
      <c r="E25" s="3831">
        <f>ROUND(H25/1.05,4)</f>
        <v>5.33E-2</v>
      </c>
      <c r="F25" s="3832"/>
      <c r="G25" s="3466" t="s">
        <v>3522</v>
      </c>
      <c r="H25" s="3833">
        <f>H22</f>
        <v>5.6000000000000001E-2</v>
      </c>
      <c r="I25" s="3833"/>
      <c r="J25" s="3491"/>
      <c r="K25" s="3459"/>
      <c r="L25" s="3459"/>
    </row>
    <row r="26" spans="1:12" s="3477" customFormat="1" ht="18" customHeight="1">
      <c r="A26" s="3464" t="s">
        <v>3479</v>
      </c>
      <c r="B26" s="3469" t="s">
        <v>3523</v>
      </c>
      <c r="C26" s="3824" t="s">
        <v>3521</v>
      </c>
      <c r="D26" s="3825"/>
      <c r="E26" s="3834">
        <v>0.12</v>
      </c>
      <c r="F26" s="3827"/>
      <c r="G26" s="3466"/>
      <c r="H26" s="3835">
        <f>'[1]数据-取费表'!B51</f>
        <v>0.12</v>
      </c>
      <c r="I26" s="3836"/>
      <c r="J26" s="3503"/>
      <c r="K26" s="3459"/>
      <c r="L26" s="3459"/>
    </row>
    <row r="27" spans="1:12" s="3477" customFormat="1" ht="18" customHeight="1">
      <c r="A27" s="3464" t="s">
        <v>3482</v>
      </c>
      <c r="B27" s="3469" t="s">
        <v>3524</v>
      </c>
      <c r="C27" s="3801">
        <f>ROUND(C23*H27,0)</f>
        <v>80653</v>
      </c>
      <c r="D27" s="3802"/>
      <c r="E27" s="3802"/>
      <c r="F27" s="3803"/>
      <c r="G27" s="3466" t="s">
        <v>3525</v>
      </c>
      <c r="H27" s="3837">
        <v>0.02</v>
      </c>
      <c r="I27" s="3837"/>
      <c r="J27" s="3459" t="s">
        <v>3526</v>
      </c>
      <c r="K27" s="3459"/>
      <c r="L27" s="3459"/>
    </row>
    <row r="28" spans="1:12" s="3477" customFormat="1" ht="18" customHeight="1">
      <c r="A28" s="3464" t="s">
        <v>3485</v>
      </c>
      <c r="B28" s="3469" t="s">
        <v>3527</v>
      </c>
      <c r="C28" s="3801">
        <f>ROUND(C7*H28,0)</f>
        <v>5646</v>
      </c>
      <c r="D28" s="3802"/>
      <c r="E28" s="3802"/>
      <c r="F28" s="3803"/>
      <c r="G28" s="3466" t="s">
        <v>3528</v>
      </c>
      <c r="H28" s="3838">
        <v>2E-3</v>
      </c>
      <c r="I28" s="3838"/>
      <c r="J28" s="3504"/>
      <c r="K28" s="3459"/>
      <c r="L28" s="3459"/>
    </row>
    <row r="29" spans="1:12" s="3477" customFormat="1" ht="18" customHeight="1">
      <c r="A29" s="3464" t="s">
        <v>3500</v>
      </c>
      <c r="B29" s="3469" t="s">
        <v>3529</v>
      </c>
      <c r="C29" s="3824" t="s">
        <v>3521</v>
      </c>
      <c r="D29" s="3825"/>
      <c r="E29" s="3834">
        <f>H29</f>
        <v>0.02</v>
      </c>
      <c r="F29" s="3827"/>
      <c r="G29" s="3466" t="s">
        <v>3530</v>
      </c>
      <c r="H29" s="3837">
        <v>0.02</v>
      </c>
      <c r="I29" s="3837"/>
      <c r="J29" s="3505"/>
      <c r="K29" s="3459"/>
      <c r="L29" s="3459"/>
    </row>
    <row r="30" spans="1:12" s="3477" customFormat="1" ht="18" customHeight="1">
      <c r="A30" s="3466" t="s">
        <v>3531</v>
      </c>
      <c r="B30" s="3469" t="s">
        <v>3532</v>
      </c>
      <c r="C30" s="3801">
        <f>ROUND((C4+C24)/(1-E24),0)</f>
        <v>2116302</v>
      </c>
      <c r="D30" s="3802"/>
      <c r="E30" s="3802"/>
      <c r="F30" s="3803"/>
      <c r="G30" s="3804" t="s">
        <v>3533</v>
      </c>
      <c r="H30" s="3804"/>
      <c r="I30" s="3804"/>
      <c r="J30" s="3475"/>
      <c r="K30" s="3459"/>
      <c r="L30" s="3459"/>
    </row>
    <row r="31" spans="1:12" s="3477" customFormat="1" ht="18" customHeight="1">
      <c r="A31" s="3804" t="s">
        <v>3534</v>
      </c>
      <c r="B31" s="3808" t="s">
        <v>3535</v>
      </c>
      <c r="C31" s="3839">
        <f>ROUND(C30/I31/I32/I3,2)</f>
        <v>9.86</v>
      </c>
      <c r="D31" s="3840"/>
      <c r="E31" s="3840"/>
      <c r="F31" s="3841"/>
      <c r="G31" s="3804" t="s">
        <v>3536</v>
      </c>
      <c r="H31" s="3469" t="s">
        <v>3537</v>
      </c>
      <c r="I31" s="3466">
        <v>365</v>
      </c>
      <c r="J31" s="3475"/>
      <c r="K31" s="3459"/>
      <c r="L31" s="3459"/>
    </row>
    <row r="32" spans="1:12" s="3477" customFormat="1" ht="18" customHeight="1">
      <c r="A32" s="3804"/>
      <c r="B32" s="3808"/>
      <c r="C32" s="3842"/>
      <c r="D32" s="3843"/>
      <c r="E32" s="3843"/>
      <c r="F32" s="3844"/>
      <c r="G32" s="3804"/>
      <c r="H32" s="3469" t="s">
        <v>3538</v>
      </c>
      <c r="I32" s="4009">
        <v>0.8</v>
      </c>
      <c r="J32" s="3500"/>
      <c r="K32" s="3463"/>
      <c r="L32" s="3463"/>
    </row>
    <row r="33" spans="1:13" s="3477" customFormat="1" ht="18" customHeight="1">
      <c r="A33" s="3463"/>
      <c r="B33" s="3506"/>
      <c r="C33" s="3463"/>
      <c r="D33" s="3463"/>
      <c r="E33" s="3463"/>
      <c r="F33" s="3463"/>
      <c r="G33" s="3507"/>
      <c r="H33" s="3463"/>
      <c r="I33" s="3463"/>
      <c r="J33" s="3459"/>
      <c r="K33" s="3463"/>
      <c r="L33" s="3463"/>
    </row>
    <row r="34" spans="1:13" s="3477" customFormat="1" ht="18" customHeight="1">
      <c r="A34" s="3463"/>
      <c r="B34" s="3847" t="s">
        <v>3539</v>
      </c>
      <c r="C34" s="3847"/>
      <c r="D34" s="3847"/>
      <c r="E34" s="3847"/>
      <c r="F34" s="3847"/>
      <c r="G34" s="3507"/>
      <c r="H34" s="3463"/>
      <c r="I34" s="3463"/>
      <c r="J34" s="3508">
        <f>C31*0.5</f>
        <v>4.93</v>
      </c>
      <c r="K34" s="3463"/>
      <c r="L34" s="3463"/>
      <c r="M34" s="3463"/>
    </row>
    <row r="35" spans="1:13" s="3477" customFormat="1" ht="18" customHeight="1">
      <c r="A35" s="3463"/>
      <c r="B35" s="3509" t="s">
        <v>3540</v>
      </c>
      <c r="C35" s="3509" t="s">
        <v>3449</v>
      </c>
      <c r="D35" s="3848" t="s">
        <v>3541</v>
      </c>
      <c r="E35" s="3848"/>
      <c r="F35" s="3848"/>
      <c r="G35" s="3507"/>
      <c r="H35" s="3510" t="s">
        <v>3542</v>
      </c>
      <c r="I35" s="3511"/>
      <c r="J35" s="3508">
        <f>C31*0.4</f>
        <v>3.944</v>
      </c>
      <c r="K35" s="3463"/>
      <c r="L35" s="3463"/>
      <c r="M35" s="3463"/>
    </row>
    <row r="36" spans="1:13">
      <c r="B36" s="3509" t="s">
        <v>3543</v>
      </c>
      <c r="C36" s="3512">
        <v>0.5</v>
      </c>
      <c r="D36" s="3849">
        <f>'租金比较法-商业'!C48</f>
        <v>13.1</v>
      </c>
      <c r="E36" s="3849"/>
      <c r="F36" s="3849"/>
      <c r="G36" s="3507">
        <f>(D36-D37)/D37</f>
        <v>0.32860040567951321</v>
      </c>
      <c r="H36" s="3510"/>
      <c r="I36" s="3510"/>
      <c r="J36" s="3463"/>
      <c r="K36" s="3463"/>
      <c r="L36" s="3463"/>
    </row>
    <row r="37" spans="1:13" ht="20.100000000000001" customHeight="1">
      <c r="B37" s="3509" t="s">
        <v>3544</v>
      </c>
      <c r="C37" s="3512">
        <f>1-C36</f>
        <v>0.5</v>
      </c>
      <c r="D37" s="3849">
        <f>C31</f>
        <v>9.86</v>
      </c>
      <c r="E37" s="3849"/>
      <c r="F37" s="3849"/>
      <c r="J37" s="3463"/>
      <c r="K37" s="3463"/>
      <c r="L37" s="3463"/>
    </row>
    <row r="38" spans="1:13" ht="22.5" customHeight="1">
      <c r="B38" s="3848" t="s">
        <v>3545</v>
      </c>
      <c r="C38" s="3848"/>
      <c r="D38" s="3845">
        <f>ROUND(C36*D36+C37*D37,1)</f>
        <v>11.5</v>
      </c>
      <c r="E38" s="3845"/>
      <c r="F38" s="3845"/>
      <c r="J38" s="3463"/>
    </row>
    <row r="39" spans="1:13" ht="22.5" customHeight="1">
      <c r="B39" s="3509" t="s">
        <v>3546</v>
      </c>
      <c r="C39" s="3509">
        <f>ROUND(D38*0.9,1)</f>
        <v>10.4</v>
      </c>
      <c r="D39" s="3513" t="s">
        <v>3547</v>
      </c>
      <c r="E39" s="3845">
        <f>ROUND(D38*1.1,1)</f>
        <v>12.7</v>
      </c>
      <c r="F39" s="3845"/>
      <c r="G39" s="3507" t="s">
        <v>3548</v>
      </c>
      <c r="H39" s="3514">
        <v>11.48</v>
      </c>
      <c r="J39" s="3463"/>
    </row>
    <row r="40" spans="1:13" ht="18" customHeight="1">
      <c r="B40" s="3509" t="s">
        <v>3549</v>
      </c>
      <c r="C40" s="3509">
        <f>ROUND(C39+H40,1)</f>
        <v>10.4</v>
      </c>
      <c r="D40" s="3513" t="s">
        <v>3547</v>
      </c>
      <c r="E40" s="3845">
        <f>ROUND(E39+H40,1)</f>
        <v>12.7</v>
      </c>
      <c r="F40" s="3845"/>
      <c r="G40" s="3481" t="s">
        <v>3550</v>
      </c>
      <c r="H40" s="3481"/>
    </row>
    <row r="41" spans="1:13" ht="18" customHeight="1">
      <c r="C41" s="3515"/>
    </row>
    <row r="42" spans="1:13" ht="18" customHeight="1">
      <c r="B42" s="3507" t="s">
        <v>3551</v>
      </c>
      <c r="E42" s="3507" t="s">
        <v>3552</v>
      </c>
      <c r="H42" s="3507" t="s">
        <v>3553</v>
      </c>
    </row>
    <row r="43" spans="1:13" ht="29.25" customHeight="1"/>
    <row r="44" spans="1:13">
      <c r="B44" s="3846" t="s">
        <v>3554</v>
      </c>
      <c r="C44" s="3846"/>
      <c r="D44" s="3846"/>
      <c r="E44" s="3516"/>
      <c r="F44" s="3517" t="s">
        <v>3555</v>
      </c>
      <c r="G44" s="3475"/>
    </row>
    <row r="45" spans="1:13">
      <c r="B45" s="3518" t="s">
        <v>3556</v>
      </c>
      <c r="C45" s="3519" t="s">
        <v>3557</v>
      </c>
      <c r="D45" s="3519" t="s">
        <v>3558</v>
      </c>
      <c r="E45" s="3516" t="s">
        <v>3559</v>
      </c>
      <c r="F45" s="3517"/>
      <c r="G45" s="3475"/>
    </row>
    <row r="46" spans="1:13">
      <c r="B46" s="3519">
        <v>0.5</v>
      </c>
      <c r="C46" s="3519">
        <v>0.8</v>
      </c>
      <c r="D46" s="3519">
        <v>0.8</v>
      </c>
      <c r="E46" s="3516">
        <v>0.25</v>
      </c>
      <c r="F46" s="3519">
        <f>[2]结果表!G20*'收益法倒推租金-商业'!C46*'收益法倒推租金-商业'!B46*'收益法倒推租金-商业'!D46-[2]结果表!G20*'收益法倒推租金-商业'!E46</f>
        <v>1577.5200000000004</v>
      </c>
      <c r="G46" s="3475" t="s">
        <v>3560</v>
      </c>
    </row>
    <row r="47" spans="1:13">
      <c r="B47" s="3475"/>
      <c r="C47" s="3475"/>
      <c r="D47" s="3475"/>
      <c r="E47" s="3520"/>
      <c r="F47" s="3519"/>
      <c r="G47" s="3521"/>
    </row>
  </sheetData>
  <mergeCells count="71">
    <mergeCell ref="E39:F39"/>
    <mergeCell ref="E40:F40"/>
    <mergeCell ref="B44:D44"/>
    <mergeCell ref="B34:F34"/>
    <mergeCell ref="D35:F35"/>
    <mergeCell ref="D36:F36"/>
    <mergeCell ref="D37:F37"/>
    <mergeCell ref="B38:C38"/>
    <mergeCell ref="D38:F38"/>
    <mergeCell ref="C30:F30"/>
    <mergeCell ref="G30:I30"/>
    <mergeCell ref="A31:A32"/>
    <mergeCell ref="B31:B32"/>
    <mergeCell ref="C31:F32"/>
    <mergeCell ref="G31:G32"/>
    <mergeCell ref="C27:F27"/>
    <mergeCell ref="H27:I27"/>
    <mergeCell ref="C28:F28"/>
    <mergeCell ref="H28:I28"/>
    <mergeCell ref="C29:D29"/>
    <mergeCell ref="E29:F29"/>
    <mergeCell ref="H29:I29"/>
    <mergeCell ref="C25:D25"/>
    <mergeCell ref="E25:F25"/>
    <mergeCell ref="H25:I25"/>
    <mergeCell ref="C26:D26"/>
    <mergeCell ref="E26:F26"/>
    <mergeCell ref="H26:I26"/>
    <mergeCell ref="E24:F24"/>
    <mergeCell ref="G24:I24"/>
    <mergeCell ref="G19:I19"/>
    <mergeCell ref="C20:F20"/>
    <mergeCell ref="H20:H21"/>
    <mergeCell ref="I20:I21"/>
    <mergeCell ref="C21:D21"/>
    <mergeCell ref="E21:F21"/>
    <mergeCell ref="C22:D22"/>
    <mergeCell ref="E22:F22"/>
    <mergeCell ref="H22:I22"/>
    <mergeCell ref="C23:F23"/>
    <mergeCell ref="G23:I23"/>
    <mergeCell ref="C18:D18"/>
    <mergeCell ref="E18:F18"/>
    <mergeCell ref="C11:F11"/>
    <mergeCell ref="C12:F12"/>
    <mergeCell ref="H12:I12"/>
    <mergeCell ref="C13:F13"/>
    <mergeCell ref="G13:I13"/>
    <mergeCell ref="C14:F14"/>
    <mergeCell ref="H14:I14"/>
    <mergeCell ref="C15:D15"/>
    <mergeCell ref="E15:F15"/>
    <mergeCell ref="H15:I15"/>
    <mergeCell ref="G16:I16"/>
    <mergeCell ref="C17:F17"/>
    <mergeCell ref="A1:I1"/>
    <mergeCell ref="K1:K5"/>
    <mergeCell ref="C2:F2"/>
    <mergeCell ref="H2:I2"/>
    <mergeCell ref="C3:F3"/>
    <mergeCell ref="A4:A6"/>
    <mergeCell ref="B4:B6"/>
    <mergeCell ref="C4:F6"/>
    <mergeCell ref="G4:G6"/>
    <mergeCell ref="K6:K10"/>
    <mergeCell ref="C7:F7"/>
    <mergeCell ref="C8:F8"/>
    <mergeCell ref="C9:F9"/>
    <mergeCell ref="H9:I9"/>
    <mergeCell ref="C10:F10"/>
    <mergeCell ref="H10:I10"/>
  </mergeCells>
  <phoneticPr fontId="134" type="noConversion"/>
  <pageMargins left="0.7" right="0.7" top="0.75" bottom="0.75" header="0.3" footer="0.3"/>
  <pageSetup paperSize="9" scale="80" orientation="portrait" r:id="rId1"/>
  <colBreaks count="1" manualBreakCount="1">
    <brk id="10" max="1048575" man="1"/>
  </colBreak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topLeftCell="A18" zoomScale="90" zoomScaleNormal="70" zoomScaleSheetLayoutView="90" workbookViewId="0">
      <selection activeCell="D48" sqref="D48"/>
    </sheetView>
  </sheetViews>
  <sheetFormatPr defaultColWidth="9" defaultRowHeight="13.8"/>
  <cols>
    <col min="1" max="1" width="10.44140625" style="357" customWidth="1"/>
    <col min="2" max="2" width="15.77734375" style="357" customWidth="1"/>
    <col min="3" max="3" width="15.10937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1916"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3" customFormat="1" ht="28.5" customHeight="1" thickBot="1">
      <c r="A1" s="1222" t="s">
        <v>1660</v>
      </c>
      <c r="B1" s="1878" t="s">
        <v>1766</v>
      </c>
      <c r="C1" s="1238" t="s">
        <v>1662</v>
      </c>
      <c r="D1" s="1225"/>
      <c r="E1" s="3426"/>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2414.4300000000003</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4.4">
      <c r="A4" s="355" t="s">
        <v>1769</v>
      </c>
      <c r="B4" s="356"/>
      <c r="C4" s="3853" t="s">
        <v>1770</v>
      </c>
      <c r="D4" s="3854"/>
      <c r="E4" s="3855" t="s">
        <v>1771</v>
      </c>
      <c r="F4" s="3856"/>
      <c r="G4" s="3853" t="s">
        <v>1772</v>
      </c>
      <c r="H4" s="3854"/>
      <c r="I4" s="3853" t="s">
        <v>1773</v>
      </c>
      <c r="J4" s="3854"/>
      <c r="K4" s="559" t="s">
        <v>1774</v>
      </c>
      <c r="L4" s="2715"/>
      <c r="M4" s="2716"/>
      <c r="N4" s="2716"/>
      <c r="O4" s="2716"/>
      <c r="P4" s="3857" t="s">
        <v>1775</v>
      </c>
      <c r="Q4" s="3858"/>
      <c r="R4" s="3863" t="s">
        <v>1771</v>
      </c>
      <c r="S4" s="3864"/>
      <c r="T4" s="3863" t="s">
        <v>1772</v>
      </c>
      <c r="U4" s="3864"/>
      <c r="V4" s="3877" t="s">
        <v>1773</v>
      </c>
      <c r="W4" s="3877"/>
      <c r="X4" s="3451"/>
      <c r="Y4" s="3863" t="s">
        <v>1775</v>
      </c>
      <c r="Z4" s="3864"/>
      <c r="AA4" s="3850" t="s">
        <v>1771</v>
      </c>
      <c r="AB4" s="3877" t="s">
        <v>1772</v>
      </c>
      <c r="AC4" s="3850" t="s">
        <v>1773</v>
      </c>
    </row>
    <row r="5" spans="1:29">
      <c r="A5" s="358"/>
      <c r="B5" s="359"/>
      <c r="C5" s="3867" t="s">
        <v>3680</v>
      </c>
      <c r="D5" s="3868"/>
      <c r="E5" s="3869" t="s">
        <v>3760</v>
      </c>
      <c r="F5" s="3870"/>
      <c r="G5" s="3867" t="s">
        <v>3878</v>
      </c>
      <c r="H5" s="3868"/>
      <c r="I5" s="3867" t="s">
        <v>3866</v>
      </c>
      <c r="J5" s="3868"/>
      <c r="K5" s="559"/>
      <c r="L5" s="2715"/>
      <c r="M5" s="2716"/>
      <c r="N5" s="2716"/>
      <c r="O5" s="2716"/>
      <c r="P5" s="3859"/>
      <c r="Q5" s="3860"/>
      <c r="R5" s="3865"/>
      <c r="S5" s="3866"/>
      <c r="T5" s="3865"/>
      <c r="U5" s="3866"/>
      <c r="V5" s="3877"/>
      <c r="W5" s="3877"/>
      <c r="X5" s="3451"/>
      <c r="Y5" s="3865"/>
      <c r="Z5" s="3866"/>
      <c r="AA5" s="3851"/>
      <c r="AB5" s="3877"/>
      <c r="AC5" s="3851"/>
    </row>
    <row r="6" spans="1:29" ht="15" thickBot="1">
      <c r="A6" s="360"/>
      <c r="B6" s="361"/>
      <c r="C6" s="3871" t="s">
        <v>1677</v>
      </c>
      <c r="D6" s="3872"/>
      <c r="E6" s="3873" t="s">
        <v>1677</v>
      </c>
      <c r="F6" s="3874"/>
      <c r="G6" s="3871" t="s">
        <v>1677</v>
      </c>
      <c r="H6" s="3872"/>
      <c r="I6" s="3871" t="s">
        <v>1677</v>
      </c>
      <c r="J6" s="3872"/>
      <c r="K6" s="559" t="s">
        <v>1678</v>
      </c>
      <c r="L6" s="2715"/>
      <c r="M6" s="2716"/>
      <c r="N6" s="2716"/>
      <c r="O6" s="2716"/>
      <c r="P6" s="3861"/>
      <c r="Q6" s="3862"/>
      <c r="R6" s="3865"/>
      <c r="S6" s="3866"/>
      <c r="T6" s="3875"/>
      <c r="U6" s="3876"/>
      <c r="V6" s="3877"/>
      <c r="W6" s="3877"/>
      <c r="X6" s="3451"/>
      <c r="Y6" s="3875"/>
      <c r="Z6" s="3876"/>
      <c r="AA6" s="3852"/>
      <c r="AB6" s="3877"/>
      <c r="AC6" s="3852"/>
    </row>
    <row r="7" spans="1:29" s="108" customFormat="1" ht="15" thickBot="1">
      <c r="A7" s="362" t="s">
        <v>1679</v>
      </c>
      <c r="B7" s="363"/>
      <c r="C7" s="364">
        <f>'数据-取费表'!B2</f>
        <v>45478</v>
      </c>
      <c r="D7" s="365">
        <v>100</v>
      </c>
      <c r="E7" s="366">
        <f>C7</f>
        <v>45478</v>
      </c>
      <c r="F7" s="367">
        <f>SUMIF(58:58,YEAR(E7)&amp;"-"&amp;MONTH(E7),59:59)</f>
        <v>100</v>
      </c>
      <c r="G7" s="366">
        <f>C7</f>
        <v>45478</v>
      </c>
      <c r="H7" s="365">
        <f>SUMIF(58:58,YEAR(G7)&amp;"-"&amp;MONTH(G7),59:59)</f>
        <v>100</v>
      </c>
      <c r="I7" s="366">
        <f>C7</f>
        <v>45478</v>
      </c>
      <c r="J7" s="365">
        <f>SUMIF(58:58,YEAR(I7)&amp;"-"&amp;MONTH(I7),59:59)</f>
        <v>100</v>
      </c>
      <c r="K7" s="560"/>
      <c r="L7" s="2717"/>
      <c r="M7" s="2718"/>
      <c r="N7" s="2718"/>
      <c r="O7" s="2718"/>
      <c r="P7" s="3878" t="s">
        <v>1680</v>
      </c>
      <c r="Q7" s="3879"/>
      <c r="R7" s="701" t="s">
        <v>14</v>
      </c>
      <c r="S7" s="702">
        <f t="shared" ref="S7:S15" si="0">F7</f>
        <v>100</v>
      </c>
      <c r="T7" s="701" t="s">
        <v>14</v>
      </c>
      <c r="U7" s="702">
        <f t="shared" ref="U7:U15" si="1">H7</f>
        <v>100</v>
      </c>
      <c r="V7" s="701" t="s">
        <v>14</v>
      </c>
      <c r="W7" s="702">
        <f t="shared" ref="W7:W15" si="2">J7</f>
        <v>100</v>
      </c>
      <c r="X7" s="703"/>
      <c r="Y7" s="3878" t="s">
        <v>1680</v>
      </c>
      <c r="Z7" s="3880"/>
      <c r="AA7" s="704">
        <f>D7/F7</f>
        <v>1</v>
      </c>
      <c r="AB7" s="704">
        <f>D7/H7</f>
        <v>1</v>
      </c>
      <c r="AC7" s="704">
        <f>D7/J7</f>
        <v>1</v>
      </c>
    </row>
    <row r="8" spans="1:29" s="108" customFormat="1" ht="15" thickBot="1">
      <c r="A8" s="362" t="s">
        <v>1681</v>
      </c>
      <c r="B8" s="363"/>
      <c r="C8" s="368" t="s">
        <v>3681</v>
      </c>
      <c r="D8" s="365">
        <v>100</v>
      </c>
      <c r="E8" s="368" t="s">
        <v>3681</v>
      </c>
      <c r="F8" s="367">
        <f>SUMIF(61:61,E8,62:62)-SUMIF(61:61,C8,62:62)+100</f>
        <v>100</v>
      </c>
      <c r="G8" s="368" t="s">
        <v>3681</v>
      </c>
      <c r="H8" s="365">
        <f>SUMIF(61:61,G8,62:62)-SUMIF(61:61,C8,62:62)+100</f>
        <v>100</v>
      </c>
      <c r="I8" s="368" t="s">
        <v>3681</v>
      </c>
      <c r="J8" s="365">
        <f>SUMIF(61:61,I8,62:62)-SUMIF(61:61,C8,62:62)+100</f>
        <v>100</v>
      </c>
      <c r="K8" s="560"/>
      <c r="L8" s="2717"/>
      <c r="M8" s="2718"/>
      <c r="N8" s="2718"/>
      <c r="O8" s="2718"/>
      <c r="P8" s="3878" t="s">
        <v>1683</v>
      </c>
      <c r="Q8" s="3880"/>
      <c r="R8" s="701" t="s">
        <v>14</v>
      </c>
      <c r="S8" s="702">
        <f t="shared" si="0"/>
        <v>100</v>
      </c>
      <c r="T8" s="701" t="s">
        <v>14</v>
      </c>
      <c r="U8" s="702">
        <f t="shared" si="1"/>
        <v>100</v>
      </c>
      <c r="V8" s="701" t="s">
        <v>14</v>
      </c>
      <c r="W8" s="702">
        <f t="shared" si="2"/>
        <v>100</v>
      </c>
      <c r="X8" s="703"/>
      <c r="Y8" s="3878" t="s">
        <v>1683</v>
      </c>
      <c r="Z8" s="3880"/>
      <c r="AA8" s="704">
        <f t="shared" ref="AA8:AA46" si="3">D8/F8</f>
        <v>1</v>
      </c>
      <c r="AB8" s="704">
        <f t="shared" ref="AB8:AB46" si="4">D8/H8</f>
        <v>1</v>
      </c>
      <c r="AC8" s="704">
        <f t="shared" ref="AC8:AC46" si="5">D8/J8</f>
        <v>1</v>
      </c>
    </row>
    <row r="9" spans="1:29" s="108" customFormat="1" ht="15" thickBot="1">
      <c r="A9" s="369" t="s">
        <v>1684</v>
      </c>
      <c r="B9" s="63" t="s">
        <v>1685</v>
      </c>
      <c r="C9" s="3548" t="s">
        <v>3682</v>
      </c>
      <c r="D9" s="126">
        <v>100</v>
      </c>
      <c r="E9" s="371" t="s">
        <v>673</v>
      </c>
      <c r="F9" s="372">
        <f>SUMIF(63:63,E9,64:64)-SUMIF(63:63,C9,64:64)+100</f>
        <v>100</v>
      </c>
      <c r="G9" s="371" t="s">
        <v>673</v>
      </c>
      <c r="H9" s="126">
        <f>SUMIF(63:63,G9,64:64)-SUMIF(63:63,C9,64:64)+100</f>
        <v>100</v>
      </c>
      <c r="I9" s="371" t="s">
        <v>673</v>
      </c>
      <c r="J9" s="126">
        <f>SUMIF(63:63,I9,64:64)-SUMIF(63:63,C9,64:64)+100</f>
        <v>100</v>
      </c>
      <c r="K9" s="560"/>
      <c r="L9" s="2717"/>
      <c r="M9" s="2718"/>
      <c r="N9" s="2718"/>
      <c r="O9" s="2718"/>
      <c r="P9" s="3881" t="s">
        <v>1686</v>
      </c>
      <c r="Q9" s="3450" t="str">
        <f t="shared" ref="Q9:Q15" si="6">B9</f>
        <v>用途</v>
      </c>
      <c r="R9" s="701" t="s">
        <v>14</v>
      </c>
      <c r="S9" s="702">
        <f t="shared" si="0"/>
        <v>100</v>
      </c>
      <c r="T9" s="701" t="s">
        <v>14</v>
      </c>
      <c r="U9" s="702">
        <f t="shared" si="1"/>
        <v>100</v>
      </c>
      <c r="V9" s="701" t="s">
        <v>14</v>
      </c>
      <c r="W9" s="702">
        <f t="shared" si="2"/>
        <v>100</v>
      </c>
      <c r="X9" s="703"/>
      <c r="Y9" s="3706" t="s">
        <v>1687</v>
      </c>
      <c r="Z9" s="3449" t="str">
        <f t="shared" ref="Z9:Z15" si="7">Q9</f>
        <v>用途</v>
      </c>
      <c r="AA9" s="704">
        <f t="shared" si="3"/>
        <v>1</v>
      </c>
      <c r="AB9" s="704">
        <f t="shared" si="4"/>
        <v>1</v>
      </c>
      <c r="AC9" s="704">
        <f t="shared" si="5"/>
        <v>1</v>
      </c>
    </row>
    <row r="10" spans="1:29" s="378" customFormat="1" ht="28.8" hidden="1">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881"/>
      <c r="Q10" s="3450" t="str">
        <f t="shared" si="6"/>
        <v>土地使用年限（年）</v>
      </c>
      <c r="R10" s="701" t="s">
        <v>14</v>
      </c>
      <c r="S10" s="702">
        <f t="shared" si="0"/>
        <v>100</v>
      </c>
      <c r="T10" s="701" t="s">
        <v>14</v>
      </c>
      <c r="U10" s="702">
        <f t="shared" si="1"/>
        <v>100</v>
      </c>
      <c r="V10" s="701" t="s">
        <v>14</v>
      </c>
      <c r="W10" s="702">
        <f t="shared" si="2"/>
        <v>100</v>
      </c>
      <c r="X10" s="703"/>
      <c r="Y10" s="3706"/>
      <c r="Z10" s="3449" t="str">
        <f t="shared" si="7"/>
        <v>土地使用年限（年）</v>
      </c>
      <c r="AA10" s="704">
        <f t="shared" si="3"/>
        <v>1</v>
      </c>
      <c r="AB10" s="704">
        <f t="shared" si="4"/>
        <v>1</v>
      </c>
      <c r="AC10" s="704">
        <f t="shared" si="5"/>
        <v>1</v>
      </c>
    </row>
    <row r="11" spans="1:29" ht="15" hidden="1">
      <c r="A11" s="379"/>
      <c r="B11" s="375" t="s">
        <v>1689</v>
      </c>
      <c r="C11" s="380">
        <v>2</v>
      </c>
      <c r="D11" s="127">
        <v>100</v>
      </c>
      <c r="E11" s="381">
        <v>2</v>
      </c>
      <c r="F11" s="376">
        <f>LOOKUP(E11,68:68,69:69)-LOOKUP(C11,68:68,69:69)+100</f>
        <v>100</v>
      </c>
      <c r="G11" s="380">
        <v>2</v>
      </c>
      <c r="H11" s="127">
        <f>LOOKUP(G11,68:68,69:69)-LOOKUP(C11,68:68,69:69)+100</f>
        <v>100</v>
      </c>
      <c r="I11" s="380">
        <v>2</v>
      </c>
      <c r="J11" s="127">
        <f>LOOKUP(I11,68:68,69:69)-LOOKUP(C11,68:68,69:69)+100</f>
        <v>100</v>
      </c>
      <c r="K11" s="561">
        <v>2</v>
      </c>
      <c r="L11" s="2721"/>
      <c r="M11" s="2716"/>
      <c r="N11" s="2716"/>
      <c r="O11" s="2716"/>
      <c r="P11" s="3881"/>
      <c r="Q11" s="3450" t="str">
        <f t="shared" si="6"/>
        <v>容积率</v>
      </c>
      <c r="R11" s="701" t="s">
        <v>14</v>
      </c>
      <c r="S11" s="702">
        <f t="shared" si="0"/>
        <v>100</v>
      </c>
      <c r="T11" s="701" t="s">
        <v>14</v>
      </c>
      <c r="U11" s="702">
        <f t="shared" si="1"/>
        <v>100</v>
      </c>
      <c r="V11" s="701" t="s">
        <v>14</v>
      </c>
      <c r="W11" s="702">
        <f t="shared" si="2"/>
        <v>100</v>
      </c>
      <c r="X11" s="703"/>
      <c r="Y11" s="3706"/>
      <c r="Z11" s="3449" t="str">
        <f t="shared" si="7"/>
        <v>容积率</v>
      </c>
      <c r="AA11" s="704">
        <f t="shared" si="3"/>
        <v>1</v>
      </c>
      <c r="AB11" s="704">
        <f t="shared" si="4"/>
        <v>1</v>
      </c>
      <c r="AC11" s="704">
        <f t="shared" si="5"/>
        <v>1</v>
      </c>
    </row>
    <row r="12" spans="1:29" s="108" customFormat="1" ht="15" hidden="1">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881"/>
      <c r="Q12" s="3450">
        <f t="shared" si="6"/>
        <v>111</v>
      </c>
      <c r="R12" s="701" t="s">
        <v>14</v>
      </c>
      <c r="S12" s="702">
        <f t="shared" si="0"/>
        <v>100</v>
      </c>
      <c r="T12" s="701" t="s">
        <v>14</v>
      </c>
      <c r="U12" s="702">
        <f t="shared" si="1"/>
        <v>100</v>
      </c>
      <c r="V12" s="701" t="s">
        <v>14</v>
      </c>
      <c r="W12" s="702">
        <f t="shared" si="2"/>
        <v>100</v>
      </c>
      <c r="X12" s="703"/>
      <c r="Y12" s="3706"/>
      <c r="Z12" s="3449">
        <f t="shared" si="7"/>
        <v>111</v>
      </c>
      <c r="AA12" s="704">
        <f>D12/F12</f>
        <v>1</v>
      </c>
      <c r="AB12" s="704">
        <f>D12/H12</f>
        <v>1</v>
      </c>
      <c r="AC12" s="704">
        <f>D12/J12</f>
        <v>1</v>
      </c>
    </row>
    <row r="13" spans="1:29" ht="15" hidden="1">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881"/>
      <c r="Q13" s="3450">
        <f t="shared" si="6"/>
        <v>111</v>
      </c>
      <c r="R13" s="701" t="s">
        <v>14</v>
      </c>
      <c r="S13" s="702">
        <f t="shared" si="0"/>
        <v>100</v>
      </c>
      <c r="T13" s="701" t="s">
        <v>14</v>
      </c>
      <c r="U13" s="702">
        <f t="shared" si="1"/>
        <v>100</v>
      </c>
      <c r="V13" s="701" t="s">
        <v>14</v>
      </c>
      <c r="W13" s="702">
        <f t="shared" si="2"/>
        <v>100</v>
      </c>
      <c r="X13" s="703"/>
      <c r="Y13" s="3706"/>
      <c r="Z13" s="3449">
        <f t="shared" si="7"/>
        <v>111</v>
      </c>
      <c r="AA13" s="704">
        <f t="shared" si="3"/>
        <v>1</v>
      </c>
      <c r="AB13" s="704">
        <f t="shared" si="4"/>
        <v>1</v>
      </c>
      <c r="AC13" s="704">
        <f t="shared" si="5"/>
        <v>1</v>
      </c>
    </row>
    <row r="14" spans="1:29" ht="15.6" hidden="1"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881"/>
      <c r="Q14" s="3450">
        <f t="shared" si="6"/>
        <v>111</v>
      </c>
      <c r="R14" s="701" t="s">
        <v>14</v>
      </c>
      <c r="S14" s="702">
        <f t="shared" si="0"/>
        <v>100</v>
      </c>
      <c r="T14" s="701" t="s">
        <v>14</v>
      </c>
      <c r="U14" s="702">
        <f t="shared" si="1"/>
        <v>100</v>
      </c>
      <c r="V14" s="701" t="s">
        <v>14</v>
      </c>
      <c r="W14" s="702">
        <f t="shared" si="2"/>
        <v>100</v>
      </c>
      <c r="X14" s="703"/>
      <c r="Y14" s="3706"/>
      <c r="Z14" s="3449">
        <f t="shared" si="7"/>
        <v>111</v>
      </c>
      <c r="AA14" s="704">
        <f t="shared" si="3"/>
        <v>1</v>
      </c>
      <c r="AB14" s="704">
        <f t="shared" si="4"/>
        <v>1</v>
      </c>
      <c r="AC14" s="704">
        <f t="shared" si="5"/>
        <v>1</v>
      </c>
    </row>
    <row r="15" spans="1:29" ht="69">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v>2</v>
      </c>
      <c r="L15" s="2722"/>
      <c r="M15" s="2716"/>
      <c r="N15" s="2716"/>
      <c r="O15" s="2716"/>
      <c r="P15" s="3882" t="s">
        <v>1691</v>
      </c>
      <c r="Q15" s="3454" t="str">
        <f t="shared" si="6"/>
        <v>商业繁华度</v>
      </c>
      <c r="R15" s="705" t="s">
        <v>14</v>
      </c>
      <c r="S15" s="706">
        <f t="shared" si="0"/>
        <v>100</v>
      </c>
      <c r="T15" s="705" t="s">
        <v>14</v>
      </c>
      <c r="U15" s="706">
        <f t="shared" si="1"/>
        <v>100</v>
      </c>
      <c r="V15" s="705" t="s">
        <v>14</v>
      </c>
      <c r="W15" s="706">
        <f t="shared" si="2"/>
        <v>100</v>
      </c>
      <c r="X15" s="3451"/>
      <c r="Y15" s="3884" t="s">
        <v>1691</v>
      </c>
      <c r="Z15" s="3452" t="str">
        <f t="shared" si="7"/>
        <v>商业繁华度</v>
      </c>
      <c r="AA15" s="3455">
        <f t="shared" si="3"/>
        <v>1</v>
      </c>
      <c r="AB15" s="3455">
        <f t="shared" si="4"/>
        <v>1</v>
      </c>
      <c r="AC15" s="3455">
        <f t="shared" si="5"/>
        <v>1</v>
      </c>
    </row>
    <row r="16" spans="1:29" ht="15">
      <c r="A16" s="379"/>
      <c r="B16" s="397"/>
      <c r="C16" s="398" t="s">
        <v>3683</v>
      </c>
      <c r="D16" s="399"/>
      <c r="E16" s="398" t="s">
        <v>3683</v>
      </c>
      <c r="F16" s="400"/>
      <c r="G16" s="398" t="s">
        <v>3683</v>
      </c>
      <c r="H16" s="401"/>
      <c r="I16" s="398" t="s">
        <v>3683</v>
      </c>
      <c r="J16" s="399"/>
      <c r="K16" s="564"/>
      <c r="L16" s="2722"/>
      <c r="M16" s="2716"/>
      <c r="N16" s="2716"/>
      <c r="O16" s="2716"/>
      <c r="P16" s="3883"/>
      <c r="Q16" s="3454"/>
      <c r="R16" s="705"/>
      <c r="S16" s="706"/>
      <c r="T16" s="705"/>
      <c r="U16" s="706"/>
      <c r="V16" s="705"/>
      <c r="W16" s="706"/>
      <c r="X16" s="3451"/>
      <c r="Y16" s="3885"/>
      <c r="Z16" s="3452"/>
      <c r="AA16" s="3455">
        <v>1</v>
      </c>
      <c r="AB16" s="3455">
        <v>1</v>
      </c>
      <c r="AC16" s="3455">
        <v>1</v>
      </c>
    </row>
    <row r="17" spans="1:29" ht="82.8">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v>2</v>
      </c>
      <c r="L17" s="2722"/>
      <c r="M17" s="2716"/>
      <c r="N17" s="2716"/>
      <c r="O17" s="2716"/>
      <c r="P17" s="3883"/>
      <c r="Q17" s="3454" t="str">
        <f>B17</f>
        <v>交通便捷度</v>
      </c>
      <c r="R17" s="705" t="s">
        <v>14</v>
      </c>
      <c r="S17" s="706">
        <f>F17</f>
        <v>100</v>
      </c>
      <c r="T17" s="705" t="s">
        <v>14</v>
      </c>
      <c r="U17" s="706">
        <f>H17</f>
        <v>100</v>
      </c>
      <c r="V17" s="705" t="s">
        <v>14</v>
      </c>
      <c r="W17" s="706">
        <f>J17</f>
        <v>100</v>
      </c>
      <c r="X17" s="3451"/>
      <c r="Y17" s="3885"/>
      <c r="Z17" s="3452" t="str">
        <f>Q17</f>
        <v>交通便捷度</v>
      </c>
      <c r="AA17" s="3455">
        <f t="shared" si="3"/>
        <v>1</v>
      </c>
      <c r="AB17" s="3455">
        <f t="shared" si="4"/>
        <v>1</v>
      </c>
      <c r="AC17" s="3455">
        <f t="shared" si="5"/>
        <v>1</v>
      </c>
    </row>
    <row r="18" spans="1:29" ht="15">
      <c r="A18" s="379"/>
      <c r="B18" s="407"/>
      <c r="C18" s="398" t="s">
        <v>3683</v>
      </c>
      <c r="D18" s="401"/>
      <c r="E18" s="398" t="s">
        <v>3683</v>
      </c>
      <c r="F18" s="404"/>
      <c r="G18" s="398" t="s">
        <v>3683</v>
      </c>
      <c r="H18" s="399"/>
      <c r="I18" s="398" t="s">
        <v>3683</v>
      </c>
      <c r="J18" s="399"/>
      <c r="K18" s="564"/>
      <c r="L18" s="2722"/>
      <c r="M18" s="2716"/>
      <c r="N18" s="2716"/>
      <c r="O18" s="2716"/>
      <c r="P18" s="3883"/>
      <c r="Q18" s="3454"/>
      <c r="R18" s="705"/>
      <c r="S18" s="706"/>
      <c r="T18" s="705"/>
      <c r="U18" s="706"/>
      <c r="V18" s="705"/>
      <c r="W18" s="706"/>
      <c r="X18" s="3451"/>
      <c r="Y18" s="3885"/>
      <c r="Z18" s="3452"/>
      <c r="AA18" s="3455">
        <v>1</v>
      </c>
      <c r="AB18" s="3455">
        <v>1</v>
      </c>
      <c r="AC18" s="3455">
        <v>1</v>
      </c>
    </row>
    <row r="19" spans="1:29" ht="41.4">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v>2</v>
      </c>
      <c r="L19" s="2722"/>
      <c r="M19" s="2716"/>
      <c r="N19" s="2716"/>
      <c r="O19" s="2716"/>
      <c r="P19" s="3883"/>
      <c r="Q19" s="3454" t="str">
        <f>B19</f>
        <v>公共配套设施</v>
      </c>
      <c r="R19" s="705" t="s">
        <v>14</v>
      </c>
      <c r="S19" s="706">
        <f>F19</f>
        <v>100</v>
      </c>
      <c r="T19" s="705" t="s">
        <v>14</v>
      </c>
      <c r="U19" s="706">
        <f>H19</f>
        <v>100</v>
      </c>
      <c r="V19" s="705" t="s">
        <v>14</v>
      </c>
      <c r="W19" s="706">
        <f>J19</f>
        <v>100</v>
      </c>
      <c r="X19" s="3451"/>
      <c r="Y19" s="3885"/>
      <c r="Z19" s="3452" t="str">
        <f>Q19</f>
        <v>公共配套设施</v>
      </c>
      <c r="AA19" s="3455">
        <f t="shared" si="3"/>
        <v>1</v>
      </c>
      <c r="AB19" s="3455">
        <f t="shared" si="4"/>
        <v>1</v>
      </c>
      <c r="AC19" s="3455">
        <f t="shared" si="5"/>
        <v>1</v>
      </c>
    </row>
    <row r="20" spans="1:29" ht="15">
      <c r="A20" s="379"/>
      <c r="B20" s="407"/>
      <c r="C20" s="398" t="s">
        <v>3683</v>
      </c>
      <c r="D20" s="399"/>
      <c r="E20" s="398" t="s">
        <v>3683</v>
      </c>
      <c r="F20" s="400"/>
      <c r="G20" s="398" t="s">
        <v>3683</v>
      </c>
      <c r="H20" s="399"/>
      <c r="I20" s="398" t="s">
        <v>3683</v>
      </c>
      <c r="J20" s="399"/>
      <c r="K20" s="564"/>
      <c r="L20" s="2722"/>
      <c r="M20" s="2716"/>
      <c r="N20" s="2716"/>
      <c r="O20" s="2716"/>
      <c r="P20" s="3883"/>
      <c r="Q20" s="3454"/>
      <c r="R20" s="705"/>
      <c r="S20" s="706"/>
      <c r="T20" s="705"/>
      <c r="U20" s="706"/>
      <c r="V20" s="705"/>
      <c r="W20" s="706"/>
      <c r="X20" s="3451"/>
      <c r="Y20" s="3885"/>
      <c r="Z20" s="3452"/>
      <c r="AA20" s="3455">
        <v>1</v>
      </c>
      <c r="AB20" s="3455">
        <v>1</v>
      </c>
      <c r="AC20" s="3455">
        <v>1</v>
      </c>
    </row>
    <row r="21" spans="1:29" ht="27.6">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v>1</v>
      </c>
      <c r="L21" s="2722"/>
      <c r="M21" s="2716"/>
      <c r="N21" s="2716"/>
      <c r="O21" s="2716"/>
      <c r="P21" s="3883"/>
      <c r="Q21" s="3454" t="str">
        <f>B21</f>
        <v>基础设施水平</v>
      </c>
      <c r="R21" s="705" t="s">
        <v>14</v>
      </c>
      <c r="S21" s="706">
        <f>F21</f>
        <v>100</v>
      </c>
      <c r="T21" s="705" t="s">
        <v>14</v>
      </c>
      <c r="U21" s="706">
        <f>H21</f>
        <v>100</v>
      </c>
      <c r="V21" s="705" t="s">
        <v>14</v>
      </c>
      <c r="W21" s="706">
        <f>J21</f>
        <v>100</v>
      </c>
      <c r="X21" s="3451"/>
      <c r="Y21" s="3885"/>
      <c r="Z21" s="3452" t="str">
        <f>Q21</f>
        <v>基础设施水平</v>
      </c>
      <c r="AA21" s="3455">
        <f t="shared" ref="AA21" si="8">D21/F21</f>
        <v>1</v>
      </c>
      <c r="AB21" s="3455">
        <f t="shared" ref="AB21" si="9">D21/H21</f>
        <v>1</v>
      </c>
      <c r="AC21" s="3455">
        <f t="shared" ref="AC21" si="10">D21/J21</f>
        <v>1</v>
      </c>
    </row>
    <row r="22" spans="1:29" ht="15">
      <c r="A22" s="379"/>
      <c r="B22" s="1131"/>
      <c r="C22" s="1901" t="s">
        <v>3684</v>
      </c>
      <c r="D22" s="399"/>
      <c r="E22" s="1901" t="s">
        <v>3684</v>
      </c>
      <c r="F22" s="400"/>
      <c r="G22" s="1901" t="s">
        <v>3684</v>
      </c>
      <c r="H22" s="399"/>
      <c r="I22" s="1901" t="s">
        <v>3684</v>
      </c>
      <c r="J22" s="399"/>
      <c r="K22" s="1130"/>
      <c r="L22" s="2722"/>
      <c r="M22" s="2716"/>
      <c r="N22" s="2716"/>
      <c r="O22" s="2716"/>
      <c r="P22" s="3883"/>
      <c r="Q22" s="3454"/>
      <c r="R22" s="705"/>
      <c r="S22" s="706"/>
      <c r="T22" s="705"/>
      <c r="U22" s="706"/>
      <c r="V22" s="705"/>
      <c r="W22" s="706"/>
      <c r="X22" s="3451"/>
      <c r="Y22" s="3885"/>
      <c r="Z22" s="3452"/>
      <c r="AA22" s="3455">
        <v>1</v>
      </c>
      <c r="AB22" s="3455">
        <v>1</v>
      </c>
      <c r="AC22" s="3455">
        <v>1</v>
      </c>
    </row>
    <row r="23" spans="1:29" ht="55.2">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v>2</v>
      </c>
      <c r="L23" s="2722"/>
      <c r="M23" s="2716"/>
      <c r="N23" s="2716"/>
      <c r="O23" s="2716"/>
      <c r="P23" s="3883"/>
      <c r="Q23" s="3454" t="str">
        <f>B23</f>
        <v>自然及人文环境</v>
      </c>
      <c r="R23" s="705" t="s">
        <v>14</v>
      </c>
      <c r="S23" s="706">
        <f>F23</f>
        <v>100</v>
      </c>
      <c r="T23" s="705" t="s">
        <v>14</v>
      </c>
      <c r="U23" s="706">
        <f>H23</f>
        <v>100</v>
      </c>
      <c r="V23" s="705" t="s">
        <v>14</v>
      </c>
      <c r="W23" s="706">
        <f>J23</f>
        <v>100</v>
      </c>
      <c r="X23" s="3451"/>
      <c r="Y23" s="3885"/>
      <c r="Z23" s="3452" t="str">
        <f>Q23</f>
        <v>自然及人文环境</v>
      </c>
      <c r="AA23" s="3455">
        <f t="shared" si="3"/>
        <v>1</v>
      </c>
      <c r="AB23" s="3455">
        <f t="shared" si="4"/>
        <v>1</v>
      </c>
      <c r="AC23" s="3455">
        <f t="shared" si="5"/>
        <v>1</v>
      </c>
    </row>
    <row r="24" spans="1:29" ht="15">
      <c r="A24" s="379"/>
      <c r="B24" s="407"/>
      <c r="C24" s="398" t="s">
        <v>3683</v>
      </c>
      <c r="D24" s="399"/>
      <c r="E24" s="398" t="s">
        <v>3683</v>
      </c>
      <c r="F24" s="400"/>
      <c r="G24" s="398" t="s">
        <v>3683</v>
      </c>
      <c r="H24" s="399"/>
      <c r="I24" s="398" t="s">
        <v>3683</v>
      </c>
      <c r="J24" s="399"/>
      <c r="K24" s="564"/>
      <c r="L24" s="2722"/>
      <c r="M24" s="2716"/>
      <c r="N24" s="2716"/>
      <c r="O24" s="2716"/>
      <c r="P24" s="3883"/>
      <c r="Q24" s="3454"/>
      <c r="R24" s="705"/>
      <c r="S24" s="706"/>
      <c r="T24" s="705"/>
      <c r="U24" s="706"/>
      <c r="V24" s="705"/>
      <c r="W24" s="706"/>
      <c r="X24" s="3451"/>
      <c r="Y24" s="3885"/>
      <c r="Z24" s="3452"/>
      <c r="AA24" s="3455">
        <v>1</v>
      </c>
      <c r="AB24" s="3455">
        <v>1</v>
      </c>
      <c r="AC24" s="3455">
        <v>1</v>
      </c>
    </row>
    <row r="25" spans="1:29" ht="15">
      <c r="A25" s="379"/>
      <c r="B25" s="375" t="s">
        <v>1780</v>
      </c>
      <c r="C25" s="565" t="s">
        <v>3747</v>
      </c>
      <c r="D25" s="386">
        <v>100</v>
      </c>
      <c r="E25" s="565" t="s">
        <v>3733</v>
      </c>
      <c r="F25" s="412">
        <f>SUMIF(86:86,E25,87:87)-SUMIF(86:86,C25,87:87)+100</f>
        <v>103</v>
      </c>
      <c r="G25" s="565" t="s">
        <v>3733</v>
      </c>
      <c r="H25" s="386">
        <f>SUMIF(86:86,G25,87:87)-SUMIF(86:86,C25,87:87)+100</f>
        <v>103</v>
      </c>
      <c r="I25" s="565" t="s">
        <v>3733</v>
      </c>
      <c r="J25" s="386">
        <f>SUMIF(86:86,I25,87:87)-SUMIF(86:86,C25,87:87)+100</f>
        <v>103</v>
      </c>
      <c r="K25" s="3577">
        <v>3</v>
      </c>
      <c r="L25" s="2722"/>
      <c r="M25" s="2716"/>
      <c r="N25" s="2716"/>
      <c r="O25" s="2716"/>
      <c r="P25" s="3883"/>
      <c r="Q25" s="3454" t="str">
        <f t="shared" ref="Q25:Q46" si="11">B25</f>
        <v>临街状况</v>
      </c>
      <c r="R25" s="705" t="s">
        <v>14</v>
      </c>
      <c r="S25" s="706">
        <f>F25</f>
        <v>103</v>
      </c>
      <c r="T25" s="705" t="s">
        <v>14</v>
      </c>
      <c r="U25" s="706">
        <f>H25</f>
        <v>103</v>
      </c>
      <c r="V25" s="705" t="s">
        <v>14</v>
      </c>
      <c r="W25" s="706">
        <f>J25</f>
        <v>103</v>
      </c>
      <c r="X25" s="3451"/>
      <c r="Y25" s="3885"/>
      <c r="Z25" s="3452" t="str">
        <f>Q25</f>
        <v>临街状况</v>
      </c>
      <c r="AA25" s="3455">
        <f t="shared" si="3"/>
        <v>0.970873786407767</v>
      </c>
      <c r="AB25" s="3455">
        <f t="shared" si="4"/>
        <v>0.970873786407767</v>
      </c>
      <c r="AC25" s="3455">
        <f t="shared" si="5"/>
        <v>0.970873786407767</v>
      </c>
    </row>
    <row r="26" spans="1:29" ht="15">
      <c r="A26" s="379"/>
      <c r="B26" s="1133" t="s">
        <v>1781</v>
      </c>
      <c r="C26" s="1956" t="s">
        <v>3736</v>
      </c>
      <c r="D26" s="386">
        <v>100</v>
      </c>
      <c r="E26" s="398" t="s">
        <v>3683</v>
      </c>
      <c r="F26" s="412">
        <f>SUMIF(88:88,E26,89:89)-SUMIF(88:88,C26,89:89)+100</f>
        <v>102</v>
      </c>
      <c r="G26" s="398" t="s">
        <v>3683</v>
      </c>
      <c r="H26" s="386">
        <f>SUMIF(88:88,G26,89:89)-SUMIF(88:88,C26,89:89)+100</f>
        <v>102</v>
      </c>
      <c r="I26" s="398" t="s">
        <v>3683</v>
      </c>
      <c r="J26" s="386">
        <f>SUMIF(88:88,I26,89:89)-SUMIF(88:88,C26,89:89)+100</f>
        <v>102</v>
      </c>
      <c r="K26" s="562"/>
      <c r="L26" s="2722"/>
      <c r="M26" s="2716"/>
      <c r="N26" s="2716"/>
      <c r="O26" s="2716"/>
      <c r="P26" s="3883"/>
      <c r="Q26" s="3454" t="str">
        <f t="shared" si="11"/>
        <v>平面位置/可视性</v>
      </c>
      <c r="R26" s="705" t="s">
        <v>14</v>
      </c>
      <c r="S26" s="706">
        <f>F26</f>
        <v>102</v>
      </c>
      <c r="T26" s="705" t="s">
        <v>14</v>
      </c>
      <c r="U26" s="706">
        <f>H26</f>
        <v>102</v>
      </c>
      <c r="V26" s="705" t="s">
        <v>14</v>
      </c>
      <c r="W26" s="706">
        <f>J26</f>
        <v>102</v>
      </c>
      <c r="X26" s="3451"/>
      <c r="Y26" s="3885"/>
      <c r="Z26" s="3452" t="str">
        <f>Q26</f>
        <v>平面位置/可视性</v>
      </c>
      <c r="AA26" s="3455">
        <f t="shared" si="3"/>
        <v>0.98039215686274506</v>
      </c>
      <c r="AB26" s="3455">
        <f t="shared" si="4"/>
        <v>0.98039215686274506</v>
      </c>
      <c r="AC26" s="3455">
        <f t="shared" si="5"/>
        <v>0.98039215686274506</v>
      </c>
    </row>
    <row r="27" spans="1:29" s="108" customFormat="1" ht="15">
      <c r="A27" s="382"/>
      <c r="B27" s="402" t="s">
        <v>1782</v>
      </c>
      <c r="C27" s="1956" t="s">
        <v>3736</v>
      </c>
      <c r="D27" s="413">
        <v>100</v>
      </c>
      <c r="E27" s="1956" t="s">
        <v>3736</v>
      </c>
      <c r="F27" s="415">
        <f>SUMIF(90:90,E27,91:91)-SUMIF(90:90,C27,91:91)+100</f>
        <v>100</v>
      </c>
      <c r="G27" s="1956" t="s">
        <v>3736</v>
      </c>
      <c r="H27" s="413">
        <f>SUMIF(90:90,G27,91:91)-SUMIF(90:90,C27,91:91)+100</f>
        <v>100</v>
      </c>
      <c r="I27" s="1956" t="s">
        <v>3736</v>
      </c>
      <c r="J27" s="413">
        <f>SUMIF(90:90,I27,91:91)-SUMIF(90:90,C27,91:91)+100</f>
        <v>100</v>
      </c>
      <c r="K27" s="561">
        <v>2</v>
      </c>
      <c r="L27" s="2717"/>
      <c r="M27" s="2718"/>
      <c r="N27" s="2718"/>
      <c r="O27" s="2718"/>
      <c r="P27" s="3883"/>
      <c r="Q27" s="3450" t="str">
        <f t="shared" si="11"/>
        <v>人流量</v>
      </c>
      <c r="R27" s="701" t="s">
        <v>14</v>
      </c>
      <c r="S27" s="702">
        <f>F27</f>
        <v>100</v>
      </c>
      <c r="T27" s="701" t="s">
        <v>14</v>
      </c>
      <c r="U27" s="702">
        <f>H27</f>
        <v>100</v>
      </c>
      <c r="V27" s="701" t="s">
        <v>14</v>
      </c>
      <c r="W27" s="702">
        <f>J27</f>
        <v>100</v>
      </c>
      <c r="X27" s="703"/>
      <c r="Y27" s="3885"/>
      <c r="Z27" s="3449" t="str">
        <f>Q27</f>
        <v>人流量</v>
      </c>
      <c r="AA27" s="3455">
        <f>D27/F27</f>
        <v>1</v>
      </c>
      <c r="AB27" s="3455">
        <f>D27/H27</f>
        <v>1</v>
      </c>
      <c r="AC27" s="3455">
        <f>D27/J27</f>
        <v>1</v>
      </c>
    </row>
    <row r="28" spans="1:29" ht="15.6" thickBot="1">
      <c r="A28" s="379"/>
      <c r="B28" s="375" t="s">
        <v>1783</v>
      </c>
      <c r="C28" s="565" t="s">
        <v>3749</v>
      </c>
      <c r="D28" s="386">
        <v>100</v>
      </c>
      <c r="E28" s="565" t="s">
        <v>3749</v>
      </c>
      <c r="F28" s="412">
        <f>SUMIF(92:92,E28,93:93)-SUMIF(92:92,C28,93:93)+100</f>
        <v>100</v>
      </c>
      <c r="G28" s="565" t="s">
        <v>3749</v>
      </c>
      <c r="H28" s="386">
        <f>SUMIF(92:92,G28,93:93)-SUMIF(92:92,C28,93:93)+100</f>
        <v>100</v>
      </c>
      <c r="I28" s="565" t="s">
        <v>3749</v>
      </c>
      <c r="J28" s="386">
        <f>SUMIF(92:92,I28,93:93)-SUMIF(92:92,C28,93:93)+100</f>
        <v>100</v>
      </c>
      <c r="K28" s="562"/>
      <c r="L28" s="2722"/>
      <c r="M28" s="2716"/>
      <c r="N28" s="2716"/>
      <c r="O28" s="2716"/>
      <c r="P28" s="3883"/>
      <c r="Q28" s="3454" t="str">
        <f t="shared" si="11"/>
        <v>楼层</v>
      </c>
      <c r="R28" s="705" t="s">
        <v>14</v>
      </c>
      <c r="S28" s="706">
        <f t="shared" ref="S28:S46" si="12">F28</f>
        <v>100</v>
      </c>
      <c r="T28" s="705" t="s">
        <v>14</v>
      </c>
      <c r="U28" s="706">
        <f t="shared" ref="U28:U46" si="13">H28</f>
        <v>100</v>
      </c>
      <c r="V28" s="705" t="s">
        <v>14</v>
      </c>
      <c r="W28" s="706">
        <f t="shared" ref="W28:W46" si="14">J28</f>
        <v>100</v>
      </c>
      <c r="X28" s="3451"/>
      <c r="Y28" s="3885"/>
      <c r="Z28" s="3452" t="str">
        <f t="shared" ref="Z28:Z46" si="15">Q28</f>
        <v>楼层</v>
      </c>
      <c r="AA28" s="3455">
        <f t="shared" si="3"/>
        <v>1</v>
      </c>
      <c r="AB28" s="3455">
        <f t="shared" si="4"/>
        <v>1</v>
      </c>
      <c r="AC28" s="3455">
        <f t="shared" si="5"/>
        <v>1</v>
      </c>
    </row>
    <row r="29" spans="1:29" ht="15" hidden="1">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883"/>
      <c r="Q29" s="3454">
        <f t="shared" si="11"/>
        <v>111</v>
      </c>
      <c r="R29" s="705" t="s">
        <v>14</v>
      </c>
      <c r="S29" s="706">
        <f t="shared" si="12"/>
        <v>100</v>
      </c>
      <c r="T29" s="705" t="s">
        <v>14</v>
      </c>
      <c r="U29" s="706">
        <f t="shared" si="13"/>
        <v>100</v>
      </c>
      <c r="V29" s="705" t="s">
        <v>14</v>
      </c>
      <c r="W29" s="706">
        <f t="shared" si="14"/>
        <v>100</v>
      </c>
      <c r="X29" s="3451"/>
      <c r="Y29" s="3885"/>
      <c r="Z29" s="3452">
        <f t="shared" si="15"/>
        <v>111</v>
      </c>
      <c r="AA29" s="3455">
        <f t="shared" si="3"/>
        <v>1</v>
      </c>
      <c r="AB29" s="3455">
        <f t="shared" si="4"/>
        <v>1</v>
      </c>
      <c r="AC29" s="3455">
        <f t="shared" si="5"/>
        <v>1</v>
      </c>
    </row>
    <row r="30" spans="1:29" ht="15" hidden="1">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883"/>
      <c r="Q30" s="3454">
        <f t="shared" si="11"/>
        <v>111</v>
      </c>
      <c r="R30" s="705" t="s">
        <v>14</v>
      </c>
      <c r="S30" s="706">
        <f t="shared" si="12"/>
        <v>100</v>
      </c>
      <c r="T30" s="705" t="s">
        <v>14</v>
      </c>
      <c r="U30" s="706">
        <f t="shared" si="13"/>
        <v>100</v>
      </c>
      <c r="V30" s="705" t="s">
        <v>14</v>
      </c>
      <c r="W30" s="706">
        <f t="shared" si="14"/>
        <v>100</v>
      </c>
      <c r="X30" s="3451"/>
      <c r="Y30" s="3885"/>
      <c r="Z30" s="3452">
        <f t="shared" si="15"/>
        <v>111</v>
      </c>
      <c r="AA30" s="3455">
        <f t="shared" si="3"/>
        <v>1</v>
      </c>
      <c r="AB30" s="3455">
        <f t="shared" si="4"/>
        <v>1</v>
      </c>
      <c r="AC30" s="3455">
        <f t="shared" si="5"/>
        <v>1</v>
      </c>
    </row>
    <row r="31" spans="1:29" ht="15.6" hidden="1"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883"/>
      <c r="Q31" s="3454">
        <f t="shared" si="11"/>
        <v>111</v>
      </c>
      <c r="R31" s="705" t="s">
        <v>14</v>
      </c>
      <c r="S31" s="706">
        <f t="shared" si="12"/>
        <v>100</v>
      </c>
      <c r="T31" s="705" t="s">
        <v>14</v>
      </c>
      <c r="U31" s="706">
        <f t="shared" si="13"/>
        <v>100</v>
      </c>
      <c r="V31" s="705" t="s">
        <v>14</v>
      </c>
      <c r="W31" s="706">
        <f t="shared" si="14"/>
        <v>100</v>
      </c>
      <c r="X31" s="3451"/>
      <c r="Y31" s="3885"/>
      <c r="Z31" s="3452">
        <f t="shared" si="15"/>
        <v>111</v>
      </c>
      <c r="AA31" s="3455">
        <f t="shared" si="3"/>
        <v>1</v>
      </c>
      <c r="AB31" s="3455">
        <f t="shared" si="4"/>
        <v>1</v>
      </c>
      <c r="AC31" s="3455">
        <f t="shared" si="5"/>
        <v>1</v>
      </c>
    </row>
    <row r="32" spans="1:29" ht="15">
      <c r="A32" s="391" t="s">
        <v>1694</v>
      </c>
      <c r="B32" s="63" t="s">
        <v>1784</v>
      </c>
      <c r="C32" s="1910" t="s">
        <v>3728</v>
      </c>
      <c r="D32" s="418">
        <v>100</v>
      </c>
      <c r="E32" s="1910" t="s">
        <v>3725</v>
      </c>
      <c r="F32" s="412">
        <f>SUMIF(100:100,E32,101:101)-SUMIF(100:100,C32,101:101)+100</f>
        <v>103</v>
      </c>
      <c r="G32" s="1910" t="s">
        <v>3725</v>
      </c>
      <c r="H32" s="386">
        <f>SUMIF(100:100,G32,101:101)-SUMIF(100:100,C32,101:101)+100</f>
        <v>103</v>
      </c>
      <c r="I32" s="1910" t="s">
        <v>3728</v>
      </c>
      <c r="J32" s="418">
        <f>SUMIF(100:100,I32,101:101)-SUMIF(100:100,C32,101:101)+100</f>
        <v>100</v>
      </c>
      <c r="K32" s="561">
        <v>3</v>
      </c>
      <c r="L32" s="2722"/>
      <c r="M32" s="2716"/>
      <c r="N32" s="2716"/>
      <c r="O32" s="2716"/>
      <c r="P32" s="3886" t="s">
        <v>1696</v>
      </c>
      <c r="Q32" s="3454" t="str">
        <f t="shared" si="11"/>
        <v>商业类型</v>
      </c>
      <c r="R32" s="705" t="s">
        <v>14</v>
      </c>
      <c r="S32" s="706">
        <f t="shared" si="12"/>
        <v>103</v>
      </c>
      <c r="T32" s="705" t="s">
        <v>14</v>
      </c>
      <c r="U32" s="706">
        <f t="shared" si="13"/>
        <v>103</v>
      </c>
      <c r="V32" s="705" t="s">
        <v>14</v>
      </c>
      <c r="W32" s="706">
        <f t="shared" si="14"/>
        <v>100</v>
      </c>
      <c r="X32" s="3451"/>
      <c r="Y32" s="3889" t="s">
        <v>1696</v>
      </c>
      <c r="Z32" s="3452" t="str">
        <f t="shared" si="15"/>
        <v>商业类型</v>
      </c>
      <c r="AA32" s="3455">
        <f t="shared" si="3"/>
        <v>0.970873786407767</v>
      </c>
      <c r="AB32" s="3455">
        <f t="shared" si="4"/>
        <v>0.970873786407767</v>
      </c>
      <c r="AC32" s="3455">
        <f t="shared" si="5"/>
        <v>1</v>
      </c>
    </row>
    <row r="33" spans="1:29" s="422" customFormat="1" ht="15">
      <c r="A33" s="419"/>
      <c r="B33" s="375" t="s">
        <v>1697</v>
      </c>
      <c r="C33" s="420">
        <f>结果!F13</f>
        <v>734.88</v>
      </c>
      <c r="D33" s="127">
        <v>100</v>
      </c>
      <c r="E33" s="381">
        <v>128</v>
      </c>
      <c r="F33" s="376">
        <f>LOOKUP(E33,103:103,104:104)-LOOKUP(C33,103:103,104:104)+100</f>
        <v>102</v>
      </c>
      <c r="G33" s="380">
        <v>1026</v>
      </c>
      <c r="H33" s="127">
        <f>LOOKUP(G33,103:103,104:104)-LOOKUP(C33,103:103,104:104)+100</f>
        <v>98</v>
      </c>
      <c r="I33" s="380">
        <v>666</v>
      </c>
      <c r="J33" s="127">
        <f>LOOKUP(I33,103:103,104:104)-LOOKUP(C33,103:103,104:104)+100</f>
        <v>100</v>
      </c>
      <c r="K33" s="562"/>
      <c r="L33" s="2721"/>
      <c r="M33" s="2723"/>
      <c r="N33" s="2723"/>
      <c r="O33" s="2723"/>
      <c r="P33" s="3887"/>
      <c r="Q33" s="707" t="str">
        <f t="shared" si="11"/>
        <v>项目建筑规模</v>
      </c>
      <c r="R33" s="708" t="s">
        <v>14</v>
      </c>
      <c r="S33" s="709">
        <f t="shared" si="12"/>
        <v>102</v>
      </c>
      <c r="T33" s="708" t="s">
        <v>14</v>
      </c>
      <c r="U33" s="709">
        <f t="shared" si="13"/>
        <v>98</v>
      </c>
      <c r="V33" s="708" t="s">
        <v>14</v>
      </c>
      <c r="W33" s="709">
        <f t="shared" si="14"/>
        <v>100</v>
      </c>
      <c r="X33" s="710"/>
      <c r="Y33" s="3889"/>
      <c r="Z33" s="711" t="str">
        <f t="shared" si="15"/>
        <v>项目建筑规模</v>
      </c>
      <c r="AA33" s="3455">
        <f t="shared" si="3"/>
        <v>0.98039215686274506</v>
      </c>
      <c r="AB33" s="3455">
        <f t="shared" si="4"/>
        <v>1.0204081632653061</v>
      </c>
      <c r="AC33" s="3455">
        <f t="shared" si="5"/>
        <v>1</v>
      </c>
    </row>
    <row r="34" spans="1:29" ht="15">
      <c r="A34" s="423"/>
      <c r="B34" s="375" t="s">
        <v>1698</v>
      </c>
      <c r="C34" s="1912" t="s">
        <v>3704</v>
      </c>
      <c r="D34" s="386">
        <v>100</v>
      </c>
      <c r="E34" s="1912" t="s">
        <v>3704</v>
      </c>
      <c r="F34" s="412">
        <f>SUMIF(105:105,E34,106:106)-SUMIF(105:105,C34,106:106)+100</f>
        <v>100</v>
      </c>
      <c r="G34" s="1912" t="s">
        <v>3704</v>
      </c>
      <c r="H34" s="386">
        <f>SUMIF(105:105,G34,106:106)-SUMIF(105:105,C34,106:106)+100</f>
        <v>100</v>
      </c>
      <c r="I34" s="1912" t="s">
        <v>3704</v>
      </c>
      <c r="J34" s="386">
        <f>SUMIF(105:105,I34,106:106)-SUMIF(105:105,C34,106:106)+100</f>
        <v>100</v>
      </c>
      <c r="K34" s="561">
        <v>2</v>
      </c>
      <c r="L34" s="2722"/>
      <c r="M34" s="2716"/>
      <c r="N34" s="2716"/>
      <c r="O34" s="2716"/>
      <c r="P34" s="3887"/>
      <c r="Q34" s="3454" t="str">
        <f t="shared" si="11"/>
        <v>建筑结构</v>
      </c>
      <c r="R34" s="705" t="s">
        <v>14</v>
      </c>
      <c r="S34" s="706">
        <f t="shared" si="12"/>
        <v>100</v>
      </c>
      <c r="T34" s="705" t="s">
        <v>14</v>
      </c>
      <c r="U34" s="706">
        <f t="shared" si="13"/>
        <v>100</v>
      </c>
      <c r="V34" s="705" t="s">
        <v>14</v>
      </c>
      <c r="W34" s="706">
        <f t="shared" si="14"/>
        <v>100</v>
      </c>
      <c r="X34" s="3451"/>
      <c r="Y34" s="3889"/>
      <c r="Z34" s="3452" t="str">
        <f t="shared" si="15"/>
        <v>建筑结构</v>
      </c>
      <c r="AA34" s="3455">
        <f t="shared" si="3"/>
        <v>1</v>
      </c>
      <c r="AB34" s="3455">
        <f t="shared" si="4"/>
        <v>1</v>
      </c>
      <c r="AC34" s="3455">
        <f t="shared" si="5"/>
        <v>1</v>
      </c>
    </row>
    <row r="35" spans="1:29" ht="15">
      <c r="A35" s="423"/>
      <c r="B35" s="375" t="s">
        <v>1785</v>
      </c>
      <c r="C35" s="1912" t="s">
        <v>3706</v>
      </c>
      <c r="D35" s="386">
        <v>100</v>
      </c>
      <c r="E35" s="1912" t="s">
        <v>3706</v>
      </c>
      <c r="F35" s="412">
        <f>SUMIF(107:107,E35,108:108)-SUMIF(107:107,C35,108:108)+100</f>
        <v>100</v>
      </c>
      <c r="G35" s="1912" t="s">
        <v>3706</v>
      </c>
      <c r="H35" s="386">
        <f>SUMIF(107:107,G35,108:108)-SUMIF(107:107,C35,108:108)+100</f>
        <v>100</v>
      </c>
      <c r="I35" s="1912" t="s">
        <v>3706</v>
      </c>
      <c r="J35" s="386">
        <f>SUMIF(107:107,I35,108:108)-SUMIF(107:107,C35,108:108)+100</f>
        <v>100</v>
      </c>
      <c r="K35" s="561">
        <v>2</v>
      </c>
      <c r="L35" s="2722"/>
      <c r="M35" s="2716"/>
      <c r="N35" s="2716"/>
      <c r="O35" s="2716"/>
      <c r="P35" s="3887"/>
      <c r="Q35" s="3454" t="str">
        <f t="shared" si="11"/>
        <v>公共部分装修</v>
      </c>
      <c r="R35" s="705" t="s">
        <v>14</v>
      </c>
      <c r="S35" s="706">
        <f t="shared" si="12"/>
        <v>100</v>
      </c>
      <c r="T35" s="705" t="s">
        <v>14</v>
      </c>
      <c r="U35" s="706">
        <f t="shared" si="13"/>
        <v>100</v>
      </c>
      <c r="V35" s="705" t="s">
        <v>14</v>
      </c>
      <c r="W35" s="706">
        <f t="shared" si="14"/>
        <v>100</v>
      </c>
      <c r="X35" s="3451"/>
      <c r="Y35" s="3889"/>
      <c r="Z35" s="3452" t="str">
        <f t="shared" si="15"/>
        <v>公共部分装修</v>
      </c>
      <c r="AA35" s="3455">
        <f t="shared" si="3"/>
        <v>1</v>
      </c>
      <c r="AB35" s="3455">
        <f t="shared" si="4"/>
        <v>1</v>
      </c>
      <c r="AC35" s="3455">
        <f t="shared" si="5"/>
        <v>1</v>
      </c>
    </row>
    <row r="36" spans="1:29" ht="15">
      <c r="A36" s="423"/>
      <c r="B36" s="375" t="s">
        <v>1786</v>
      </c>
      <c r="C36" s="425">
        <v>0.7</v>
      </c>
      <c r="D36" s="386">
        <v>100</v>
      </c>
      <c r="E36" s="425">
        <v>0.7</v>
      </c>
      <c r="F36" s="412">
        <f>LOOKUP(E36,110:110,111:111)-LOOKUP(C36,110:110,111:111)+100</f>
        <v>100</v>
      </c>
      <c r="G36" s="425">
        <v>0.7</v>
      </c>
      <c r="H36" s="412">
        <f>LOOKUP(G36,110:110,111:111)-LOOKUP(C36,110:110,111:111)+100</f>
        <v>100</v>
      </c>
      <c r="I36" s="425">
        <v>0.7</v>
      </c>
      <c r="J36" s="386">
        <f>LOOKUP(I36,110:110,111:111)-LOOKUP(C36,110:110,111:111)+100</f>
        <v>100</v>
      </c>
      <c r="K36" s="561">
        <v>1</v>
      </c>
      <c r="L36" s="2722"/>
      <c r="M36" s="2716"/>
      <c r="N36" s="2716"/>
      <c r="O36" s="2716"/>
      <c r="P36" s="3887"/>
      <c r="Q36" s="3454" t="str">
        <f t="shared" si="11"/>
        <v>成新度</v>
      </c>
      <c r="R36" s="705" t="s">
        <v>14</v>
      </c>
      <c r="S36" s="706">
        <f t="shared" si="12"/>
        <v>100</v>
      </c>
      <c r="T36" s="705" t="s">
        <v>14</v>
      </c>
      <c r="U36" s="706">
        <f t="shared" si="13"/>
        <v>100</v>
      </c>
      <c r="V36" s="705" t="s">
        <v>14</v>
      </c>
      <c r="W36" s="706">
        <f t="shared" si="14"/>
        <v>100</v>
      </c>
      <c r="X36" s="3451"/>
      <c r="Y36" s="3889"/>
      <c r="Z36" s="3452" t="str">
        <f t="shared" si="15"/>
        <v>成新度</v>
      </c>
      <c r="AA36" s="3455">
        <f t="shared" si="3"/>
        <v>1</v>
      </c>
      <c r="AB36" s="3455">
        <f t="shared" si="4"/>
        <v>1</v>
      </c>
      <c r="AC36" s="3455">
        <f t="shared" si="5"/>
        <v>1</v>
      </c>
    </row>
    <row r="37" spans="1:29" s="108" customFormat="1" ht="15">
      <c r="A37" s="424"/>
      <c r="B37" s="375" t="s">
        <v>1787</v>
      </c>
      <c r="C37" s="1906" t="s">
        <v>3758</v>
      </c>
      <c r="D37" s="127">
        <v>100</v>
      </c>
      <c r="E37" s="1906" t="s">
        <v>3758</v>
      </c>
      <c r="F37" s="412">
        <f>SUMIF(112:112,E37,113:113)-SUMIF(112:112,C37,113:113)+100</f>
        <v>100</v>
      </c>
      <c r="G37" s="1906" t="s">
        <v>3758</v>
      </c>
      <c r="H37" s="386">
        <f>SUMIF(112:112,G37,113:113)-SUMIF(112:112,C37,113:113)+100</f>
        <v>100</v>
      </c>
      <c r="I37" s="1906" t="s">
        <v>3758</v>
      </c>
      <c r="J37" s="386">
        <f>SUMIF(112:112,I37,113:113)-SUMIF(112:112,C37,113:113)+100</f>
        <v>100</v>
      </c>
      <c r="K37" s="561">
        <v>1</v>
      </c>
      <c r="L37" s="2717"/>
      <c r="M37" s="2718"/>
      <c r="N37" s="2718"/>
      <c r="O37" s="2718"/>
      <c r="P37" s="3887"/>
      <c r="Q37" s="3450" t="str">
        <f t="shared" si="11"/>
        <v>市政基础设施</v>
      </c>
      <c r="R37" s="701" t="s">
        <v>14</v>
      </c>
      <c r="S37" s="702">
        <f t="shared" si="12"/>
        <v>100</v>
      </c>
      <c r="T37" s="701" t="s">
        <v>14</v>
      </c>
      <c r="U37" s="702">
        <f t="shared" si="13"/>
        <v>100</v>
      </c>
      <c r="V37" s="701" t="s">
        <v>14</v>
      </c>
      <c r="W37" s="702">
        <f t="shared" si="14"/>
        <v>100</v>
      </c>
      <c r="X37" s="703"/>
      <c r="Y37" s="3889"/>
      <c r="Z37" s="3449" t="str">
        <f t="shared" si="15"/>
        <v>市政基础设施</v>
      </c>
      <c r="AA37" s="704">
        <f t="shared" si="3"/>
        <v>1</v>
      </c>
      <c r="AB37" s="704">
        <f t="shared" si="4"/>
        <v>1</v>
      </c>
      <c r="AC37" s="704">
        <f t="shared" si="5"/>
        <v>1</v>
      </c>
    </row>
    <row r="38" spans="1:29" ht="15" hidden="1">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887" t="s">
        <v>1696</v>
      </c>
      <c r="Q38" s="3454" t="str">
        <f t="shared" si="11"/>
        <v>业态</v>
      </c>
      <c r="R38" s="705" t="s">
        <v>14</v>
      </c>
      <c r="S38" s="706">
        <f t="shared" si="12"/>
        <v>100</v>
      </c>
      <c r="T38" s="705" t="s">
        <v>14</v>
      </c>
      <c r="U38" s="706">
        <f t="shared" si="13"/>
        <v>100</v>
      </c>
      <c r="V38" s="705" t="s">
        <v>14</v>
      </c>
      <c r="W38" s="706">
        <f t="shared" si="14"/>
        <v>100</v>
      </c>
      <c r="X38" s="3451"/>
      <c r="Y38" s="3889" t="s">
        <v>1696</v>
      </c>
      <c r="Z38" s="3452" t="str">
        <f t="shared" si="15"/>
        <v>业态</v>
      </c>
      <c r="AA38" s="3455">
        <f t="shared" si="3"/>
        <v>1</v>
      </c>
      <c r="AB38" s="3455">
        <f t="shared" si="4"/>
        <v>1</v>
      </c>
      <c r="AC38" s="3455">
        <f t="shared" si="5"/>
        <v>1</v>
      </c>
    </row>
    <row r="39" spans="1:29" ht="15">
      <c r="A39" s="423"/>
      <c r="B39" s="375" t="s">
        <v>1789</v>
      </c>
      <c r="C39" s="1906" t="s">
        <v>3753</v>
      </c>
      <c r="D39" s="386">
        <v>100</v>
      </c>
      <c r="E39" s="1906" t="s">
        <v>3753</v>
      </c>
      <c r="F39" s="412">
        <f>SUMIF(116:116,E39,117:117)-SUMIF(116:116,C39,117:117)+100</f>
        <v>100</v>
      </c>
      <c r="G39" s="1906" t="s">
        <v>3753</v>
      </c>
      <c r="H39" s="386">
        <f>SUMIF(116:116,G39,117:117)-SUMIF(116:116,C39,117:117)+100</f>
        <v>100</v>
      </c>
      <c r="I39" s="1906" t="s">
        <v>3753</v>
      </c>
      <c r="J39" s="386">
        <f>SUMIF(116:116,I39,117:117)-SUMIF(116:116,C39,117:117)+100</f>
        <v>100</v>
      </c>
      <c r="K39" s="561">
        <v>1</v>
      </c>
      <c r="L39" s="2722"/>
      <c r="M39" s="2716"/>
      <c r="N39" s="2716"/>
      <c r="O39" s="2716"/>
      <c r="P39" s="3887"/>
      <c r="Q39" s="3454" t="str">
        <f t="shared" si="11"/>
        <v>层高</v>
      </c>
      <c r="R39" s="705" t="s">
        <v>14</v>
      </c>
      <c r="S39" s="706">
        <f t="shared" si="12"/>
        <v>100</v>
      </c>
      <c r="T39" s="705" t="s">
        <v>14</v>
      </c>
      <c r="U39" s="706">
        <f t="shared" si="13"/>
        <v>100</v>
      </c>
      <c r="V39" s="705" t="s">
        <v>14</v>
      </c>
      <c r="W39" s="706">
        <f t="shared" si="14"/>
        <v>100</v>
      </c>
      <c r="X39" s="3451"/>
      <c r="Y39" s="3889"/>
      <c r="Z39" s="3452" t="str">
        <f t="shared" si="15"/>
        <v>层高</v>
      </c>
      <c r="AA39" s="3455">
        <f t="shared" si="3"/>
        <v>1</v>
      </c>
      <c r="AB39" s="3455">
        <f t="shared" si="4"/>
        <v>1</v>
      </c>
      <c r="AC39" s="3455">
        <f t="shared" si="5"/>
        <v>1</v>
      </c>
    </row>
    <row r="40" spans="1:29" ht="15" hidden="1">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887"/>
      <c r="Q40" s="3454" t="str">
        <f t="shared" si="11"/>
        <v>单套建筑面积</v>
      </c>
      <c r="R40" s="705" t="s">
        <v>14</v>
      </c>
      <c r="S40" s="706">
        <f t="shared" si="12"/>
        <v>100</v>
      </c>
      <c r="T40" s="705" t="s">
        <v>14</v>
      </c>
      <c r="U40" s="706">
        <f t="shared" si="13"/>
        <v>100</v>
      </c>
      <c r="V40" s="705" t="s">
        <v>14</v>
      </c>
      <c r="W40" s="706">
        <f t="shared" si="14"/>
        <v>100</v>
      </c>
      <c r="X40" s="3451"/>
      <c r="Y40" s="3889"/>
      <c r="Z40" s="3452" t="str">
        <f t="shared" si="15"/>
        <v>单套建筑面积</v>
      </c>
      <c r="AA40" s="3455">
        <f t="shared" si="3"/>
        <v>1</v>
      </c>
      <c r="AB40" s="3455">
        <f t="shared" si="4"/>
        <v>1</v>
      </c>
      <c r="AC40" s="3455">
        <f t="shared" si="5"/>
        <v>1</v>
      </c>
    </row>
    <row r="41" spans="1:29" s="422" customFormat="1" ht="15.6" thickBot="1">
      <c r="A41" s="419"/>
      <c r="B41" s="3453" t="s">
        <v>1791</v>
      </c>
      <c r="C41" s="565" t="s">
        <v>3681</v>
      </c>
      <c r="D41" s="386">
        <v>100</v>
      </c>
      <c r="E41" s="565" t="s">
        <v>3681</v>
      </c>
      <c r="F41" s="412">
        <f>SUMIF(120:120,E41,121:121)-SUMIF(120:120,C41,121:121)+100</f>
        <v>100</v>
      </c>
      <c r="G41" s="565" t="s">
        <v>3681</v>
      </c>
      <c r="H41" s="386">
        <f>SUMIF(120:120,G41,121:121)-SUMIF(120:120,C41,121:121)+100</f>
        <v>100</v>
      </c>
      <c r="I41" s="565" t="s">
        <v>3681</v>
      </c>
      <c r="J41" s="386">
        <f>SUMIF(120:120,I41,121:121)-SUMIF(120:120,C41,121:121)+100</f>
        <v>100</v>
      </c>
      <c r="K41" s="561">
        <v>1</v>
      </c>
      <c r="L41" s="2721"/>
      <c r="M41" s="2723"/>
      <c r="N41" s="2723"/>
      <c r="O41" s="2723"/>
      <c r="P41" s="3887"/>
      <c r="Q41" s="707" t="str">
        <f t="shared" si="11"/>
        <v>进深比</v>
      </c>
      <c r="R41" s="708" t="s">
        <v>14</v>
      </c>
      <c r="S41" s="709">
        <f t="shared" si="12"/>
        <v>100</v>
      </c>
      <c r="T41" s="708" t="s">
        <v>14</v>
      </c>
      <c r="U41" s="709">
        <f t="shared" si="13"/>
        <v>100</v>
      </c>
      <c r="V41" s="708" t="s">
        <v>14</v>
      </c>
      <c r="W41" s="709">
        <f t="shared" si="14"/>
        <v>100</v>
      </c>
      <c r="X41" s="710"/>
      <c r="Y41" s="3889"/>
      <c r="Z41" s="711" t="str">
        <f t="shared" si="15"/>
        <v>进深比</v>
      </c>
      <c r="AA41" s="3455">
        <f t="shared" si="3"/>
        <v>1</v>
      </c>
      <c r="AB41" s="3455">
        <f t="shared" si="4"/>
        <v>1</v>
      </c>
      <c r="AC41" s="3455">
        <f t="shared" si="5"/>
        <v>1</v>
      </c>
    </row>
    <row r="42" spans="1:29" ht="15" hidden="1">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887"/>
      <c r="Q42" s="3454" t="str">
        <f t="shared" si="11"/>
        <v>内部装修</v>
      </c>
      <c r="R42" s="705" t="s">
        <v>14</v>
      </c>
      <c r="S42" s="706">
        <f t="shared" si="12"/>
        <v>100</v>
      </c>
      <c r="T42" s="705" t="s">
        <v>14</v>
      </c>
      <c r="U42" s="706">
        <f t="shared" si="13"/>
        <v>100</v>
      </c>
      <c r="V42" s="705" t="s">
        <v>14</v>
      </c>
      <c r="W42" s="706">
        <f t="shared" si="14"/>
        <v>100</v>
      </c>
      <c r="X42" s="3451"/>
      <c r="Y42" s="3889"/>
      <c r="Z42" s="3452" t="str">
        <f t="shared" si="15"/>
        <v>内部装修</v>
      </c>
      <c r="AA42" s="3455">
        <f t="shared" si="3"/>
        <v>1</v>
      </c>
      <c r="AB42" s="3455">
        <f t="shared" si="4"/>
        <v>1</v>
      </c>
      <c r="AC42" s="3455">
        <f t="shared" si="5"/>
        <v>1</v>
      </c>
    </row>
    <row r="43" spans="1:29" ht="29.4" hidden="1" thickBot="1">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887"/>
      <c r="Q43" s="3454" t="str">
        <f t="shared" si="11"/>
        <v>内部装修维护情况</v>
      </c>
      <c r="R43" s="705" t="s">
        <v>14</v>
      </c>
      <c r="S43" s="706">
        <f t="shared" si="12"/>
        <v>100</v>
      </c>
      <c r="T43" s="705" t="s">
        <v>14</v>
      </c>
      <c r="U43" s="706">
        <f t="shared" si="13"/>
        <v>100</v>
      </c>
      <c r="V43" s="705" t="s">
        <v>14</v>
      </c>
      <c r="W43" s="706">
        <f t="shared" si="14"/>
        <v>100</v>
      </c>
      <c r="X43" s="3451"/>
      <c r="Y43" s="3889"/>
      <c r="Z43" s="3452" t="str">
        <f t="shared" si="15"/>
        <v>内部装修维护情况</v>
      </c>
      <c r="AA43" s="3455">
        <f t="shared" si="3"/>
        <v>1</v>
      </c>
      <c r="AB43" s="3455">
        <f t="shared" si="4"/>
        <v>1</v>
      </c>
      <c r="AC43" s="3455">
        <f t="shared" si="5"/>
        <v>1</v>
      </c>
    </row>
    <row r="44" spans="1:29" s="108" customFormat="1" ht="15" hidden="1">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887"/>
      <c r="Q44" s="3450">
        <f t="shared" si="11"/>
        <v>111</v>
      </c>
      <c r="R44" s="701" t="s">
        <v>14</v>
      </c>
      <c r="S44" s="702">
        <f t="shared" si="12"/>
        <v>100</v>
      </c>
      <c r="T44" s="701" t="s">
        <v>14</v>
      </c>
      <c r="U44" s="702">
        <f t="shared" si="13"/>
        <v>100</v>
      </c>
      <c r="V44" s="701" t="s">
        <v>14</v>
      </c>
      <c r="W44" s="702">
        <f t="shared" si="14"/>
        <v>100</v>
      </c>
      <c r="X44" s="703"/>
      <c r="Y44" s="3889"/>
      <c r="Z44" s="3449">
        <f t="shared" si="15"/>
        <v>111</v>
      </c>
      <c r="AA44" s="704">
        <f t="shared" si="3"/>
        <v>1</v>
      </c>
      <c r="AB44" s="704">
        <f t="shared" si="4"/>
        <v>1</v>
      </c>
      <c r="AC44" s="704">
        <f t="shared" si="5"/>
        <v>1</v>
      </c>
    </row>
    <row r="45" spans="1:29" ht="15" hidden="1">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887"/>
      <c r="Q45" s="3454">
        <f t="shared" si="11"/>
        <v>111</v>
      </c>
      <c r="R45" s="705" t="s">
        <v>14</v>
      </c>
      <c r="S45" s="706">
        <f t="shared" si="12"/>
        <v>100</v>
      </c>
      <c r="T45" s="705" t="s">
        <v>14</v>
      </c>
      <c r="U45" s="706">
        <f t="shared" si="13"/>
        <v>100</v>
      </c>
      <c r="V45" s="705" t="s">
        <v>14</v>
      </c>
      <c r="W45" s="706">
        <f t="shared" si="14"/>
        <v>100</v>
      </c>
      <c r="X45" s="3451"/>
      <c r="Y45" s="3889"/>
      <c r="Z45" s="3452">
        <f t="shared" si="15"/>
        <v>111</v>
      </c>
      <c r="AA45" s="3455">
        <f t="shared" si="3"/>
        <v>1</v>
      </c>
      <c r="AB45" s="3455">
        <f t="shared" si="4"/>
        <v>1</v>
      </c>
      <c r="AC45" s="3455">
        <f t="shared" si="5"/>
        <v>1</v>
      </c>
    </row>
    <row r="46" spans="1:29" ht="15.6" hidden="1"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888"/>
      <c r="Q46" s="3454">
        <f t="shared" si="11"/>
        <v>111</v>
      </c>
      <c r="R46" s="705" t="s">
        <v>14</v>
      </c>
      <c r="S46" s="706">
        <f t="shared" si="12"/>
        <v>100</v>
      </c>
      <c r="T46" s="705" t="s">
        <v>14</v>
      </c>
      <c r="U46" s="706">
        <f t="shared" si="13"/>
        <v>100</v>
      </c>
      <c r="V46" s="705" t="s">
        <v>14</v>
      </c>
      <c r="W46" s="706">
        <f t="shared" si="14"/>
        <v>100</v>
      </c>
      <c r="X46" s="3451"/>
      <c r="Y46" s="3890"/>
      <c r="Z46" s="3452">
        <f t="shared" si="15"/>
        <v>111</v>
      </c>
      <c r="AA46" s="3455">
        <f t="shared" si="3"/>
        <v>1</v>
      </c>
      <c r="AB46" s="3455">
        <f t="shared" si="4"/>
        <v>1</v>
      </c>
      <c r="AC46" s="3455">
        <f t="shared" si="5"/>
        <v>1</v>
      </c>
    </row>
    <row r="47" spans="1:29" ht="14.4">
      <c r="A47" s="430" t="s">
        <v>1708</v>
      </c>
      <c r="B47" s="431"/>
      <c r="C47" s="1154" t="s">
        <v>0</v>
      </c>
      <c r="D47" s="1155"/>
      <c r="E47" s="1156">
        <v>39050</v>
      </c>
      <c r="F47" s="1157"/>
      <c r="G47" s="1158">
        <v>37680</v>
      </c>
      <c r="H47" s="1159"/>
      <c r="I47" s="1156">
        <v>43183</v>
      </c>
      <c r="J47" s="1159"/>
      <c r="K47" s="714"/>
      <c r="L47" s="2724"/>
      <c r="M47" s="2725"/>
      <c r="N47" s="2716"/>
      <c r="O47" s="2725"/>
      <c r="P47" s="3891" t="str">
        <f>A47</f>
        <v>成交单价（元/平方米）</v>
      </c>
      <c r="Q47" s="3891"/>
      <c r="R47" s="3877">
        <f>E47</f>
        <v>39050</v>
      </c>
      <c r="S47" s="3877"/>
      <c r="T47" s="3877">
        <f>G47</f>
        <v>37680</v>
      </c>
      <c r="U47" s="3877"/>
      <c r="V47" s="3877">
        <f>I47</f>
        <v>43183</v>
      </c>
      <c r="W47" s="3877"/>
      <c r="X47" s="690"/>
      <c r="Y47" s="712"/>
      <c r="Z47" s="690"/>
      <c r="AA47" s="690"/>
      <c r="AB47" s="690"/>
      <c r="AC47" s="690"/>
    </row>
    <row r="48" spans="1:29" ht="15" thickBot="1">
      <c r="A48" s="437" t="s">
        <v>1793</v>
      </c>
      <c r="B48" s="438"/>
      <c r="C48" s="1160">
        <f>R49</f>
        <v>37337.800000000003</v>
      </c>
      <c r="D48" s="2317" t="s">
        <v>2138</v>
      </c>
      <c r="E48" s="1161">
        <f>R48</f>
        <v>35379.1</v>
      </c>
      <c r="F48" s="2318"/>
      <c r="G48" s="1160">
        <f>T48</f>
        <v>35531.199999999997</v>
      </c>
      <c r="H48" s="2318"/>
      <c r="I48" s="1161">
        <f>V48</f>
        <v>41103.199999999997</v>
      </c>
      <c r="J48" s="2318"/>
      <c r="K48" s="2320">
        <f>F48+H48+J48</f>
        <v>0</v>
      </c>
      <c r="L48" s="2724"/>
      <c r="M48" s="2725"/>
      <c r="N48" s="2716"/>
      <c r="O48" s="2725"/>
      <c r="P48" s="3891" t="str">
        <f>A48</f>
        <v>比较价值（元/平方米）</v>
      </c>
      <c r="Q48" s="3891"/>
      <c r="R48" s="3892">
        <f>IF(F1="售价",ROUND(PRODUCT(R47,AA7:AA46),0),ROUND(PRODUCT(R47,AA7:AA46),1))</f>
        <v>35379.1</v>
      </c>
      <c r="S48" s="3892"/>
      <c r="T48" s="3892">
        <f>IF(F1="售价",ROUND(PRODUCT(T47,AB7:AB46),0),ROUND(PRODUCT(T47,AB7:AB46),1))</f>
        <v>35531.199999999997</v>
      </c>
      <c r="U48" s="3892"/>
      <c r="V48" s="3892">
        <f>IF(F1="售价",ROUND(PRODUCT(V47,AC7:AC46),0),ROUND(PRODUCT(V47,AC7:AC46),1))</f>
        <v>41103.199999999997</v>
      </c>
      <c r="W48" s="3892"/>
      <c r="X48" s="690"/>
      <c r="Y48" s="690"/>
      <c r="Z48" s="690"/>
      <c r="AA48" s="690"/>
      <c r="AB48" s="690"/>
      <c r="AC48" s="690"/>
    </row>
    <row r="49" spans="1:29" ht="15" thickBot="1">
      <c r="A49" s="441" t="s">
        <v>1794</v>
      </c>
      <c r="B49" s="442"/>
      <c r="C49" s="1163">
        <f>R49</f>
        <v>37337.800000000003</v>
      </c>
      <c r="D49" s="1163"/>
      <c r="E49" s="1163"/>
      <c r="F49" s="1163"/>
      <c r="G49" s="1163"/>
      <c r="H49" s="1163"/>
      <c r="I49" s="1163"/>
      <c r="J49" s="1163"/>
      <c r="K49" s="715"/>
      <c r="L49" s="2724"/>
      <c r="M49" s="2725"/>
      <c r="N49" s="2716"/>
      <c r="O49" s="2725"/>
      <c r="P49" s="3893" t="str">
        <f>A49</f>
        <v>估价对象XX用房的比较价值（楼面单价，元/平方米）</v>
      </c>
      <c r="Q49" s="3894"/>
      <c r="R49" s="3895">
        <f>IF(F1="售价",ROUND(IF(D48="简单平均",AVERAGE(R48:V48),R48*F48+T48*H48+V48*J48),0),ROUND(IF(D48="简单平均",AVERAGE(R48:V48),R48*F48+T48*H48+V48*J48),1))</f>
        <v>37337.800000000003</v>
      </c>
      <c r="S49" s="3895"/>
      <c r="T49" s="3895"/>
      <c r="U49" s="3895"/>
      <c r="V49" s="3895"/>
      <c r="W49" s="3895"/>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f>IF(E47&lt;E48,E48/E47-1,E47/E48-1)</f>
        <v>0.10375899895701135</v>
      </c>
      <c r="F52" s="449" t="str">
        <f>IF(OR(E52&gt;=0.3,E52&lt;=-0.3),"超过30%","")</f>
        <v/>
      </c>
      <c r="G52" s="448">
        <f>IF(G47&lt;G48,G48/G47-1,G47/G48-1)</f>
        <v>6.0476426352051194E-2</v>
      </c>
      <c r="H52" s="449" t="str">
        <f>IF(OR(G52&gt;=0.3,G52&lt;=-0.3),"超过30%","")</f>
        <v/>
      </c>
      <c r="I52" s="448">
        <f>IF(I47&lt;I48,I48/I47-1,I47/I48-1)</f>
        <v>5.0599466708188157E-2</v>
      </c>
      <c r="J52" s="449" t="str">
        <f>IF(OR(I52&gt;=0.3,I52&lt;=-0.3),"超过30%","")</f>
        <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f>IF(E48&lt;G48,G48/E48-1,E48/G48-1)</f>
        <v>4.2991483672563113E-3</v>
      </c>
      <c r="F53" s="449" t="str">
        <f>IF(OR(E53&gt;=0.2,E53&lt;=-0.2),"超过20%","")</f>
        <v/>
      </c>
      <c r="G53" s="448">
        <f>IF(G48&lt;I48,I48/G48-1,G48/I48-1)</f>
        <v>0.15681992164632774</v>
      </c>
      <c r="H53" s="449" t="str">
        <f>IF(OR(G53&gt;=0.2,G53&lt;=-0.2),"超过20%","")</f>
        <v/>
      </c>
      <c r="I53" s="448">
        <f>IF(I48&lt;E48,E48/I48-1,I48/E48-1)</f>
        <v>0.16179326212368306</v>
      </c>
      <c r="J53" s="449" t="str">
        <f>IF(OR(I53&gt;=0.2,I53&lt;=-0.2),"超过20%","")</f>
        <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f>IF(E47&lt;G47,G47/E47-1,E47/G47-1)</f>
        <v>3.6358811040339667E-2</v>
      </c>
      <c r="F54" s="449" t="str">
        <f>IF(OR(E54&gt;=0.3,E54&lt;=-0.3),"超过30%","")</f>
        <v/>
      </c>
      <c r="G54" s="448">
        <f>IF(G47&lt;I47,I47/G47-1,G47/I47-1)</f>
        <v>0.14604564755838645</v>
      </c>
      <c r="H54" s="449" t="str">
        <f>IF(OR(G54&gt;=0.3,G54&lt;=-0.3),"超过30%","")</f>
        <v/>
      </c>
      <c r="I54" s="448">
        <f>IF(I47&lt;E47,E47/I47-1,I47/E47-1)</f>
        <v>0.10583866837387967</v>
      </c>
      <c r="J54" s="449" t="str">
        <f>IF(OR(I54&gt;=0.3,I54&lt;=-0.3),"超过30%","")</f>
        <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2.2"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4.4">
      <c r="A58" s="454" t="s">
        <v>1679</v>
      </c>
      <c r="B58" s="455"/>
      <c r="C58" s="1184" t="str">
        <f>YEAR(C7)&amp;"-"&amp;MONTH(C7)</f>
        <v>2024-7</v>
      </c>
      <c r="D58" s="1185">
        <f>EDATE(C58,-1)</f>
        <v>45444</v>
      </c>
      <c r="E58" s="1185">
        <f t="shared" ref="E58:N58" si="16">EDATE(D58,-1)</f>
        <v>45413</v>
      </c>
      <c r="F58" s="1185">
        <f t="shared" si="16"/>
        <v>45383</v>
      </c>
      <c r="G58" s="1185">
        <f t="shared" si="16"/>
        <v>45352</v>
      </c>
      <c r="H58" s="1185">
        <f t="shared" si="16"/>
        <v>45323</v>
      </c>
      <c r="I58" s="1185">
        <f t="shared" si="16"/>
        <v>45292</v>
      </c>
      <c r="J58" s="1185">
        <f t="shared" si="16"/>
        <v>45261</v>
      </c>
      <c r="K58" s="1185">
        <f t="shared" si="16"/>
        <v>45231</v>
      </c>
      <c r="L58" s="1185">
        <f t="shared" si="16"/>
        <v>45200</v>
      </c>
      <c r="M58" s="1185">
        <f t="shared" si="16"/>
        <v>45170</v>
      </c>
      <c r="N58" s="1185">
        <f t="shared" si="16"/>
        <v>45139</v>
      </c>
      <c r="O58" s="1185">
        <f>EDATE(N58,-1)</f>
        <v>45108</v>
      </c>
      <c r="P58" s="2740"/>
      <c r="Q58" s="2741"/>
      <c r="R58" s="2741"/>
      <c r="S58" s="2741"/>
      <c r="T58" s="2741"/>
      <c r="U58" s="2741"/>
      <c r="V58" s="2741"/>
      <c r="W58" s="2741"/>
      <c r="X58" s="2741"/>
      <c r="Y58" s="2741"/>
      <c r="Z58" s="2741"/>
      <c r="AA58" s="2741"/>
      <c r="AB58" s="2741"/>
      <c r="AC58" s="2741"/>
    </row>
    <row r="59" spans="1:29" s="108" customFormat="1">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4.4">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4.4"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ht="14.4">
      <c r="A63" s="476" t="s">
        <v>1719</v>
      </c>
      <c r="B63" s="477" t="s">
        <v>1685</v>
      </c>
      <c r="C63" s="478" t="str">
        <f>C9</f>
        <v>商业</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4.4"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9.4"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4.4"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 thickTop="1">
      <c r="A67" s="483"/>
      <c r="B67" s="495" t="s">
        <v>1689</v>
      </c>
      <c r="C67" s="496" t="str">
        <f>C68&amp;"（含）"&amp;"-"&amp;D68</f>
        <v>0（含）-1</v>
      </c>
      <c r="D67" s="496" t="str">
        <f t="shared" ref="D67:L67" si="17">D68&amp;"（含）"&amp;"-"&amp;E68</f>
        <v>1（含）-2</v>
      </c>
      <c r="E67" s="496" t="str">
        <f t="shared" si="17"/>
        <v>2（含）-3</v>
      </c>
      <c r="F67" s="496" t="str">
        <f t="shared" si="17"/>
        <v>3（含）-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c r="A68" s="483"/>
      <c r="B68" s="497"/>
      <c r="C68" s="498">
        <v>0</v>
      </c>
      <c r="D68" s="498">
        <v>1</v>
      </c>
      <c r="E68" s="498">
        <v>2</v>
      </c>
      <c r="F68" s="498">
        <v>3</v>
      </c>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4.4" thickBot="1">
      <c r="A69" s="483"/>
      <c r="B69" s="484"/>
      <c r="C69" s="493">
        <v>100</v>
      </c>
      <c r="D69" s="493">
        <f t="shared" ref="D69:M69" si="18">C69-$K11</f>
        <v>98</v>
      </c>
      <c r="E69" s="493">
        <f t="shared" si="18"/>
        <v>96</v>
      </c>
      <c r="F69" s="493">
        <f t="shared" si="18"/>
        <v>94</v>
      </c>
      <c r="G69" s="493">
        <f t="shared" si="18"/>
        <v>92</v>
      </c>
      <c r="H69" s="493">
        <f t="shared" si="18"/>
        <v>90</v>
      </c>
      <c r="I69" s="493">
        <f t="shared" si="18"/>
        <v>88</v>
      </c>
      <c r="J69" s="493">
        <f t="shared" si="18"/>
        <v>86</v>
      </c>
      <c r="K69" s="493">
        <f t="shared" si="18"/>
        <v>84</v>
      </c>
      <c r="L69" s="493">
        <f t="shared" si="18"/>
        <v>82</v>
      </c>
      <c r="M69" s="494">
        <f t="shared" si="18"/>
        <v>80</v>
      </c>
      <c r="N69" s="2754"/>
      <c r="O69" s="2754"/>
      <c r="P69" s="2744"/>
      <c r="Q69" s="2739"/>
      <c r="R69" s="2725"/>
      <c r="S69" s="2725"/>
      <c r="T69" s="2725"/>
      <c r="U69" s="2725"/>
      <c r="V69" s="2725"/>
      <c r="W69" s="2725"/>
      <c r="X69" s="2725"/>
      <c r="Y69" s="2725"/>
      <c r="Z69" s="2725"/>
      <c r="AA69" s="2725"/>
      <c r="AB69" s="2725"/>
      <c r="AC69" s="2725"/>
    </row>
    <row r="70" spans="1:29" s="422" customFormat="1" ht="14.4"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4.4"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4.4"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4.4"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4.4"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4.4"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ht="14.4">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4.4" thickBot="1">
      <c r="A77" s="483"/>
      <c r="B77" s="492"/>
      <c r="C77" s="493">
        <v>100</v>
      </c>
      <c r="D77" s="493">
        <f>C77-$K15</f>
        <v>98</v>
      </c>
      <c r="E77" s="493">
        <f>D77-$K15</f>
        <v>96</v>
      </c>
      <c r="F77" s="493">
        <f>E77-$K15</f>
        <v>94</v>
      </c>
      <c r="G77" s="493">
        <f>F77-$K15</f>
        <v>92</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4.4" thickBot="1">
      <c r="A79" s="483"/>
      <c r="B79" s="492"/>
      <c r="C79" s="493">
        <v>100</v>
      </c>
      <c r="D79" s="493">
        <f>C79-$K17</f>
        <v>98</v>
      </c>
      <c r="E79" s="493">
        <f>D79-$K17</f>
        <v>96</v>
      </c>
      <c r="F79" s="493">
        <f>E79-$K17</f>
        <v>94</v>
      </c>
      <c r="G79" s="493">
        <f>F79-$K17</f>
        <v>92</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4.4" thickBot="1">
      <c r="A81" s="483"/>
      <c r="B81" s="492"/>
      <c r="C81" s="493">
        <v>100</v>
      </c>
      <c r="D81" s="493">
        <f>C81-$K19</f>
        <v>98</v>
      </c>
      <c r="E81" s="493">
        <f>D81-$K19</f>
        <v>96</v>
      </c>
      <c r="F81" s="493">
        <f>E81-$K19</f>
        <v>94</v>
      </c>
      <c r="G81" s="493">
        <f>F81-$K19</f>
        <v>92</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4.4" thickBot="1">
      <c r="A83" s="483"/>
      <c r="B83" s="495"/>
      <c r="C83" s="493">
        <v>100</v>
      </c>
      <c r="D83" s="493">
        <f>C83-$K21</f>
        <v>99</v>
      </c>
      <c r="E83" s="493">
        <f t="shared" ref="E83:G83" si="19">D83-$K21</f>
        <v>98</v>
      </c>
      <c r="F83" s="493">
        <f t="shared" si="19"/>
        <v>97</v>
      </c>
      <c r="G83" s="493">
        <f t="shared" si="19"/>
        <v>96</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4.4" thickBot="1">
      <c r="A85" s="483"/>
      <c r="B85" s="492"/>
      <c r="C85" s="493">
        <v>100</v>
      </c>
      <c r="D85" s="493">
        <f>C85-$K23</f>
        <v>98</v>
      </c>
      <c r="E85" s="493">
        <f>D85-$K23</f>
        <v>96</v>
      </c>
      <c r="F85" s="493">
        <f>E85-$K23</f>
        <v>94</v>
      </c>
      <c r="G85" s="493">
        <f>F85-$K23</f>
        <v>92</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 thickTop="1">
      <c r="A86" s="528"/>
      <c r="B86" s="487" t="s">
        <v>1804</v>
      </c>
      <c r="C86" s="3570" t="s">
        <v>3732</v>
      </c>
      <c r="D86" s="3570" t="s">
        <v>3734</v>
      </c>
      <c r="E86" s="3570" t="s">
        <v>3748</v>
      </c>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4.4" thickBot="1">
      <c r="A87" s="528"/>
      <c r="B87" s="492"/>
      <c r="C87" s="531">
        <v>100</v>
      </c>
      <c r="D87" s="493">
        <f t="shared" ref="D87:M87" si="20">C87-$K25</f>
        <v>97</v>
      </c>
      <c r="E87" s="493">
        <f t="shared" si="20"/>
        <v>94</v>
      </c>
      <c r="F87" s="493">
        <f t="shared" si="20"/>
        <v>91</v>
      </c>
      <c r="G87" s="493">
        <f t="shared" si="20"/>
        <v>88</v>
      </c>
      <c r="H87" s="493">
        <f t="shared" si="20"/>
        <v>85</v>
      </c>
      <c r="I87" s="493">
        <f t="shared" si="20"/>
        <v>82</v>
      </c>
      <c r="J87" s="493">
        <f t="shared" si="20"/>
        <v>79</v>
      </c>
      <c r="K87" s="493">
        <f t="shared" si="20"/>
        <v>76</v>
      </c>
      <c r="L87" s="493">
        <f t="shared" si="20"/>
        <v>73</v>
      </c>
      <c r="M87" s="493">
        <f t="shared" si="20"/>
        <v>70</v>
      </c>
      <c r="N87" s="2754"/>
      <c r="O87" s="2754"/>
      <c r="P87" s="2744"/>
      <c r="Q87" s="2739"/>
      <c r="R87" s="2661"/>
      <c r="S87" s="2661"/>
      <c r="T87" s="2661"/>
      <c r="U87" s="2661"/>
      <c r="V87" s="2661"/>
      <c r="W87" s="2661"/>
      <c r="X87" s="2661"/>
      <c r="Y87" s="2661"/>
      <c r="Z87" s="2661"/>
      <c r="AA87" s="2661"/>
      <c r="AB87" s="2661"/>
      <c r="AC87" s="2661"/>
    </row>
    <row r="88" spans="1:29" s="108" customFormat="1" ht="15" thickTop="1">
      <c r="A88" s="528"/>
      <c r="B88" s="487" t="str">
        <f>B26</f>
        <v>平面位置/可视性</v>
      </c>
      <c r="C88" s="3570" t="s">
        <v>3740</v>
      </c>
      <c r="D88" s="3570" t="s">
        <v>3735</v>
      </c>
      <c r="E88" s="3570" t="s">
        <v>3737</v>
      </c>
      <c r="F88" s="3570" t="s">
        <v>3738</v>
      </c>
      <c r="G88" s="3573" t="s">
        <v>3739</v>
      </c>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4.4" thickBot="1">
      <c r="A89" s="528"/>
      <c r="B89" s="492"/>
      <c r="C89" s="509">
        <v>100</v>
      </c>
      <c r="D89" s="509">
        <v>98</v>
      </c>
      <c r="E89" s="485">
        <v>96</v>
      </c>
      <c r="F89" s="485">
        <v>949</v>
      </c>
      <c r="G89" s="485">
        <v>92</v>
      </c>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 thickTop="1">
      <c r="A90" s="502"/>
      <c r="B90" s="487" t="str">
        <f>B27</f>
        <v>人流量</v>
      </c>
      <c r="C90" s="3570" t="s">
        <v>3741</v>
      </c>
      <c r="D90" s="3570" t="s">
        <v>3735</v>
      </c>
      <c r="E90" s="3570" t="s">
        <v>3737</v>
      </c>
      <c r="F90" s="3570" t="s">
        <v>3738</v>
      </c>
      <c r="G90" s="3573" t="s">
        <v>3739</v>
      </c>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4.4" thickBot="1">
      <c r="A91" s="502"/>
      <c r="B91" s="492"/>
      <c r="C91" s="531">
        <v>100</v>
      </c>
      <c r="D91" s="493">
        <f>C91-$K27</f>
        <v>98</v>
      </c>
      <c r="E91" s="493">
        <f t="shared" ref="E91:M91" si="21">D91-$K27</f>
        <v>96</v>
      </c>
      <c r="F91" s="493">
        <f t="shared" si="21"/>
        <v>94</v>
      </c>
      <c r="G91" s="493">
        <f t="shared" si="21"/>
        <v>92</v>
      </c>
      <c r="H91" s="493">
        <f t="shared" si="21"/>
        <v>90</v>
      </c>
      <c r="I91" s="493">
        <f t="shared" si="21"/>
        <v>88</v>
      </c>
      <c r="J91" s="493">
        <f t="shared" si="21"/>
        <v>86</v>
      </c>
      <c r="K91" s="493">
        <f t="shared" si="21"/>
        <v>84</v>
      </c>
      <c r="L91" s="493">
        <f t="shared" si="21"/>
        <v>82</v>
      </c>
      <c r="M91" s="493">
        <f t="shared" si="21"/>
        <v>80</v>
      </c>
      <c r="N91" s="2755"/>
      <c r="O91" s="2755"/>
      <c r="P91" s="2745"/>
      <c r="Q91" s="2746"/>
      <c r="R91" s="2747"/>
      <c r="S91" s="2747"/>
      <c r="T91" s="2747"/>
      <c r="U91" s="2747"/>
      <c r="V91" s="2747"/>
      <c r="W91" s="2747"/>
      <c r="X91" s="2747"/>
      <c r="Y91" s="2747"/>
      <c r="Z91" s="2747"/>
      <c r="AA91" s="2747"/>
      <c r="AB91" s="2747"/>
      <c r="AC91" s="2747"/>
    </row>
    <row r="92" spans="1:29" ht="15" thickTop="1">
      <c r="A92" s="483"/>
      <c r="B92" s="487" t="str">
        <f>B28</f>
        <v>楼层</v>
      </c>
      <c r="C92" s="503" t="s">
        <v>3742</v>
      </c>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4.4" thickBot="1">
      <c r="A93" s="483"/>
      <c r="B93" s="492"/>
      <c r="C93" s="485">
        <v>100</v>
      </c>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4.4"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4.4"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4.4"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4.4"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4.4"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4.4"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ht="14.4">
      <c r="A100" s="476" t="s">
        <v>1694</v>
      </c>
      <c r="B100" s="477" t="s">
        <v>1805</v>
      </c>
      <c r="C100" s="3572" t="s">
        <v>3724</v>
      </c>
      <c r="D100" s="3572" t="s">
        <v>3726</v>
      </c>
      <c r="E100" s="3572" t="s">
        <v>3729</v>
      </c>
      <c r="F100" s="3572" t="s">
        <v>3727</v>
      </c>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4.4" thickBot="1">
      <c r="A101" s="483"/>
      <c r="B101" s="492"/>
      <c r="C101" s="493">
        <v>100</v>
      </c>
      <c r="D101" s="493">
        <f t="shared" ref="D101:M101" si="22">C101-$K32</f>
        <v>97</v>
      </c>
      <c r="E101" s="493">
        <f t="shared" si="22"/>
        <v>94</v>
      </c>
      <c r="F101" s="493">
        <f t="shared" si="22"/>
        <v>91</v>
      </c>
      <c r="G101" s="493">
        <f t="shared" si="22"/>
        <v>88</v>
      </c>
      <c r="H101" s="493">
        <f t="shared" si="22"/>
        <v>85</v>
      </c>
      <c r="I101" s="493">
        <f t="shared" si="22"/>
        <v>82</v>
      </c>
      <c r="J101" s="493">
        <f t="shared" si="22"/>
        <v>79</v>
      </c>
      <c r="K101" s="493">
        <f t="shared" si="22"/>
        <v>76</v>
      </c>
      <c r="L101" s="493">
        <f t="shared" si="22"/>
        <v>73</v>
      </c>
      <c r="M101" s="494">
        <f t="shared" si="22"/>
        <v>70</v>
      </c>
      <c r="N101" s="2754"/>
      <c r="O101" s="2754"/>
      <c r="P101" s="2744"/>
      <c r="Q101" s="2739"/>
      <c r="R101" s="2725"/>
      <c r="S101" s="2725"/>
      <c r="T101" s="2725"/>
      <c r="U101" s="2725"/>
      <c r="V101" s="2725"/>
      <c r="W101" s="2725"/>
      <c r="X101" s="2725"/>
      <c r="Y101" s="2725"/>
      <c r="Z101" s="2725"/>
      <c r="AA101" s="2725"/>
      <c r="AB101" s="2725"/>
      <c r="AC101" s="2725"/>
    </row>
    <row r="102" spans="1:29" ht="28.2" thickTop="1">
      <c r="A102" s="483"/>
      <c r="B102" s="487" t="s">
        <v>1737</v>
      </c>
      <c r="C102" s="527" t="str">
        <f>C103&amp;"(含)"&amp;"-"&amp;D103</f>
        <v>0(含)-500</v>
      </c>
      <c r="D102" s="527" t="str">
        <f t="shared" ref="D102:L102" si="23">D103&amp;"(含)"&amp;"-"&amp;E103</f>
        <v>500(含)-1000</v>
      </c>
      <c r="E102" s="527" t="str">
        <f t="shared" si="23"/>
        <v>1000(含)-1500</v>
      </c>
      <c r="F102" s="527" t="str">
        <f t="shared" si="23"/>
        <v>1500(含)-2000</v>
      </c>
      <c r="G102" s="527" t="str">
        <f t="shared" si="23"/>
        <v>2000(含)-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v>0</v>
      </c>
      <c r="D103" s="544">
        <v>500</v>
      </c>
      <c r="E103" s="544">
        <v>1000</v>
      </c>
      <c r="F103" s="544">
        <v>1500</v>
      </c>
      <c r="G103" s="544">
        <v>2000</v>
      </c>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4.4" thickBot="1">
      <c r="A104" s="502"/>
      <c r="B104" s="492"/>
      <c r="C104" s="509">
        <v>100</v>
      </c>
      <c r="D104" s="485">
        <v>98</v>
      </c>
      <c r="E104" s="485">
        <v>96</v>
      </c>
      <c r="F104" s="485">
        <v>94</v>
      </c>
      <c r="G104" s="485">
        <v>92</v>
      </c>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3570" t="s">
        <v>3750</v>
      </c>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4.4" thickBot="1">
      <c r="A106" s="483"/>
      <c r="B106" s="492"/>
      <c r="C106" s="493">
        <v>100</v>
      </c>
      <c r="D106" s="493">
        <f t="shared" ref="D106:M106" si="24">C106-$K34</f>
        <v>98</v>
      </c>
      <c r="E106" s="493">
        <f t="shared" si="24"/>
        <v>96</v>
      </c>
      <c r="F106" s="493">
        <f t="shared" si="24"/>
        <v>94</v>
      </c>
      <c r="G106" s="493">
        <f t="shared" si="24"/>
        <v>92</v>
      </c>
      <c r="H106" s="493">
        <f t="shared" si="24"/>
        <v>90</v>
      </c>
      <c r="I106" s="493">
        <f t="shared" si="24"/>
        <v>88</v>
      </c>
      <c r="J106" s="493">
        <f t="shared" si="24"/>
        <v>86</v>
      </c>
      <c r="K106" s="493">
        <f t="shared" si="24"/>
        <v>84</v>
      </c>
      <c r="L106" s="493">
        <f t="shared" si="24"/>
        <v>82</v>
      </c>
      <c r="M106" s="494">
        <f t="shared" si="24"/>
        <v>80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3570" t="s">
        <v>3751</v>
      </c>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4.4" thickBot="1">
      <c r="A108" s="483"/>
      <c r="B108" s="492"/>
      <c r="C108" s="493">
        <v>100</v>
      </c>
      <c r="D108" s="493">
        <f t="shared" ref="D108:M108" si="25">C108-$K35</f>
        <v>98</v>
      </c>
      <c r="E108" s="493">
        <f t="shared" si="25"/>
        <v>96</v>
      </c>
      <c r="F108" s="493">
        <f t="shared" si="25"/>
        <v>94</v>
      </c>
      <c r="G108" s="493">
        <f t="shared" si="25"/>
        <v>92</v>
      </c>
      <c r="H108" s="493">
        <f t="shared" si="25"/>
        <v>90</v>
      </c>
      <c r="I108" s="493">
        <f t="shared" si="25"/>
        <v>88</v>
      </c>
      <c r="J108" s="493">
        <f t="shared" si="25"/>
        <v>86</v>
      </c>
      <c r="K108" s="493">
        <f t="shared" si="25"/>
        <v>84</v>
      </c>
      <c r="L108" s="493">
        <f t="shared" si="25"/>
        <v>82</v>
      </c>
      <c r="M108" s="494">
        <f t="shared" si="25"/>
        <v>80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4.4" thickBot="1">
      <c r="A111" s="483"/>
      <c r="B111" s="492"/>
      <c r="C111" s="531">
        <v>100</v>
      </c>
      <c r="D111" s="493">
        <f>C111+$K36</f>
        <v>101</v>
      </c>
      <c r="E111" s="493">
        <f t="shared" ref="E111:M111" si="26">D111+$K36</f>
        <v>102</v>
      </c>
      <c r="F111" s="493">
        <f t="shared" si="26"/>
        <v>103</v>
      </c>
      <c r="G111" s="493">
        <f t="shared" si="26"/>
        <v>104</v>
      </c>
      <c r="H111" s="493">
        <f t="shared" si="26"/>
        <v>105</v>
      </c>
      <c r="I111" s="493">
        <f t="shared" si="26"/>
        <v>106</v>
      </c>
      <c r="J111" s="493">
        <f t="shared" si="26"/>
        <v>107</v>
      </c>
      <c r="K111" s="493">
        <f t="shared" si="26"/>
        <v>108</v>
      </c>
      <c r="L111" s="493">
        <f t="shared" si="26"/>
        <v>109</v>
      </c>
      <c r="M111" s="493">
        <f t="shared" si="26"/>
        <v>110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3570" t="s">
        <v>3756</v>
      </c>
      <c r="D112" s="3570" t="s">
        <v>3757</v>
      </c>
      <c r="E112" s="3570" t="s">
        <v>3759</v>
      </c>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4.4" thickBot="1">
      <c r="A113" s="502"/>
      <c r="B113" s="492"/>
      <c r="C113" s="493">
        <v>100</v>
      </c>
      <c r="D113" s="493">
        <f>C113-$K37</f>
        <v>99</v>
      </c>
      <c r="E113" s="493">
        <f t="shared" ref="E113:M113" si="27">D113-$K37</f>
        <v>98</v>
      </c>
      <c r="F113" s="493">
        <f t="shared" si="27"/>
        <v>97</v>
      </c>
      <c r="G113" s="493">
        <f t="shared" si="27"/>
        <v>96</v>
      </c>
      <c r="H113" s="493">
        <f t="shared" si="27"/>
        <v>95</v>
      </c>
      <c r="I113" s="493">
        <f t="shared" si="27"/>
        <v>94</v>
      </c>
      <c r="J113" s="493">
        <f t="shared" si="27"/>
        <v>93</v>
      </c>
      <c r="K113" s="493">
        <f t="shared" si="27"/>
        <v>92</v>
      </c>
      <c r="L113" s="493">
        <f t="shared" si="27"/>
        <v>91</v>
      </c>
      <c r="M113" s="493">
        <f t="shared" si="27"/>
        <v>90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4.4"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3570" t="s">
        <v>3754</v>
      </c>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4.4" thickBot="1">
      <c r="A117" s="483"/>
      <c r="B117" s="492"/>
      <c r="C117" s="493">
        <v>100</v>
      </c>
      <c r="D117" s="493">
        <f>C117-$K39</f>
        <v>99</v>
      </c>
      <c r="E117" s="493">
        <f>D117-$K39</f>
        <v>98</v>
      </c>
      <c r="F117" s="493">
        <f>E117-$K39</f>
        <v>97</v>
      </c>
      <c r="G117" s="493">
        <f>F117-$K39</f>
        <v>96</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4.4"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3575" t="s">
        <v>3752</v>
      </c>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4.4" thickBot="1">
      <c r="A121" s="502"/>
      <c r="B121" s="484"/>
      <c r="C121" s="531">
        <v>100</v>
      </c>
      <c r="D121" s="493">
        <f>C121-$K41</f>
        <v>99</v>
      </c>
      <c r="E121" s="493">
        <f t="shared" ref="E121:M121" si="29">D121-$K41</f>
        <v>98</v>
      </c>
      <c r="F121" s="493">
        <f t="shared" si="29"/>
        <v>97</v>
      </c>
      <c r="G121" s="493">
        <f t="shared" si="29"/>
        <v>96</v>
      </c>
      <c r="H121" s="493">
        <f t="shared" si="29"/>
        <v>95</v>
      </c>
      <c r="I121" s="493">
        <f t="shared" si="29"/>
        <v>94</v>
      </c>
      <c r="J121" s="493">
        <f t="shared" si="29"/>
        <v>93</v>
      </c>
      <c r="K121" s="493">
        <f t="shared" si="29"/>
        <v>92</v>
      </c>
      <c r="L121" s="493">
        <f t="shared" si="29"/>
        <v>91</v>
      </c>
      <c r="M121" s="494">
        <f t="shared" si="29"/>
        <v>90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4.4"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29.4"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4.4"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4.4"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4.4"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4.4"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4.4"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4.4"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4.4"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34" type="noConversion"/>
  <conditionalFormatting sqref="F52 H52">
    <cfRule type="containsText" dxfId="206" priority="20" stopIfTrue="1" operator="containsText" text="超过">
      <formula>NOT(ISERROR(SEARCH("超过",F52)))</formula>
    </cfRule>
  </conditionalFormatting>
  <conditionalFormatting sqref="H54">
    <cfRule type="containsText" dxfId="205" priority="19" stopIfTrue="1" operator="containsText" text="超过">
      <formula>NOT(ISERROR(SEARCH("超过",H54)))</formula>
    </cfRule>
  </conditionalFormatting>
  <conditionalFormatting sqref="F54">
    <cfRule type="containsText" dxfId="204" priority="18" stopIfTrue="1" operator="containsText" text="超过">
      <formula>NOT(ISERROR(SEARCH("超过",F54)))</formula>
    </cfRule>
  </conditionalFormatting>
  <conditionalFormatting sqref="F53 H53">
    <cfRule type="containsText" dxfId="203" priority="17" stopIfTrue="1" operator="containsText" text="超过">
      <formula>NOT(ISERROR(SEARCH("超过",F53)))</formula>
    </cfRule>
  </conditionalFormatting>
  <conditionalFormatting sqref="E52">
    <cfRule type="expression" dxfId="202" priority="16" stopIfTrue="1">
      <formula>$F$52="超过30%"</formula>
    </cfRule>
  </conditionalFormatting>
  <conditionalFormatting sqref="E53">
    <cfRule type="expression" dxfId="201" priority="15" stopIfTrue="1">
      <formula>$F$53="超过20%"</formula>
    </cfRule>
  </conditionalFormatting>
  <conditionalFormatting sqref="E54">
    <cfRule type="expression" dxfId="200" priority="14" stopIfTrue="1">
      <formula>$F$54="超过30%"</formula>
    </cfRule>
  </conditionalFormatting>
  <conditionalFormatting sqref="G54">
    <cfRule type="expression" dxfId="199" priority="13" stopIfTrue="1">
      <formula>$H$54="超过30%"</formula>
    </cfRule>
  </conditionalFormatting>
  <conditionalFormatting sqref="G52">
    <cfRule type="expression" dxfId="198" priority="12" stopIfTrue="1">
      <formula>$H$52="超过30%"</formula>
    </cfRule>
  </conditionalFormatting>
  <conditionalFormatting sqref="G53">
    <cfRule type="expression" dxfId="197" priority="11" stopIfTrue="1">
      <formula>$H$53="超过20%"</formula>
    </cfRule>
  </conditionalFormatting>
  <conditionalFormatting sqref="J52">
    <cfRule type="containsText" dxfId="196" priority="10" stopIfTrue="1" operator="containsText" text="超过">
      <formula>NOT(ISERROR(SEARCH("超过",J52)))</formula>
    </cfRule>
  </conditionalFormatting>
  <conditionalFormatting sqref="J54">
    <cfRule type="containsText" dxfId="195" priority="9" stopIfTrue="1" operator="containsText" text="超过">
      <formula>NOT(ISERROR(SEARCH("超过",J54)))</formula>
    </cfRule>
  </conditionalFormatting>
  <conditionalFormatting sqref="J53">
    <cfRule type="containsText" dxfId="194" priority="8" stopIfTrue="1" operator="containsText" text="超过">
      <formula>NOT(ISERROR(SEARCH("超过",J53)))</formula>
    </cfRule>
  </conditionalFormatting>
  <conditionalFormatting sqref="I52">
    <cfRule type="expression" dxfId="193" priority="7" stopIfTrue="1">
      <formula>$J$52="超过30%"</formula>
    </cfRule>
  </conditionalFormatting>
  <conditionalFormatting sqref="I53">
    <cfRule type="expression" dxfId="192" priority="6" stopIfTrue="1">
      <formula>$J$53="超过20%"</formula>
    </cfRule>
  </conditionalFormatting>
  <conditionalFormatting sqref="I54">
    <cfRule type="expression" dxfId="191" priority="5" stopIfTrue="1">
      <formula>$J$54="超过30%"</formula>
    </cfRule>
  </conditionalFormatting>
  <conditionalFormatting sqref="F48">
    <cfRule type="expression" dxfId="190" priority="4">
      <formula>$D$48="简单平均"</formula>
    </cfRule>
  </conditionalFormatting>
  <conditionalFormatting sqref="H48">
    <cfRule type="expression" dxfId="189" priority="3">
      <formula>$D$48="简单平均"</formula>
    </cfRule>
  </conditionalFormatting>
  <conditionalFormatting sqref="J48">
    <cfRule type="expression" dxfId="188" priority="2">
      <formula>$D$48="简单平均"</formula>
    </cfRule>
  </conditionalFormatting>
  <conditionalFormatting sqref="F7:F46 H7:H46 J7:J46">
    <cfRule type="cellIs" dxfId="187"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8">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79998168889431442"/>
  </sheetPr>
  <dimension ref="A1"/>
  <sheetViews>
    <sheetView topLeftCell="A46" zoomScaleNormal="100" workbookViewId="0">
      <selection activeCell="Q18" sqref="Q18"/>
    </sheetView>
  </sheetViews>
  <sheetFormatPr defaultRowHeight="14.4"/>
  <sheetData/>
  <phoneticPr fontId="134" type="noConversion"/>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15" zoomScale="80" zoomScaleNormal="70" zoomScaleSheetLayoutView="80" workbookViewId="0">
      <selection activeCell="G36" sqref="G36"/>
    </sheetView>
  </sheetViews>
  <sheetFormatPr defaultColWidth="9" defaultRowHeight="13.8"/>
  <cols>
    <col min="1" max="1" width="10.44140625" style="357" customWidth="1"/>
    <col min="2" max="2" width="15.77734375" style="357" customWidth="1"/>
    <col min="3" max="3" width="15.10937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1916"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3" customFormat="1" ht="28.5" customHeight="1" thickBot="1">
      <c r="A1" s="1222" t="s">
        <v>1660</v>
      </c>
      <c r="B1" s="1878" t="s">
        <v>1766</v>
      </c>
      <c r="C1" s="1238" t="s">
        <v>1662</v>
      </c>
      <c r="D1" s="1225"/>
      <c r="E1" s="3426"/>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2414.4300000000003</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4.4">
      <c r="A4" s="355" t="s">
        <v>1769</v>
      </c>
      <c r="B4" s="356"/>
      <c r="C4" s="3853" t="s">
        <v>1770</v>
      </c>
      <c r="D4" s="3854"/>
      <c r="E4" s="3855" t="s">
        <v>1771</v>
      </c>
      <c r="F4" s="3856"/>
      <c r="G4" s="3853" t="s">
        <v>1772</v>
      </c>
      <c r="H4" s="3854"/>
      <c r="I4" s="3853" t="s">
        <v>1773</v>
      </c>
      <c r="J4" s="3854"/>
      <c r="K4" s="559" t="s">
        <v>1774</v>
      </c>
      <c r="L4" s="2715"/>
      <c r="M4" s="2716"/>
      <c r="N4" s="2716"/>
      <c r="O4" s="2716"/>
      <c r="P4" s="3857" t="s">
        <v>1775</v>
      </c>
      <c r="Q4" s="3858"/>
      <c r="R4" s="3863" t="s">
        <v>1771</v>
      </c>
      <c r="S4" s="3864"/>
      <c r="T4" s="3863" t="s">
        <v>1772</v>
      </c>
      <c r="U4" s="3864"/>
      <c r="V4" s="3877" t="s">
        <v>1773</v>
      </c>
      <c r="W4" s="3877"/>
      <c r="X4" s="1355"/>
      <c r="Y4" s="3863" t="s">
        <v>1775</v>
      </c>
      <c r="Z4" s="3864"/>
      <c r="AA4" s="3850" t="s">
        <v>1771</v>
      </c>
      <c r="AB4" s="3877" t="s">
        <v>1772</v>
      </c>
      <c r="AC4" s="3850" t="s">
        <v>1773</v>
      </c>
    </row>
    <row r="5" spans="1:29">
      <c r="A5" s="358"/>
      <c r="B5" s="359"/>
      <c r="C5" s="3896" t="str">
        <f>'售价比较法-商业'!C5:D5</f>
        <v>启迪科技大厦</v>
      </c>
      <c r="D5" s="3868"/>
      <c r="E5" s="3869" t="s">
        <v>3868</v>
      </c>
      <c r="F5" s="3870"/>
      <c r="G5" s="3867" t="s">
        <v>3730</v>
      </c>
      <c r="H5" s="3868"/>
      <c r="I5" s="3867" t="s">
        <v>3867</v>
      </c>
      <c r="J5" s="3868"/>
      <c r="K5" s="559"/>
      <c r="L5" s="2715"/>
      <c r="M5" s="2716"/>
      <c r="N5" s="2716"/>
      <c r="O5" s="2716"/>
      <c r="P5" s="3859"/>
      <c r="Q5" s="3860"/>
      <c r="R5" s="3865"/>
      <c r="S5" s="3866"/>
      <c r="T5" s="3865"/>
      <c r="U5" s="3866"/>
      <c r="V5" s="3877"/>
      <c r="W5" s="3877"/>
      <c r="X5" s="1355"/>
      <c r="Y5" s="3865"/>
      <c r="Z5" s="3866"/>
      <c r="AA5" s="3851"/>
      <c r="AB5" s="3877"/>
      <c r="AC5" s="3851"/>
    </row>
    <row r="6" spans="1:29" ht="15" thickBot="1">
      <c r="A6" s="360"/>
      <c r="B6" s="361"/>
      <c r="C6" s="3871" t="s">
        <v>1677</v>
      </c>
      <c r="D6" s="3872"/>
      <c r="E6" s="3873" t="s">
        <v>1677</v>
      </c>
      <c r="F6" s="3874"/>
      <c r="G6" s="3871" t="s">
        <v>1677</v>
      </c>
      <c r="H6" s="3872"/>
      <c r="I6" s="3871" t="s">
        <v>1677</v>
      </c>
      <c r="J6" s="3872"/>
      <c r="K6" s="559" t="s">
        <v>1678</v>
      </c>
      <c r="L6" s="2715"/>
      <c r="M6" s="2716"/>
      <c r="N6" s="2716"/>
      <c r="O6" s="2716"/>
      <c r="P6" s="3861"/>
      <c r="Q6" s="3862"/>
      <c r="R6" s="3865"/>
      <c r="S6" s="3866"/>
      <c r="T6" s="3875"/>
      <c r="U6" s="3876"/>
      <c r="V6" s="3877"/>
      <c r="W6" s="3877"/>
      <c r="X6" s="1355"/>
      <c r="Y6" s="3875"/>
      <c r="Z6" s="3876"/>
      <c r="AA6" s="3852"/>
      <c r="AB6" s="3877"/>
      <c r="AC6" s="3852"/>
    </row>
    <row r="7" spans="1:29" s="108" customFormat="1" ht="15" thickBot="1">
      <c r="A7" s="362" t="s">
        <v>1679</v>
      </c>
      <c r="B7" s="363"/>
      <c r="C7" s="364">
        <f>'数据-取费表'!B2</f>
        <v>45478</v>
      </c>
      <c r="D7" s="365">
        <v>100</v>
      </c>
      <c r="E7" s="366">
        <f>C7</f>
        <v>45478</v>
      </c>
      <c r="F7" s="367">
        <f>SUMIF(58:58,YEAR(E7)&amp;"-"&amp;MONTH(E7),59:59)</f>
        <v>100</v>
      </c>
      <c r="G7" s="366">
        <f>C7</f>
        <v>45478</v>
      </c>
      <c r="H7" s="365">
        <f>SUMIF(58:58,YEAR(G7)&amp;"-"&amp;MONTH(G7),59:59)</f>
        <v>100</v>
      </c>
      <c r="I7" s="366">
        <f>C7</f>
        <v>45478</v>
      </c>
      <c r="J7" s="365">
        <f>SUMIF(58:58,YEAR(I7)&amp;"-"&amp;MONTH(I7),59:59)</f>
        <v>100</v>
      </c>
      <c r="K7" s="560"/>
      <c r="L7" s="2717"/>
      <c r="M7" s="2718"/>
      <c r="N7" s="2718"/>
      <c r="O7" s="2718"/>
      <c r="P7" s="3878" t="s">
        <v>1680</v>
      </c>
      <c r="Q7" s="3879"/>
      <c r="R7" s="701" t="s">
        <v>14</v>
      </c>
      <c r="S7" s="702">
        <f t="shared" ref="S7:S15" si="0">F7</f>
        <v>100</v>
      </c>
      <c r="T7" s="701" t="s">
        <v>14</v>
      </c>
      <c r="U7" s="702">
        <f t="shared" ref="U7:U15" si="1">H7</f>
        <v>100</v>
      </c>
      <c r="V7" s="701" t="s">
        <v>14</v>
      </c>
      <c r="W7" s="702">
        <f t="shared" ref="W7:W15" si="2">J7</f>
        <v>100</v>
      </c>
      <c r="X7" s="703"/>
      <c r="Y7" s="3878" t="s">
        <v>1680</v>
      </c>
      <c r="Z7" s="3880"/>
      <c r="AA7" s="704">
        <f>D7/F7</f>
        <v>1</v>
      </c>
      <c r="AB7" s="704">
        <f>D7/H7</f>
        <v>1</v>
      </c>
      <c r="AC7" s="704">
        <f>D7/J7</f>
        <v>1</v>
      </c>
    </row>
    <row r="8" spans="1:29" s="108" customFormat="1" ht="15" thickBot="1">
      <c r="A8" s="362" t="s">
        <v>1681</v>
      </c>
      <c r="B8" s="363"/>
      <c r="C8" s="368" t="s">
        <v>3681</v>
      </c>
      <c r="D8" s="365">
        <v>100</v>
      </c>
      <c r="E8" s="368" t="s">
        <v>3681</v>
      </c>
      <c r="F8" s="367">
        <f>SUMIF(61:61,E8,62:62)-SUMIF(61:61,C8,62:62)+100</f>
        <v>100</v>
      </c>
      <c r="G8" s="368" t="s">
        <v>3681</v>
      </c>
      <c r="H8" s="365">
        <f>SUMIF(61:61,G8,62:62)-SUMIF(61:61,C8,62:62)+100</f>
        <v>100</v>
      </c>
      <c r="I8" s="368" t="s">
        <v>3681</v>
      </c>
      <c r="J8" s="365">
        <f>SUMIF(61:61,I8,62:62)-SUMIF(61:61,C8,62:62)+100</f>
        <v>100</v>
      </c>
      <c r="K8" s="560"/>
      <c r="L8" s="2717"/>
      <c r="M8" s="2718"/>
      <c r="N8" s="2718"/>
      <c r="O8" s="2718"/>
      <c r="P8" s="3878" t="s">
        <v>1683</v>
      </c>
      <c r="Q8" s="3880"/>
      <c r="R8" s="701" t="s">
        <v>14</v>
      </c>
      <c r="S8" s="702">
        <f t="shared" si="0"/>
        <v>100</v>
      </c>
      <c r="T8" s="701" t="s">
        <v>14</v>
      </c>
      <c r="U8" s="702">
        <f t="shared" si="1"/>
        <v>100</v>
      </c>
      <c r="V8" s="701" t="s">
        <v>14</v>
      </c>
      <c r="W8" s="702">
        <f t="shared" si="2"/>
        <v>100</v>
      </c>
      <c r="X8" s="703"/>
      <c r="Y8" s="3878" t="s">
        <v>1683</v>
      </c>
      <c r="Z8" s="3880"/>
      <c r="AA8" s="704">
        <f t="shared" ref="AA8:AA46" si="3">D8/F8</f>
        <v>1</v>
      </c>
      <c r="AB8" s="704">
        <f t="shared" ref="AB8:AB46" si="4">D8/H8</f>
        <v>1</v>
      </c>
      <c r="AC8" s="704">
        <f t="shared" ref="AC8:AC46" si="5">D8/J8</f>
        <v>1</v>
      </c>
    </row>
    <row r="9" spans="1:29" s="108" customFormat="1" ht="15" thickBot="1">
      <c r="A9" s="369" t="s">
        <v>1684</v>
      </c>
      <c r="B9" s="63" t="s">
        <v>1685</v>
      </c>
      <c r="C9" s="3548" t="s">
        <v>3731</v>
      </c>
      <c r="D9" s="126">
        <v>100</v>
      </c>
      <c r="E9" s="371" t="s">
        <v>673</v>
      </c>
      <c r="F9" s="372">
        <f>SUMIF(63:63,E9,64:64)-SUMIF(63:63,C9,64:64)+100</f>
        <v>100</v>
      </c>
      <c r="G9" s="371" t="s">
        <v>673</v>
      </c>
      <c r="H9" s="126">
        <f>SUMIF(63:63,G9,64:64)-SUMIF(63:63,C9,64:64)+100</f>
        <v>100</v>
      </c>
      <c r="I9" s="371" t="s">
        <v>673</v>
      </c>
      <c r="J9" s="126">
        <f>SUMIF(63:63,I9,64:64)-SUMIF(63:63,C9,64:64)+100</f>
        <v>100</v>
      </c>
      <c r="K9" s="560"/>
      <c r="L9" s="2717"/>
      <c r="M9" s="2718"/>
      <c r="N9" s="2718"/>
      <c r="O9" s="2718"/>
      <c r="P9" s="3881" t="s">
        <v>1686</v>
      </c>
      <c r="Q9" s="1343" t="str">
        <f t="shared" ref="Q9:Q15" si="6">B9</f>
        <v>用途</v>
      </c>
      <c r="R9" s="701" t="s">
        <v>14</v>
      </c>
      <c r="S9" s="702">
        <f t="shared" si="0"/>
        <v>100</v>
      </c>
      <c r="T9" s="701" t="s">
        <v>14</v>
      </c>
      <c r="U9" s="702">
        <f t="shared" si="1"/>
        <v>100</v>
      </c>
      <c r="V9" s="701" t="s">
        <v>14</v>
      </c>
      <c r="W9" s="702">
        <f t="shared" si="2"/>
        <v>100</v>
      </c>
      <c r="X9" s="703"/>
      <c r="Y9" s="3706" t="s">
        <v>1687</v>
      </c>
      <c r="Z9" s="52" t="str">
        <f t="shared" ref="Z9:Z15" si="7">Q9</f>
        <v>用途</v>
      </c>
      <c r="AA9" s="704">
        <f t="shared" si="3"/>
        <v>1</v>
      </c>
      <c r="AB9" s="704">
        <f t="shared" si="4"/>
        <v>1</v>
      </c>
      <c r="AC9" s="704">
        <f t="shared" si="5"/>
        <v>1</v>
      </c>
    </row>
    <row r="10" spans="1:29" s="378" customFormat="1" ht="28.8" hidden="1">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881"/>
      <c r="Q10" s="1343" t="str">
        <f t="shared" si="6"/>
        <v>土地使用年限（年）</v>
      </c>
      <c r="R10" s="701" t="s">
        <v>14</v>
      </c>
      <c r="S10" s="702">
        <f t="shared" si="0"/>
        <v>100</v>
      </c>
      <c r="T10" s="701" t="s">
        <v>14</v>
      </c>
      <c r="U10" s="702">
        <f t="shared" si="1"/>
        <v>100</v>
      </c>
      <c r="V10" s="701" t="s">
        <v>14</v>
      </c>
      <c r="W10" s="702">
        <f t="shared" si="2"/>
        <v>100</v>
      </c>
      <c r="X10" s="703"/>
      <c r="Y10" s="3706"/>
      <c r="Z10" s="52" t="str">
        <f t="shared" si="7"/>
        <v>土地使用年限（年）</v>
      </c>
      <c r="AA10" s="704">
        <f t="shared" si="3"/>
        <v>1</v>
      </c>
      <c r="AB10" s="704">
        <f t="shared" si="4"/>
        <v>1</v>
      </c>
      <c r="AC10" s="704">
        <f t="shared" si="5"/>
        <v>1</v>
      </c>
    </row>
    <row r="11" spans="1:29" ht="15" hidden="1">
      <c r="A11" s="379"/>
      <c r="B11" s="375" t="s">
        <v>1689</v>
      </c>
      <c r="C11" s="380">
        <v>2</v>
      </c>
      <c r="D11" s="127">
        <v>100</v>
      </c>
      <c r="E11" s="381">
        <v>2</v>
      </c>
      <c r="F11" s="376">
        <f>LOOKUP(E11,68:68,69:69)-LOOKUP(C11,68:68,69:69)+100</f>
        <v>100</v>
      </c>
      <c r="G11" s="380">
        <v>2</v>
      </c>
      <c r="H11" s="127">
        <f>LOOKUP(G11,68:68,69:69)-LOOKUP(C11,68:68,69:69)+100</f>
        <v>100</v>
      </c>
      <c r="I11" s="380">
        <v>2</v>
      </c>
      <c r="J11" s="127">
        <f>LOOKUP(I11,68:68,69:69)-LOOKUP(C11,68:68,69:69)+100</f>
        <v>100</v>
      </c>
      <c r="K11" s="561">
        <v>1</v>
      </c>
      <c r="L11" s="2721"/>
      <c r="M11" s="2716"/>
      <c r="N11" s="2716"/>
      <c r="O11" s="2716"/>
      <c r="P11" s="3881"/>
      <c r="Q11" s="1343" t="str">
        <f t="shared" si="6"/>
        <v>容积率</v>
      </c>
      <c r="R11" s="701" t="s">
        <v>14</v>
      </c>
      <c r="S11" s="702">
        <f t="shared" si="0"/>
        <v>100</v>
      </c>
      <c r="T11" s="701" t="s">
        <v>14</v>
      </c>
      <c r="U11" s="702">
        <f t="shared" si="1"/>
        <v>100</v>
      </c>
      <c r="V11" s="701" t="s">
        <v>14</v>
      </c>
      <c r="W11" s="702">
        <f t="shared" si="2"/>
        <v>100</v>
      </c>
      <c r="X11" s="703"/>
      <c r="Y11" s="3706"/>
      <c r="Z11" s="52" t="str">
        <f t="shared" si="7"/>
        <v>容积率</v>
      </c>
      <c r="AA11" s="704">
        <f t="shared" si="3"/>
        <v>1</v>
      </c>
      <c r="AB11" s="704">
        <f t="shared" si="4"/>
        <v>1</v>
      </c>
      <c r="AC11" s="704">
        <f t="shared" si="5"/>
        <v>1</v>
      </c>
    </row>
    <row r="12" spans="1:29" s="108" customFormat="1" ht="15" hidden="1">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881"/>
      <c r="Q12" s="1343">
        <f t="shared" si="6"/>
        <v>111</v>
      </c>
      <c r="R12" s="701" t="s">
        <v>14</v>
      </c>
      <c r="S12" s="702">
        <f t="shared" si="0"/>
        <v>100</v>
      </c>
      <c r="T12" s="701" t="s">
        <v>14</v>
      </c>
      <c r="U12" s="702">
        <f t="shared" si="1"/>
        <v>100</v>
      </c>
      <c r="V12" s="701" t="s">
        <v>14</v>
      </c>
      <c r="W12" s="702">
        <f t="shared" si="2"/>
        <v>100</v>
      </c>
      <c r="X12" s="703"/>
      <c r="Y12" s="3706"/>
      <c r="Z12" s="52">
        <f t="shared" si="7"/>
        <v>111</v>
      </c>
      <c r="AA12" s="704">
        <f>D12/F12</f>
        <v>1</v>
      </c>
      <c r="AB12" s="704">
        <f>D12/H12</f>
        <v>1</v>
      </c>
      <c r="AC12" s="704">
        <f>D12/J12</f>
        <v>1</v>
      </c>
    </row>
    <row r="13" spans="1:29" ht="15" hidden="1">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881"/>
      <c r="Q13" s="1343">
        <f t="shared" si="6"/>
        <v>111</v>
      </c>
      <c r="R13" s="701" t="s">
        <v>14</v>
      </c>
      <c r="S13" s="702">
        <f t="shared" si="0"/>
        <v>100</v>
      </c>
      <c r="T13" s="701" t="s">
        <v>14</v>
      </c>
      <c r="U13" s="702">
        <f t="shared" si="1"/>
        <v>100</v>
      </c>
      <c r="V13" s="701" t="s">
        <v>14</v>
      </c>
      <c r="W13" s="702">
        <f t="shared" si="2"/>
        <v>100</v>
      </c>
      <c r="X13" s="703"/>
      <c r="Y13" s="3706"/>
      <c r="Z13" s="52">
        <f t="shared" si="7"/>
        <v>111</v>
      </c>
      <c r="AA13" s="704">
        <f t="shared" si="3"/>
        <v>1</v>
      </c>
      <c r="AB13" s="704">
        <f t="shared" si="4"/>
        <v>1</v>
      </c>
      <c r="AC13" s="704">
        <f t="shared" si="5"/>
        <v>1</v>
      </c>
    </row>
    <row r="14" spans="1:29" ht="15.6" hidden="1"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881"/>
      <c r="Q14" s="1343">
        <f t="shared" si="6"/>
        <v>111</v>
      </c>
      <c r="R14" s="701" t="s">
        <v>14</v>
      </c>
      <c r="S14" s="702">
        <f t="shared" si="0"/>
        <v>100</v>
      </c>
      <c r="T14" s="701" t="s">
        <v>14</v>
      </c>
      <c r="U14" s="702">
        <f t="shared" si="1"/>
        <v>100</v>
      </c>
      <c r="V14" s="701" t="s">
        <v>14</v>
      </c>
      <c r="W14" s="702">
        <f t="shared" si="2"/>
        <v>100</v>
      </c>
      <c r="X14" s="703"/>
      <c r="Y14" s="3706"/>
      <c r="Z14" s="52">
        <f t="shared" si="7"/>
        <v>111</v>
      </c>
      <c r="AA14" s="704">
        <f t="shared" si="3"/>
        <v>1</v>
      </c>
      <c r="AB14" s="704">
        <f t="shared" si="4"/>
        <v>1</v>
      </c>
      <c r="AC14" s="704">
        <f t="shared" si="5"/>
        <v>1</v>
      </c>
    </row>
    <row r="15" spans="1:29" ht="69">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v>2</v>
      </c>
      <c r="L15" s="2722"/>
      <c r="M15" s="2716"/>
      <c r="N15" s="2716"/>
      <c r="O15" s="2716"/>
      <c r="P15" s="3882" t="s">
        <v>1691</v>
      </c>
      <c r="Q15" s="1352" t="str">
        <f t="shared" si="6"/>
        <v>商业繁华度</v>
      </c>
      <c r="R15" s="705" t="s">
        <v>14</v>
      </c>
      <c r="S15" s="706">
        <f t="shared" si="0"/>
        <v>100</v>
      </c>
      <c r="T15" s="705" t="s">
        <v>14</v>
      </c>
      <c r="U15" s="706">
        <f t="shared" si="1"/>
        <v>100</v>
      </c>
      <c r="V15" s="705" t="s">
        <v>14</v>
      </c>
      <c r="W15" s="706">
        <f t="shared" si="2"/>
        <v>100</v>
      </c>
      <c r="X15" s="1355"/>
      <c r="Y15" s="3884" t="s">
        <v>1691</v>
      </c>
      <c r="Z15" s="1356" t="str">
        <f t="shared" si="7"/>
        <v>商业繁华度</v>
      </c>
      <c r="AA15" s="1353">
        <f t="shared" si="3"/>
        <v>1</v>
      </c>
      <c r="AB15" s="1353">
        <f t="shared" si="4"/>
        <v>1</v>
      </c>
      <c r="AC15" s="1353">
        <f t="shared" si="5"/>
        <v>1</v>
      </c>
    </row>
    <row r="16" spans="1:29" ht="15">
      <c r="A16" s="379"/>
      <c r="B16" s="397"/>
      <c r="C16" s="398" t="s">
        <v>3683</v>
      </c>
      <c r="D16" s="399"/>
      <c r="E16" s="398" t="s">
        <v>3683</v>
      </c>
      <c r="F16" s="400"/>
      <c r="G16" s="398" t="s">
        <v>3683</v>
      </c>
      <c r="H16" s="401"/>
      <c r="I16" s="398" t="s">
        <v>3683</v>
      </c>
      <c r="J16" s="399"/>
      <c r="K16" s="564"/>
      <c r="L16" s="2722"/>
      <c r="M16" s="2716"/>
      <c r="N16" s="2716"/>
      <c r="O16" s="2716"/>
      <c r="P16" s="3883"/>
      <c r="Q16" s="1352"/>
      <c r="R16" s="705"/>
      <c r="S16" s="706"/>
      <c r="T16" s="705"/>
      <c r="U16" s="706"/>
      <c r="V16" s="705"/>
      <c r="W16" s="706"/>
      <c r="X16" s="1355"/>
      <c r="Y16" s="3885"/>
      <c r="Z16" s="1356"/>
      <c r="AA16" s="1353">
        <v>1</v>
      </c>
      <c r="AB16" s="1353">
        <v>1</v>
      </c>
      <c r="AC16" s="1353">
        <v>1</v>
      </c>
    </row>
    <row r="17" spans="1:29" ht="82.8">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v>2</v>
      </c>
      <c r="L17" s="2722"/>
      <c r="M17" s="2716"/>
      <c r="N17" s="2716"/>
      <c r="O17" s="2716"/>
      <c r="P17" s="3883"/>
      <c r="Q17" s="1352" t="str">
        <f>B17</f>
        <v>交通便捷度</v>
      </c>
      <c r="R17" s="705" t="s">
        <v>14</v>
      </c>
      <c r="S17" s="706">
        <f>F17</f>
        <v>100</v>
      </c>
      <c r="T17" s="705" t="s">
        <v>14</v>
      </c>
      <c r="U17" s="706">
        <f>H17</f>
        <v>100</v>
      </c>
      <c r="V17" s="705" t="s">
        <v>14</v>
      </c>
      <c r="W17" s="706">
        <f>J17</f>
        <v>100</v>
      </c>
      <c r="X17" s="1355"/>
      <c r="Y17" s="3885"/>
      <c r="Z17" s="1356" t="str">
        <f>Q17</f>
        <v>交通便捷度</v>
      </c>
      <c r="AA17" s="1353">
        <f t="shared" si="3"/>
        <v>1</v>
      </c>
      <c r="AB17" s="1353">
        <f t="shared" si="4"/>
        <v>1</v>
      </c>
      <c r="AC17" s="1353">
        <f t="shared" si="5"/>
        <v>1</v>
      </c>
    </row>
    <row r="18" spans="1:29" ht="15">
      <c r="A18" s="379"/>
      <c r="B18" s="407"/>
      <c r="C18" s="398" t="s">
        <v>3683</v>
      </c>
      <c r="D18" s="401"/>
      <c r="E18" s="398" t="s">
        <v>3683</v>
      </c>
      <c r="F18" s="404"/>
      <c r="G18" s="398" t="s">
        <v>3683</v>
      </c>
      <c r="H18" s="399"/>
      <c r="I18" s="398" t="s">
        <v>3683</v>
      </c>
      <c r="J18" s="399"/>
      <c r="K18" s="564"/>
      <c r="L18" s="2722"/>
      <c r="M18" s="2716"/>
      <c r="N18" s="2716"/>
      <c r="O18" s="2716"/>
      <c r="P18" s="3883"/>
      <c r="Q18" s="1352"/>
      <c r="R18" s="705"/>
      <c r="S18" s="706"/>
      <c r="T18" s="705"/>
      <c r="U18" s="706"/>
      <c r="V18" s="705"/>
      <c r="W18" s="706"/>
      <c r="X18" s="1355"/>
      <c r="Y18" s="3885"/>
      <c r="Z18" s="1356"/>
      <c r="AA18" s="1353">
        <v>1</v>
      </c>
      <c r="AB18" s="1353">
        <v>1</v>
      </c>
      <c r="AC18" s="1353">
        <v>1</v>
      </c>
    </row>
    <row r="19" spans="1:29" ht="41.4">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v>2</v>
      </c>
      <c r="L19" s="2722"/>
      <c r="M19" s="2716"/>
      <c r="N19" s="2716"/>
      <c r="O19" s="2716"/>
      <c r="P19" s="3883"/>
      <c r="Q19" s="1352" t="str">
        <f>B19</f>
        <v>公共配套设施</v>
      </c>
      <c r="R19" s="705" t="s">
        <v>14</v>
      </c>
      <c r="S19" s="706">
        <f>F19</f>
        <v>100</v>
      </c>
      <c r="T19" s="705" t="s">
        <v>14</v>
      </c>
      <c r="U19" s="706">
        <f>H19</f>
        <v>100</v>
      </c>
      <c r="V19" s="705" t="s">
        <v>14</v>
      </c>
      <c r="W19" s="706">
        <f>J19</f>
        <v>100</v>
      </c>
      <c r="X19" s="1355"/>
      <c r="Y19" s="3885"/>
      <c r="Z19" s="1356" t="str">
        <f>Q19</f>
        <v>公共配套设施</v>
      </c>
      <c r="AA19" s="1353">
        <f t="shared" si="3"/>
        <v>1</v>
      </c>
      <c r="AB19" s="1353">
        <f t="shared" si="4"/>
        <v>1</v>
      </c>
      <c r="AC19" s="1353">
        <f t="shared" si="5"/>
        <v>1</v>
      </c>
    </row>
    <row r="20" spans="1:29" ht="15">
      <c r="A20" s="379"/>
      <c r="B20" s="407"/>
      <c r="C20" s="398" t="s">
        <v>3683</v>
      </c>
      <c r="D20" s="399"/>
      <c r="E20" s="398" t="s">
        <v>3683</v>
      </c>
      <c r="F20" s="400"/>
      <c r="G20" s="398" t="s">
        <v>3683</v>
      </c>
      <c r="H20" s="399"/>
      <c r="I20" s="1898" t="s">
        <v>3683</v>
      </c>
      <c r="J20" s="399"/>
      <c r="K20" s="564"/>
      <c r="L20" s="2722"/>
      <c r="M20" s="2716"/>
      <c r="N20" s="2716"/>
      <c r="O20" s="2716"/>
      <c r="P20" s="3883"/>
      <c r="Q20" s="1352"/>
      <c r="R20" s="705"/>
      <c r="S20" s="706"/>
      <c r="T20" s="705"/>
      <c r="U20" s="706"/>
      <c r="V20" s="705"/>
      <c r="W20" s="706"/>
      <c r="X20" s="1355"/>
      <c r="Y20" s="3885"/>
      <c r="Z20" s="1356"/>
      <c r="AA20" s="1353">
        <v>1</v>
      </c>
      <c r="AB20" s="1353">
        <v>1</v>
      </c>
      <c r="AC20" s="1353">
        <v>1</v>
      </c>
    </row>
    <row r="21" spans="1:29" ht="27.6">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v>1</v>
      </c>
      <c r="L21" s="2722"/>
      <c r="M21" s="2716"/>
      <c r="N21" s="2716"/>
      <c r="O21" s="2716"/>
      <c r="P21" s="3883"/>
      <c r="Q21" s="1352" t="str">
        <f>B21</f>
        <v>基础设施水平</v>
      </c>
      <c r="R21" s="705" t="s">
        <v>14</v>
      </c>
      <c r="S21" s="706">
        <f>F21</f>
        <v>100</v>
      </c>
      <c r="T21" s="705" t="s">
        <v>14</v>
      </c>
      <c r="U21" s="706">
        <f>H21</f>
        <v>100</v>
      </c>
      <c r="V21" s="705" t="s">
        <v>14</v>
      </c>
      <c r="W21" s="706">
        <f>J21</f>
        <v>100</v>
      </c>
      <c r="X21" s="1355"/>
      <c r="Y21" s="3885"/>
      <c r="Z21" s="1356" t="str">
        <f>Q21</f>
        <v>基础设施水平</v>
      </c>
      <c r="AA21" s="1353">
        <f t="shared" ref="AA21" si="8">D21/F21</f>
        <v>1</v>
      </c>
      <c r="AB21" s="1353">
        <f t="shared" ref="AB21" si="9">D21/H21</f>
        <v>1</v>
      </c>
      <c r="AC21" s="1353">
        <f t="shared" ref="AC21" si="10">D21/J21</f>
        <v>1</v>
      </c>
    </row>
    <row r="22" spans="1:29" ht="15">
      <c r="A22" s="379"/>
      <c r="B22" s="1131"/>
      <c r="C22" s="1901" t="s">
        <v>3684</v>
      </c>
      <c r="D22" s="399"/>
      <c r="E22" s="1901" t="s">
        <v>3684</v>
      </c>
      <c r="F22" s="400"/>
      <c r="G22" s="1901" t="s">
        <v>3684</v>
      </c>
      <c r="H22" s="399"/>
      <c r="I22" s="398" t="s">
        <v>3684</v>
      </c>
      <c r="J22" s="399"/>
      <c r="K22" s="1130"/>
      <c r="L22" s="2722"/>
      <c r="M22" s="2716"/>
      <c r="N22" s="2716"/>
      <c r="O22" s="2716"/>
      <c r="P22" s="3883"/>
      <c r="Q22" s="1352"/>
      <c r="R22" s="705"/>
      <c r="S22" s="706"/>
      <c r="T22" s="705"/>
      <c r="U22" s="706"/>
      <c r="V22" s="705"/>
      <c r="W22" s="706"/>
      <c r="X22" s="1355"/>
      <c r="Y22" s="3885"/>
      <c r="Z22" s="1356"/>
      <c r="AA22" s="1353">
        <v>1</v>
      </c>
      <c r="AB22" s="1353">
        <v>1</v>
      </c>
      <c r="AC22" s="1353">
        <v>1</v>
      </c>
    </row>
    <row r="23" spans="1:29" ht="55.2">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v>2</v>
      </c>
      <c r="L23" s="2722"/>
      <c r="M23" s="2716"/>
      <c r="N23" s="2716"/>
      <c r="O23" s="2716"/>
      <c r="P23" s="3883"/>
      <c r="Q23" s="1352" t="str">
        <f>B23</f>
        <v>自然及人文环境</v>
      </c>
      <c r="R23" s="705" t="s">
        <v>14</v>
      </c>
      <c r="S23" s="706">
        <f>F23</f>
        <v>100</v>
      </c>
      <c r="T23" s="705" t="s">
        <v>14</v>
      </c>
      <c r="U23" s="706">
        <f>H23</f>
        <v>100</v>
      </c>
      <c r="V23" s="705" t="s">
        <v>14</v>
      </c>
      <c r="W23" s="706">
        <f>J23</f>
        <v>100</v>
      </c>
      <c r="X23" s="1355"/>
      <c r="Y23" s="3885"/>
      <c r="Z23" s="1356" t="str">
        <f>Q23</f>
        <v>自然及人文环境</v>
      </c>
      <c r="AA23" s="1353">
        <f t="shared" si="3"/>
        <v>1</v>
      </c>
      <c r="AB23" s="1353">
        <f t="shared" si="4"/>
        <v>1</v>
      </c>
      <c r="AC23" s="1353">
        <f t="shared" si="5"/>
        <v>1</v>
      </c>
    </row>
    <row r="24" spans="1:29" ht="15">
      <c r="A24" s="379"/>
      <c r="B24" s="407"/>
      <c r="C24" s="398" t="s">
        <v>3683</v>
      </c>
      <c r="D24" s="399"/>
      <c r="E24" s="398" t="s">
        <v>3683</v>
      </c>
      <c r="F24" s="400"/>
      <c r="G24" s="398" t="s">
        <v>3683</v>
      </c>
      <c r="H24" s="399"/>
      <c r="I24" s="398" t="s">
        <v>3683</v>
      </c>
      <c r="J24" s="399"/>
      <c r="K24" s="564"/>
      <c r="L24" s="2722"/>
      <c r="M24" s="2716"/>
      <c r="N24" s="2716"/>
      <c r="O24" s="2716"/>
      <c r="P24" s="3883"/>
      <c r="Q24" s="1352"/>
      <c r="R24" s="705"/>
      <c r="S24" s="706"/>
      <c r="T24" s="705"/>
      <c r="U24" s="706"/>
      <c r="V24" s="705"/>
      <c r="W24" s="706"/>
      <c r="X24" s="1355"/>
      <c r="Y24" s="3885"/>
      <c r="Z24" s="1356"/>
      <c r="AA24" s="1353">
        <v>1</v>
      </c>
      <c r="AB24" s="1353">
        <v>1</v>
      </c>
      <c r="AC24" s="1353">
        <v>1</v>
      </c>
    </row>
    <row r="25" spans="1:29" ht="15">
      <c r="A25" s="379"/>
      <c r="B25" s="375" t="s">
        <v>1780</v>
      </c>
      <c r="C25" s="565" t="s">
        <v>3747</v>
      </c>
      <c r="D25" s="386">
        <v>100</v>
      </c>
      <c r="E25" s="565" t="s">
        <v>3733</v>
      </c>
      <c r="F25" s="412">
        <f>SUMIF(86:86,E25,87:87)-SUMIF(86:86,C25,87:87)+100</f>
        <v>103</v>
      </c>
      <c r="G25" s="565" t="s">
        <v>3733</v>
      </c>
      <c r="H25" s="386">
        <f>SUMIF(86:86,G25,87:87)-SUMIF(86:86,C25,87:87)+100</f>
        <v>103</v>
      </c>
      <c r="I25" s="565" t="s">
        <v>3733</v>
      </c>
      <c r="J25" s="386">
        <f>SUMIF(86:86,I25,87:87)-SUMIF(86:86,C25,87:87)+100</f>
        <v>103</v>
      </c>
      <c r="K25" s="561">
        <v>3</v>
      </c>
      <c r="L25" s="2722"/>
      <c r="M25" s="2716"/>
      <c r="N25" s="2716"/>
      <c r="O25" s="2716"/>
      <c r="P25" s="3883"/>
      <c r="Q25" s="1352" t="str">
        <f t="shared" ref="Q25:Q46" si="11">B25</f>
        <v>临街状况</v>
      </c>
      <c r="R25" s="705" t="s">
        <v>14</v>
      </c>
      <c r="S25" s="706">
        <f>F25</f>
        <v>103</v>
      </c>
      <c r="T25" s="705" t="s">
        <v>14</v>
      </c>
      <c r="U25" s="706">
        <f>H25</f>
        <v>103</v>
      </c>
      <c r="V25" s="705" t="s">
        <v>14</v>
      </c>
      <c r="W25" s="706">
        <f>J25</f>
        <v>103</v>
      </c>
      <c r="X25" s="1355"/>
      <c r="Y25" s="3885"/>
      <c r="Z25" s="1356" t="str">
        <f>Q25</f>
        <v>临街状况</v>
      </c>
      <c r="AA25" s="1353">
        <f t="shared" si="3"/>
        <v>0.970873786407767</v>
      </c>
      <c r="AB25" s="1353">
        <f t="shared" si="4"/>
        <v>0.970873786407767</v>
      </c>
      <c r="AC25" s="1353">
        <f t="shared" si="5"/>
        <v>0.970873786407767</v>
      </c>
    </row>
    <row r="26" spans="1:29" ht="15">
      <c r="A26" s="379"/>
      <c r="B26" s="1133" t="s">
        <v>1781</v>
      </c>
      <c r="C26" s="3574" t="s">
        <v>3743</v>
      </c>
      <c r="D26" s="386">
        <v>100</v>
      </c>
      <c r="E26" s="3574" t="s">
        <v>3744</v>
      </c>
      <c r="F26" s="412">
        <f>SUMIF(88:88,E26,89:89)-SUMIF(88:88,C26,89:89)+100</f>
        <v>102</v>
      </c>
      <c r="G26" s="3574" t="s">
        <v>3745</v>
      </c>
      <c r="H26" s="386">
        <f>SUMIF(88:88,G26,89:89)-SUMIF(88:88,C26,89:89)+100</f>
        <v>102</v>
      </c>
      <c r="I26" s="3574" t="s">
        <v>3746</v>
      </c>
      <c r="J26" s="386">
        <f>SUMIF(88:88,I26,89:89)-SUMIF(88:88,C26,89:89)+100</f>
        <v>102</v>
      </c>
      <c r="K26" s="562"/>
      <c r="L26" s="2722"/>
      <c r="M26" s="2716"/>
      <c r="N26" s="2716"/>
      <c r="O26" s="2716"/>
      <c r="P26" s="3883"/>
      <c r="Q26" s="1352" t="str">
        <f t="shared" si="11"/>
        <v>平面位置/可视性</v>
      </c>
      <c r="R26" s="705" t="s">
        <v>14</v>
      </c>
      <c r="S26" s="706">
        <f>F26</f>
        <v>102</v>
      </c>
      <c r="T26" s="705" t="s">
        <v>14</v>
      </c>
      <c r="U26" s="706">
        <f>H26</f>
        <v>102</v>
      </c>
      <c r="V26" s="705" t="s">
        <v>14</v>
      </c>
      <c r="W26" s="706">
        <f>J26</f>
        <v>102</v>
      </c>
      <c r="X26" s="1355"/>
      <c r="Y26" s="3885"/>
      <c r="Z26" s="1356" t="str">
        <f>Q26</f>
        <v>平面位置/可视性</v>
      </c>
      <c r="AA26" s="1353">
        <f t="shared" si="3"/>
        <v>0.98039215686274506</v>
      </c>
      <c r="AB26" s="1353">
        <f t="shared" si="4"/>
        <v>0.98039215686274506</v>
      </c>
      <c r="AC26" s="1353">
        <f t="shared" si="5"/>
        <v>0.98039215686274506</v>
      </c>
    </row>
    <row r="27" spans="1:29" s="108" customFormat="1" ht="15">
      <c r="A27" s="382"/>
      <c r="B27" s="402" t="s">
        <v>1782</v>
      </c>
      <c r="C27" s="1956" t="s">
        <v>3683</v>
      </c>
      <c r="D27" s="413">
        <v>100</v>
      </c>
      <c r="E27" s="1956" t="s">
        <v>3683</v>
      </c>
      <c r="F27" s="415">
        <f>SUMIF(90:90,E27,91:91)-SUMIF(90:90,C27,91:91)+100</f>
        <v>100</v>
      </c>
      <c r="G27" s="1956" t="s">
        <v>3683</v>
      </c>
      <c r="H27" s="413">
        <f>SUMIF(90:90,G27,91:91)-SUMIF(90:90,C27,91:91)+100</f>
        <v>100</v>
      </c>
      <c r="I27" s="1956" t="s">
        <v>3683</v>
      </c>
      <c r="J27" s="413">
        <f>SUMIF(90:90,I27,91:91)-SUMIF(90:90,C27,91:91)+100</f>
        <v>100</v>
      </c>
      <c r="K27" s="561">
        <v>2</v>
      </c>
      <c r="L27" s="2717"/>
      <c r="M27" s="2718"/>
      <c r="N27" s="2718"/>
      <c r="O27" s="2718"/>
      <c r="P27" s="3883"/>
      <c r="Q27" s="1343" t="str">
        <f t="shared" si="11"/>
        <v>人流量</v>
      </c>
      <c r="R27" s="701" t="s">
        <v>14</v>
      </c>
      <c r="S27" s="702">
        <f>F27</f>
        <v>100</v>
      </c>
      <c r="T27" s="701" t="s">
        <v>14</v>
      </c>
      <c r="U27" s="702">
        <f>H27</f>
        <v>100</v>
      </c>
      <c r="V27" s="701" t="s">
        <v>14</v>
      </c>
      <c r="W27" s="702">
        <f>J27</f>
        <v>100</v>
      </c>
      <c r="X27" s="703"/>
      <c r="Y27" s="3885"/>
      <c r="Z27" s="52" t="str">
        <f>Q27</f>
        <v>人流量</v>
      </c>
      <c r="AA27" s="1353">
        <f>D27/F27</f>
        <v>1</v>
      </c>
      <c r="AB27" s="1353">
        <f>D27/H27</f>
        <v>1</v>
      </c>
      <c r="AC27" s="1353">
        <f>D27/J27</f>
        <v>1</v>
      </c>
    </row>
    <row r="28" spans="1:29" ht="15.6" thickBot="1">
      <c r="A28" s="379"/>
      <c r="B28" s="375" t="s">
        <v>1783</v>
      </c>
      <c r="C28" s="565" t="s">
        <v>3749</v>
      </c>
      <c r="D28" s="386">
        <v>100</v>
      </c>
      <c r="E28" s="565" t="s">
        <v>3749</v>
      </c>
      <c r="F28" s="412">
        <f>SUMIF(92:92,E28,93:93)-SUMIF(92:92,C28,93:93)+100</f>
        <v>100</v>
      </c>
      <c r="G28" s="565" t="s">
        <v>3749</v>
      </c>
      <c r="H28" s="386">
        <f>SUMIF(92:92,G28,93:93)-SUMIF(92:92,C28,93:93)+100</f>
        <v>100</v>
      </c>
      <c r="I28" s="565" t="s">
        <v>3749</v>
      </c>
      <c r="J28" s="386">
        <f>SUMIF(92:92,I28,93:93)-SUMIF(92:92,C28,93:93)+100</f>
        <v>100</v>
      </c>
      <c r="K28" s="562"/>
      <c r="L28" s="2722"/>
      <c r="M28" s="2716"/>
      <c r="N28" s="2716"/>
      <c r="O28" s="2716"/>
      <c r="P28" s="3883"/>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885"/>
      <c r="Z28" s="1356" t="str">
        <f t="shared" ref="Z28:Z46" si="15">Q28</f>
        <v>楼层</v>
      </c>
      <c r="AA28" s="1353">
        <f t="shared" si="3"/>
        <v>1</v>
      </c>
      <c r="AB28" s="1353">
        <f t="shared" si="4"/>
        <v>1</v>
      </c>
      <c r="AC28" s="1353">
        <f t="shared" si="5"/>
        <v>1</v>
      </c>
    </row>
    <row r="29" spans="1:29" ht="15" hidden="1">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883"/>
      <c r="Q29" s="1352">
        <f t="shared" si="11"/>
        <v>111</v>
      </c>
      <c r="R29" s="705" t="s">
        <v>14</v>
      </c>
      <c r="S29" s="706">
        <f t="shared" si="12"/>
        <v>100</v>
      </c>
      <c r="T29" s="705" t="s">
        <v>14</v>
      </c>
      <c r="U29" s="706">
        <f t="shared" si="13"/>
        <v>100</v>
      </c>
      <c r="V29" s="705" t="s">
        <v>14</v>
      </c>
      <c r="W29" s="706">
        <f t="shared" si="14"/>
        <v>100</v>
      </c>
      <c r="X29" s="1355"/>
      <c r="Y29" s="3885"/>
      <c r="Z29" s="1356">
        <f t="shared" si="15"/>
        <v>111</v>
      </c>
      <c r="AA29" s="1353">
        <f t="shared" si="3"/>
        <v>1</v>
      </c>
      <c r="AB29" s="1353">
        <f t="shared" si="4"/>
        <v>1</v>
      </c>
      <c r="AC29" s="1353">
        <f t="shared" si="5"/>
        <v>1</v>
      </c>
    </row>
    <row r="30" spans="1:29" ht="15" hidden="1">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883"/>
      <c r="Q30" s="1352">
        <f t="shared" si="11"/>
        <v>111</v>
      </c>
      <c r="R30" s="705" t="s">
        <v>14</v>
      </c>
      <c r="S30" s="706">
        <f t="shared" si="12"/>
        <v>100</v>
      </c>
      <c r="T30" s="705" t="s">
        <v>14</v>
      </c>
      <c r="U30" s="706">
        <f t="shared" si="13"/>
        <v>100</v>
      </c>
      <c r="V30" s="705" t="s">
        <v>14</v>
      </c>
      <c r="W30" s="706">
        <f t="shared" si="14"/>
        <v>100</v>
      </c>
      <c r="X30" s="1355"/>
      <c r="Y30" s="3885"/>
      <c r="Z30" s="1356">
        <f t="shared" si="15"/>
        <v>111</v>
      </c>
      <c r="AA30" s="1353">
        <f t="shared" si="3"/>
        <v>1</v>
      </c>
      <c r="AB30" s="1353">
        <f t="shared" si="4"/>
        <v>1</v>
      </c>
      <c r="AC30" s="1353">
        <f t="shared" si="5"/>
        <v>1</v>
      </c>
    </row>
    <row r="31" spans="1:29" ht="15.6" hidden="1"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883"/>
      <c r="Q31" s="1352">
        <f t="shared" si="11"/>
        <v>111</v>
      </c>
      <c r="R31" s="705" t="s">
        <v>14</v>
      </c>
      <c r="S31" s="706">
        <f t="shared" si="12"/>
        <v>100</v>
      </c>
      <c r="T31" s="705" t="s">
        <v>14</v>
      </c>
      <c r="U31" s="706">
        <f t="shared" si="13"/>
        <v>100</v>
      </c>
      <c r="V31" s="705" t="s">
        <v>14</v>
      </c>
      <c r="W31" s="706">
        <f t="shared" si="14"/>
        <v>100</v>
      </c>
      <c r="X31" s="1355"/>
      <c r="Y31" s="3885"/>
      <c r="Z31" s="1356">
        <f t="shared" si="15"/>
        <v>111</v>
      </c>
      <c r="AA31" s="1353">
        <f t="shared" si="3"/>
        <v>1</v>
      </c>
      <c r="AB31" s="1353">
        <f t="shared" si="4"/>
        <v>1</v>
      </c>
      <c r="AC31" s="1353">
        <f t="shared" si="5"/>
        <v>1</v>
      </c>
    </row>
    <row r="32" spans="1:29" ht="15">
      <c r="A32" s="391" t="s">
        <v>1694</v>
      </c>
      <c r="B32" s="63" t="s">
        <v>1784</v>
      </c>
      <c r="C32" s="1910" t="s">
        <v>3728</v>
      </c>
      <c r="D32" s="418">
        <v>100</v>
      </c>
      <c r="E32" s="1910" t="s">
        <v>3728</v>
      </c>
      <c r="F32" s="412">
        <f>SUMIF(100:100,E32,101:101)-SUMIF(100:100,C32,101:101)+100</f>
        <v>100</v>
      </c>
      <c r="G32" s="1910" t="s">
        <v>3869</v>
      </c>
      <c r="H32" s="386">
        <f>SUMIF(100:100,G32,101:101)-SUMIF(100:100,C32,101:101)+100</f>
        <v>97</v>
      </c>
      <c r="I32" s="1910" t="s">
        <v>3728</v>
      </c>
      <c r="J32" s="418">
        <f>SUMIF(100:100,I32,101:101)-SUMIF(100:100,C32,101:101)+100</f>
        <v>100</v>
      </c>
      <c r="K32" s="561">
        <v>3</v>
      </c>
      <c r="L32" s="2722"/>
      <c r="M32" s="2716"/>
      <c r="N32" s="2716"/>
      <c r="O32" s="2716"/>
      <c r="P32" s="3886" t="s">
        <v>1696</v>
      </c>
      <c r="Q32" s="1352" t="str">
        <f t="shared" si="11"/>
        <v>商业类型</v>
      </c>
      <c r="R32" s="705" t="s">
        <v>14</v>
      </c>
      <c r="S32" s="706">
        <f t="shared" si="12"/>
        <v>100</v>
      </c>
      <c r="T32" s="705" t="s">
        <v>14</v>
      </c>
      <c r="U32" s="706">
        <f t="shared" si="13"/>
        <v>97</v>
      </c>
      <c r="V32" s="705" t="s">
        <v>14</v>
      </c>
      <c r="W32" s="706">
        <f t="shared" si="14"/>
        <v>100</v>
      </c>
      <c r="X32" s="1355"/>
      <c r="Y32" s="3889" t="s">
        <v>1696</v>
      </c>
      <c r="Z32" s="1356" t="str">
        <f t="shared" si="15"/>
        <v>商业类型</v>
      </c>
      <c r="AA32" s="1353">
        <f t="shared" si="3"/>
        <v>1</v>
      </c>
      <c r="AB32" s="1353">
        <f t="shared" si="4"/>
        <v>1.0309278350515463</v>
      </c>
      <c r="AC32" s="1353">
        <f t="shared" si="5"/>
        <v>1</v>
      </c>
    </row>
    <row r="33" spans="1:29" s="422" customFormat="1" ht="15">
      <c r="A33" s="419"/>
      <c r="B33" s="375" t="s">
        <v>1697</v>
      </c>
      <c r="C33" s="420">
        <f>结果!F13</f>
        <v>734.88</v>
      </c>
      <c r="D33" s="127">
        <v>100</v>
      </c>
      <c r="E33" s="381">
        <v>150</v>
      </c>
      <c r="F33" s="376">
        <f>LOOKUP(E33,103:103,104:104)-LOOKUP(C33,103:103,104:104)+100</f>
        <v>102</v>
      </c>
      <c r="G33" s="380">
        <v>350</v>
      </c>
      <c r="H33" s="127">
        <f>LOOKUP(G33,103:103,104:104)-LOOKUP(C33,103:103,104:104)+100</f>
        <v>102</v>
      </c>
      <c r="I33" s="380">
        <v>460</v>
      </c>
      <c r="J33" s="127">
        <f>LOOKUP(I33,103:103,104:104)-LOOKUP(C33,103:103,104:104)+100</f>
        <v>102</v>
      </c>
      <c r="K33" s="562"/>
      <c r="L33" s="2721"/>
      <c r="M33" s="2723"/>
      <c r="N33" s="2723"/>
      <c r="O33" s="2723"/>
      <c r="P33" s="3887"/>
      <c r="Q33" s="707" t="str">
        <f t="shared" si="11"/>
        <v>项目建筑规模</v>
      </c>
      <c r="R33" s="708" t="s">
        <v>14</v>
      </c>
      <c r="S33" s="709">
        <f t="shared" si="12"/>
        <v>102</v>
      </c>
      <c r="T33" s="708" t="s">
        <v>14</v>
      </c>
      <c r="U33" s="709">
        <f t="shared" si="13"/>
        <v>102</v>
      </c>
      <c r="V33" s="708" t="s">
        <v>14</v>
      </c>
      <c r="W33" s="709">
        <f t="shared" si="14"/>
        <v>102</v>
      </c>
      <c r="X33" s="710"/>
      <c r="Y33" s="3889"/>
      <c r="Z33" s="711" t="str">
        <f t="shared" si="15"/>
        <v>项目建筑规模</v>
      </c>
      <c r="AA33" s="1353">
        <f t="shared" si="3"/>
        <v>0.98039215686274506</v>
      </c>
      <c r="AB33" s="1353">
        <f t="shared" si="4"/>
        <v>0.98039215686274506</v>
      </c>
      <c r="AC33" s="1353">
        <f t="shared" si="5"/>
        <v>0.98039215686274506</v>
      </c>
    </row>
    <row r="34" spans="1:29" ht="15">
      <c r="A34" s="423"/>
      <c r="B34" s="375" t="s">
        <v>1698</v>
      </c>
      <c r="C34" s="1912" t="s">
        <v>3704</v>
      </c>
      <c r="D34" s="386">
        <v>100</v>
      </c>
      <c r="E34" s="1912" t="s">
        <v>3704</v>
      </c>
      <c r="F34" s="412">
        <f>SUMIF(105:105,E34,106:106)-SUMIF(105:105,C34,106:106)+100</f>
        <v>100</v>
      </c>
      <c r="G34" s="1912" t="s">
        <v>3704</v>
      </c>
      <c r="H34" s="386">
        <f>SUMIF(105:105,G34,106:106)-SUMIF(105:105,C34,106:106)+100</f>
        <v>100</v>
      </c>
      <c r="I34" s="1912" t="s">
        <v>3704</v>
      </c>
      <c r="J34" s="386">
        <f>SUMIF(105:105,I34,106:106)-SUMIF(105:105,C34,106:106)+100</f>
        <v>100</v>
      </c>
      <c r="K34" s="561">
        <v>2</v>
      </c>
      <c r="L34" s="2722"/>
      <c r="M34" s="2716"/>
      <c r="N34" s="2716"/>
      <c r="O34" s="2716"/>
      <c r="P34" s="3887"/>
      <c r="Q34" s="1352" t="str">
        <f t="shared" si="11"/>
        <v>建筑结构</v>
      </c>
      <c r="R34" s="705" t="s">
        <v>14</v>
      </c>
      <c r="S34" s="706">
        <f t="shared" si="12"/>
        <v>100</v>
      </c>
      <c r="T34" s="705" t="s">
        <v>14</v>
      </c>
      <c r="U34" s="706">
        <f t="shared" si="13"/>
        <v>100</v>
      </c>
      <c r="V34" s="705" t="s">
        <v>14</v>
      </c>
      <c r="W34" s="706">
        <f t="shared" si="14"/>
        <v>100</v>
      </c>
      <c r="X34" s="1355"/>
      <c r="Y34" s="3889"/>
      <c r="Z34" s="1356" t="str">
        <f t="shared" si="15"/>
        <v>建筑结构</v>
      </c>
      <c r="AA34" s="1353">
        <f t="shared" si="3"/>
        <v>1</v>
      </c>
      <c r="AB34" s="1353">
        <f t="shared" si="4"/>
        <v>1</v>
      </c>
      <c r="AC34" s="1353">
        <f t="shared" si="5"/>
        <v>1</v>
      </c>
    </row>
    <row r="35" spans="1:29" ht="15">
      <c r="A35" s="423"/>
      <c r="B35" s="375" t="s">
        <v>1785</v>
      </c>
      <c r="C35" s="1906" t="s">
        <v>3706</v>
      </c>
      <c r="D35" s="386">
        <v>100</v>
      </c>
      <c r="E35" s="1906" t="s">
        <v>3706</v>
      </c>
      <c r="F35" s="412">
        <f>SUMIF(107:107,E35,108:108)-SUMIF(107:107,C35,108:108)+100</f>
        <v>100</v>
      </c>
      <c r="G35" s="1906" t="s">
        <v>3706</v>
      </c>
      <c r="H35" s="386">
        <f>SUMIF(107:107,G35,108:108)-SUMIF(107:107,C35,108:108)+100</f>
        <v>100</v>
      </c>
      <c r="I35" s="1906" t="s">
        <v>3706</v>
      </c>
      <c r="J35" s="386">
        <f>SUMIF(107:107,I35,108:108)-SUMIF(107:107,C35,108:108)+100</f>
        <v>100</v>
      </c>
      <c r="K35" s="561">
        <v>2</v>
      </c>
      <c r="L35" s="2722"/>
      <c r="M35" s="2716"/>
      <c r="N35" s="2716"/>
      <c r="O35" s="2716"/>
      <c r="P35" s="3887"/>
      <c r="Q35" s="1352" t="str">
        <f t="shared" si="11"/>
        <v>公共部分装修</v>
      </c>
      <c r="R35" s="705" t="s">
        <v>14</v>
      </c>
      <c r="S35" s="706">
        <f t="shared" si="12"/>
        <v>100</v>
      </c>
      <c r="T35" s="705" t="s">
        <v>14</v>
      </c>
      <c r="U35" s="706">
        <f t="shared" si="13"/>
        <v>100</v>
      </c>
      <c r="V35" s="705" t="s">
        <v>14</v>
      </c>
      <c r="W35" s="706">
        <f t="shared" si="14"/>
        <v>100</v>
      </c>
      <c r="X35" s="1355"/>
      <c r="Y35" s="3889"/>
      <c r="Z35" s="1356" t="str">
        <f t="shared" si="15"/>
        <v>公共部分装修</v>
      </c>
      <c r="AA35" s="1353">
        <f t="shared" si="3"/>
        <v>1</v>
      </c>
      <c r="AB35" s="1353">
        <f t="shared" si="4"/>
        <v>1</v>
      </c>
      <c r="AC35" s="1353">
        <f t="shared" si="5"/>
        <v>1</v>
      </c>
    </row>
    <row r="36" spans="1:29" ht="15">
      <c r="A36" s="423"/>
      <c r="B36" s="375" t="s">
        <v>1786</v>
      </c>
      <c r="C36" s="425">
        <v>0.7</v>
      </c>
      <c r="D36" s="386">
        <v>100</v>
      </c>
      <c r="E36" s="425">
        <v>0.7</v>
      </c>
      <c r="F36" s="412">
        <f>LOOKUP(E36,110:110,111:111)-LOOKUP(C36,110:110,111:111)+100</f>
        <v>100</v>
      </c>
      <c r="G36" s="425">
        <v>0.7</v>
      </c>
      <c r="H36" s="412">
        <f>LOOKUP(G36,110:110,111:111)-LOOKUP(C36,110:110,111:111)+100</f>
        <v>100</v>
      </c>
      <c r="I36" s="425">
        <v>0.7</v>
      </c>
      <c r="J36" s="386">
        <f>LOOKUP(I36,110:110,111:111)-LOOKUP(C36,110:110,111:111)+100</f>
        <v>100</v>
      </c>
      <c r="K36" s="561">
        <v>1</v>
      </c>
      <c r="L36" s="2722"/>
      <c r="M36" s="2716"/>
      <c r="N36" s="2716"/>
      <c r="O36" s="2716"/>
      <c r="P36" s="3887"/>
      <c r="Q36" s="1352" t="str">
        <f t="shared" si="11"/>
        <v>成新度</v>
      </c>
      <c r="R36" s="705" t="s">
        <v>14</v>
      </c>
      <c r="S36" s="706">
        <f t="shared" si="12"/>
        <v>100</v>
      </c>
      <c r="T36" s="705" t="s">
        <v>14</v>
      </c>
      <c r="U36" s="706">
        <f t="shared" si="13"/>
        <v>100</v>
      </c>
      <c r="V36" s="705" t="s">
        <v>14</v>
      </c>
      <c r="W36" s="706">
        <f t="shared" si="14"/>
        <v>100</v>
      </c>
      <c r="X36" s="1355"/>
      <c r="Y36" s="3889"/>
      <c r="Z36" s="1356" t="str">
        <f t="shared" si="15"/>
        <v>成新度</v>
      </c>
      <c r="AA36" s="1353">
        <f t="shared" si="3"/>
        <v>1</v>
      </c>
      <c r="AB36" s="1353">
        <f t="shared" si="4"/>
        <v>1</v>
      </c>
      <c r="AC36" s="1353">
        <f t="shared" si="5"/>
        <v>1</v>
      </c>
    </row>
    <row r="37" spans="1:29" s="108" customFormat="1" ht="15">
      <c r="A37" s="424"/>
      <c r="B37" s="375" t="s">
        <v>1787</v>
      </c>
      <c r="C37" s="1906" t="s">
        <v>3758</v>
      </c>
      <c r="D37" s="127">
        <v>100</v>
      </c>
      <c r="E37" s="1906" t="s">
        <v>3758</v>
      </c>
      <c r="F37" s="412">
        <f>SUMIF(112:112,E37,113:113)-SUMIF(112:112,C37,113:113)+100</f>
        <v>100</v>
      </c>
      <c r="G37" s="1906" t="s">
        <v>3758</v>
      </c>
      <c r="H37" s="386">
        <f>SUMIF(112:112,G37,113:113)-SUMIF(112:112,C37,113:113)+100</f>
        <v>100</v>
      </c>
      <c r="I37" s="1906" t="s">
        <v>3758</v>
      </c>
      <c r="J37" s="386">
        <f>SUMIF(112:112,I37,113:113)-SUMIF(112:112,C37,113:113)+100</f>
        <v>100</v>
      </c>
      <c r="K37" s="561">
        <v>1</v>
      </c>
      <c r="L37" s="2717"/>
      <c r="M37" s="2718"/>
      <c r="N37" s="2718"/>
      <c r="O37" s="2718"/>
      <c r="P37" s="3887"/>
      <c r="Q37" s="1343" t="str">
        <f t="shared" si="11"/>
        <v>市政基础设施</v>
      </c>
      <c r="R37" s="701" t="s">
        <v>14</v>
      </c>
      <c r="S37" s="702">
        <f t="shared" si="12"/>
        <v>100</v>
      </c>
      <c r="T37" s="701" t="s">
        <v>14</v>
      </c>
      <c r="U37" s="702">
        <f t="shared" si="13"/>
        <v>100</v>
      </c>
      <c r="V37" s="701" t="s">
        <v>14</v>
      </c>
      <c r="W37" s="702">
        <f t="shared" si="14"/>
        <v>100</v>
      </c>
      <c r="X37" s="703"/>
      <c r="Y37" s="3889"/>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887" t="s">
        <v>1696</v>
      </c>
      <c r="Q38" s="1352" t="str">
        <f t="shared" si="11"/>
        <v>业态</v>
      </c>
      <c r="R38" s="705" t="s">
        <v>14</v>
      </c>
      <c r="S38" s="706">
        <f t="shared" si="12"/>
        <v>100</v>
      </c>
      <c r="T38" s="705" t="s">
        <v>14</v>
      </c>
      <c r="U38" s="706">
        <f t="shared" si="13"/>
        <v>100</v>
      </c>
      <c r="V38" s="705" t="s">
        <v>14</v>
      </c>
      <c r="W38" s="706">
        <f t="shared" si="14"/>
        <v>100</v>
      </c>
      <c r="X38" s="1355"/>
      <c r="Y38" s="3889" t="s">
        <v>1696</v>
      </c>
      <c r="Z38" s="1356" t="str">
        <f t="shared" si="15"/>
        <v>业态</v>
      </c>
      <c r="AA38" s="1353">
        <f t="shared" si="3"/>
        <v>1</v>
      </c>
      <c r="AB38" s="1353">
        <f t="shared" si="4"/>
        <v>1</v>
      </c>
      <c r="AC38" s="1353">
        <f t="shared" si="5"/>
        <v>1</v>
      </c>
    </row>
    <row r="39" spans="1:29" ht="15">
      <c r="A39" s="423"/>
      <c r="B39" s="375" t="s">
        <v>1789</v>
      </c>
      <c r="C39" s="1906" t="s">
        <v>3753</v>
      </c>
      <c r="D39" s="386">
        <v>100</v>
      </c>
      <c r="E39" s="1906" t="s">
        <v>3753</v>
      </c>
      <c r="F39" s="412">
        <f>SUMIF(116:116,E39,117:117)-SUMIF(116:116,C39,117:117)+100</f>
        <v>100</v>
      </c>
      <c r="G39" s="1906" t="s">
        <v>3753</v>
      </c>
      <c r="H39" s="386">
        <f>SUMIF(116:116,G39,117:117)-SUMIF(116:116,C39,117:117)+100</f>
        <v>100</v>
      </c>
      <c r="I39" s="1906" t="s">
        <v>3753</v>
      </c>
      <c r="J39" s="386">
        <f>SUMIF(116:116,I39,117:117)-SUMIF(116:116,C39,117:117)+100</f>
        <v>100</v>
      </c>
      <c r="K39" s="561">
        <v>2</v>
      </c>
      <c r="L39" s="2722"/>
      <c r="M39" s="2716"/>
      <c r="N39" s="2716"/>
      <c r="O39" s="2716"/>
      <c r="P39" s="3887"/>
      <c r="Q39" s="1352" t="str">
        <f t="shared" si="11"/>
        <v>层高</v>
      </c>
      <c r="R39" s="705" t="s">
        <v>14</v>
      </c>
      <c r="S39" s="706">
        <f t="shared" si="12"/>
        <v>100</v>
      </c>
      <c r="T39" s="705" t="s">
        <v>14</v>
      </c>
      <c r="U39" s="706">
        <f t="shared" si="13"/>
        <v>100</v>
      </c>
      <c r="V39" s="705" t="s">
        <v>14</v>
      </c>
      <c r="W39" s="706">
        <f t="shared" si="14"/>
        <v>100</v>
      </c>
      <c r="X39" s="1355"/>
      <c r="Y39" s="3889"/>
      <c r="Z39" s="1356" t="str">
        <f t="shared" si="15"/>
        <v>层高</v>
      </c>
      <c r="AA39" s="1353">
        <f t="shared" si="3"/>
        <v>1</v>
      </c>
      <c r="AB39" s="1353">
        <f t="shared" si="4"/>
        <v>1</v>
      </c>
      <c r="AC39" s="1353">
        <f t="shared" si="5"/>
        <v>1</v>
      </c>
    </row>
    <row r="40" spans="1:29" ht="15" hidden="1">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887"/>
      <c r="Q40" s="1352" t="str">
        <f t="shared" si="11"/>
        <v>单套建筑面积</v>
      </c>
      <c r="R40" s="705" t="s">
        <v>14</v>
      </c>
      <c r="S40" s="706">
        <f t="shared" si="12"/>
        <v>100</v>
      </c>
      <c r="T40" s="705" t="s">
        <v>14</v>
      </c>
      <c r="U40" s="706">
        <f t="shared" si="13"/>
        <v>100</v>
      </c>
      <c r="V40" s="705" t="s">
        <v>14</v>
      </c>
      <c r="W40" s="706">
        <f t="shared" si="14"/>
        <v>100</v>
      </c>
      <c r="X40" s="1355"/>
      <c r="Y40" s="3889"/>
      <c r="Z40" s="1356" t="str">
        <f t="shared" si="15"/>
        <v>单套建筑面积</v>
      </c>
      <c r="AA40" s="1353">
        <f t="shared" si="3"/>
        <v>1</v>
      </c>
      <c r="AB40" s="1353">
        <f t="shared" si="4"/>
        <v>1</v>
      </c>
      <c r="AC40" s="1353">
        <f t="shared" si="5"/>
        <v>1</v>
      </c>
    </row>
    <row r="41" spans="1:29" s="422" customFormat="1" ht="15.6" thickBot="1">
      <c r="A41" s="419"/>
      <c r="B41" s="1354" t="s">
        <v>1791</v>
      </c>
      <c r="C41" s="565" t="s">
        <v>3681</v>
      </c>
      <c r="D41" s="386">
        <v>100</v>
      </c>
      <c r="E41" s="565" t="s">
        <v>3681</v>
      </c>
      <c r="F41" s="412">
        <f>SUMIF(120:120,E41,121:121)-SUMIF(120:120,C41,121:121)+100</f>
        <v>100</v>
      </c>
      <c r="G41" s="565" t="s">
        <v>3681</v>
      </c>
      <c r="H41" s="386">
        <f>SUMIF(120:120,G41,121:121)-SUMIF(120:120,C41,121:121)+100</f>
        <v>100</v>
      </c>
      <c r="I41" s="565" t="s">
        <v>3681</v>
      </c>
      <c r="J41" s="386">
        <f>SUMIF(120:120,I41,121:121)-SUMIF(120:120,C41,121:121)+100</f>
        <v>100</v>
      </c>
      <c r="K41" s="561">
        <v>2</v>
      </c>
      <c r="L41" s="2721"/>
      <c r="M41" s="2723"/>
      <c r="N41" s="2723"/>
      <c r="O41" s="2723"/>
      <c r="P41" s="3887"/>
      <c r="Q41" s="707" t="str">
        <f t="shared" si="11"/>
        <v>进深比</v>
      </c>
      <c r="R41" s="708" t="s">
        <v>14</v>
      </c>
      <c r="S41" s="709">
        <f t="shared" si="12"/>
        <v>100</v>
      </c>
      <c r="T41" s="708" t="s">
        <v>14</v>
      </c>
      <c r="U41" s="709">
        <f t="shared" si="13"/>
        <v>100</v>
      </c>
      <c r="V41" s="708" t="s">
        <v>14</v>
      </c>
      <c r="W41" s="709">
        <f t="shared" si="14"/>
        <v>100</v>
      </c>
      <c r="X41" s="710"/>
      <c r="Y41" s="3889"/>
      <c r="Z41" s="711" t="str">
        <f t="shared" si="15"/>
        <v>进深比</v>
      </c>
      <c r="AA41" s="1353">
        <f t="shared" si="3"/>
        <v>1</v>
      </c>
      <c r="AB41" s="1353">
        <f t="shared" si="4"/>
        <v>1</v>
      </c>
      <c r="AC41" s="1353">
        <f t="shared" si="5"/>
        <v>1</v>
      </c>
    </row>
    <row r="42" spans="1:29" ht="15" hidden="1">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887"/>
      <c r="Q42" s="1352" t="str">
        <f t="shared" si="11"/>
        <v>内部装修</v>
      </c>
      <c r="R42" s="705" t="s">
        <v>14</v>
      </c>
      <c r="S42" s="706">
        <f t="shared" si="12"/>
        <v>100</v>
      </c>
      <c r="T42" s="705" t="s">
        <v>14</v>
      </c>
      <c r="U42" s="706">
        <f t="shared" si="13"/>
        <v>100</v>
      </c>
      <c r="V42" s="705" t="s">
        <v>14</v>
      </c>
      <c r="W42" s="706">
        <f t="shared" si="14"/>
        <v>100</v>
      </c>
      <c r="X42" s="1355"/>
      <c r="Y42" s="3889"/>
      <c r="Z42" s="1356" t="str">
        <f t="shared" si="15"/>
        <v>内部装修</v>
      </c>
      <c r="AA42" s="1353">
        <f t="shared" si="3"/>
        <v>1</v>
      </c>
      <c r="AB42" s="1353">
        <f t="shared" si="4"/>
        <v>1</v>
      </c>
      <c r="AC42" s="1353">
        <f t="shared" si="5"/>
        <v>1</v>
      </c>
    </row>
    <row r="43" spans="1:29" ht="29.4" hidden="1" thickBot="1">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887"/>
      <c r="Q43" s="1352" t="str">
        <f t="shared" si="11"/>
        <v>内部装修维护情况</v>
      </c>
      <c r="R43" s="705" t="s">
        <v>14</v>
      </c>
      <c r="S43" s="706">
        <f t="shared" si="12"/>
        <v>100</v>
      </c>
      <c r="T43" s="705" t="s">
        <v>14</v>
      </c>
      <c r="U43" s="706">
        <f t="shared" si="13"/>
        <v>100</v>
      </c>
      <c r="V43" s="705" t="s">
        <v>14</v>
      </c>
      <c r="W43" s="706">
        <f t="shared" si="14"/>
        <v>100</v>
      </c>
      <c r="X43" s="1355"/>
      <c r="Y43" s="3889"/>
      <c r="Z43" s="1356" t="str">
        <f t="shared" si="15"/>
        <v>内部装修维护情况</v>
      </c>
      <c r="AA43" s="1353">
        <f t="shared" si="3"/>
        <v>1</v>
      </c>
      <c r="AB43" s="1353">
        <f t="shared" si="4"/>
        <v>1</v>
      </c>
      <c r="AC43" s="1353">
        <f t="shared" si="5"/>
        <v>1</v>
      </c>
    </row>
    <row r="44" spans="1:29" s="108" customFormat="1" ht="15" hidden="1">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887"/>
      <c r="Q44" s="1343">
        <f t="shared" si="11"/>
        <v>111</v>
      </c>
      <c r="R44" s="701" t="s">
        <v>14</v>
      </c>
      <c r="S44" s="702">
        <f t="shared" si="12"/>
        <v>100</v>
      </c>
      <c r="T44" s="701" t="s">
        <v>14</v>
      </c>
      <c r="U44" s="702">
        <f t="shared" si="13"/>
        <v>100</v>
      </c>
      <c r="V44" s="701" t="s">
        <v>14</v>
      </c>
      <c r="W44" s="702">
        <f t="shared" si="14"/>
        <v>100</v>
      </c>
      <c r="X44" s="703"/>
      <c r="Y44" s="3889"/>
      <c r="Z44" s="52">
        <f t="shared" si="15"/>
        <v>111</v>
      </c>
      <c r="AA44" s="704">
        <f t="shared" si="3"/>
        <v>1</v>
      </c>
      <c r="AB44" s="704">
        <f t="shared" si="4"/>
        <v>1</v>
      </c>
      <c r="AC44" s="704">
        <f t="shared" si="5"/>
        <v>1</v>
      </c>
    </row>
    <row r="45" spans="1:29" ht="15" hidden="1">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887"/>
      <c r="Q45" s="1352">
        <f t="shared" si="11"/>
        <v>111</v>
      </c>
      <c r="R45" s="705" t="s">
        <v>14</v>
      </c>
      <c r="S45" s="706">
        <f t="shared" si="12"/>
        <v>100</v>
      </c>
      <c r="T45" s="705" t="s">
        <v>14</v>
      </c>
      <c r="U45" s="706">
        <f t="shared" si="13"/>
        <v>100</v>
      </c>
      <c r="V45" s="705" t="s">
        <v>14</v>
      </c>
      <c r="W45" s="706">
        <f t="shared" si="14"/>
        <v>100</v>
      </c>
      <c r="X45" s="1355"/>
      <c r="Y45" s="3889"/>
      <c r="Z45" s="1356">
        <f t="shared" si="15"/>
        <v>111</v>
      </c>
      <c r="AA45" s="1353">
        <f t="shared" si="3"/>
        <v>1</v>
      </c>
      <c r="AB45" s="1353">
        <f t="shared" si="4"/>
        <v>1</v>
      </c>
      <c r="AC45" s="1353">
        <f t="shared" si="5"/>
        <v>1</v>
      </c>
    </row>
    <row r="46" spans="1:29" ht="15.6" hidden="1"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888"/>
      <c r="Q46" s="1352">
        <f t="shared" si="11"/>
        <v>111</v>
      </c>
      <c r="R46" s="705" t="s">
        <v>14</v>
      </c>
      <c r="S46" s="706">
        <f t="shared" si="12"/>
        <v>100</v>
      </c>
      <c r="T46" s="705" t="s">
        <v>14</v>
      </c>
      <c r="U46" s="706">
        <f t="shared" si="13"/>
        <v>100</v>
      </c>
      <c r="V46" s="705" t="s">
        <v>14</v>
      </c>
      <c r="W46" s="706">
        <f t="shared" si="14"/>
        <v>100</v>
      </c>
      <c r="X46" s="1355"/>
      <c r="Y46" s="3890"/>
      <c r="Z46" s="1356">
        <f t="shared" si="15"/>
        <v>111</v>
      </c>
      <c r="AA46" s="1353">
        <f t="shared" si="3"/>
        <v>1</v>
      </c>
      <c r="AB46" s="1353">
        <f t="shared" si="4"/>
        <v>1</v>
      </c>
      <c r="AC46" s="1353">
        <f t="shared" si="5"/>
        <v>1</v>
      </c>
    </row>
    <row r="47" spans="1:29" ht="14.4">
      <c r="A47" s="430" t="s">
        <v>1708</v>
      </c>
      <c r="B47" s="431"/>
      <c r="C47" s="1154" t="s">
        <v>0</v>
      </c>
      <c r="D47" s="1155"/>
      <c r="E47" s="1156">
        <v>14.44</v>
      </c>
      <c r="F47" s="1157"/>
      <c r="G47" s="1158">
        <v>13</v>
      </c>
      <c r="H47" s="1159"/>
      <c r="I47" s="1156">
        <v>14.3</v>
      </c>
      <c r="J47" s="1159"/>
      <c r="K47" s="714"/>
      <c r="L47" s="2724"/>
      <c r="M47" s="2725"/>
      <c r="N47" s="2716"/>
      <c r="O47" s="2725"/>
      <c r="P47" s="3891" t="str">
        <f>A47</f>
        <v>成交单价（元/平方米）</v>
      </c>
      <c r="Q47" s="3891"/>
      <c r="R47" s="3877">
        <f>E47</f>
        <v>14.44</v>
      </c>
      <c r="S47" s="3877"/>
      <c r="T47" s="3877">
        <f>G47</f>
        <v>13</v>
      </c>
      <c r="U47" s="3877"/>
      <c r="V47" s="3877">
        <f>I47</f>
        <v>14.3</v>
      </c>
      <c r="W47" s="3877"/>
      <c r="X47" s="690"/>
      <c r="Y47" s="712"/>
      <c r="Z47" s="690"/>
      <c r="AA47" s="690"/>
      <c r="AB47" s="690"/>
      <c r="AC47" s="690"/>
    </row>
    <row r="48" spans="1:29" ht="15" thickBot="1">
      <c r="A48" s="437" t="s">
        <v>1793</v>
      </c>
      <c r="B48" s="438"/>
      <c r="C48" s="1160">
        <f>R49</f>
        <v>13.1</v>
      </c>
      <c r="D48" s="2317" t="s">
        <v>2138</v>
      </c>
      <c r="E48" s="1161">
        <f>R48</f>
        <v>13.5</v>
      </c>
      <c r="F48" s="2318"/>
      <c r="G48" s="1160">
        <f>T48</f>
        <v>12.5</v>
      </c>
      <c r="H48" s="2318"/>
      <c r="I48" s="1161">
        <f>V48</f>
        <v>13.3</v>
      </c>
      <c r="J48" s="2318"/>
      <c r="K48" s="2320">
        <f>F48+H48+J48</f>
        <v>0</v>
      </c>
      <c r="L48" s="2724"/>
      <c r="M48" s="2725"/>
      <c r="N48" s="2716"/>
      <c r="O48" s="2725"/>
      <c r="P48" s="3891" t="str">
        <f>A48</f>
        <v>比较价值（元/平方米）</v>
      </c>
      <c r="Q48" s="3891"/>
      <c r="R48" s="3892">
        <f>IF(F1="售价",ROUND(PRODUCT(R47,AA7:AA46),0),ROUND(PRODUCT(R47,AA7:AA46),1))</f>
        <v>13.5</v>
      </c>
      <c r="S48" s="3892"/>
      <c r="T48" s="3892">
        <f>IF(F1="售价",ROUND(PRODUCT(T47,AB7:AB46),0),ROUND(PRODUCT(T47,AB7:AB46),1))</f>
        <v>12.5</v>
      </c>
      <c r="U48" s="3892"/>
      <c r="V48" s="3892">
        <f>IF(F1="售价",ROUND(PRODUCT(V47,AC7:AC46),0),ROUND(PRODUCT(V47,AC7:AC46),1))</f>
        <v>13.3</v>
      </c>
      <c r="W48" s="3892"/>
      <c r="X48" s="690"/>
      <c r="Y48" s="690"/>
      <c r="Z48" s="690"/>
      <c r="AA48" s="690"/>
      <c r="AB48" s="690"/>
      <c r="AC48" s="690"/>
    </row>
    <row r="49" spans="1:29" ht="15" thickBot="1">
      <c r="A49" s="441" t="s">
        <v>1794</v>
      </c>
      <c r="B49" s="442"/>
      <c r="C49" s="1163">
        <f>R49</f>
        <v>13.1</v>
      </c>
      <c r="D49" s="1163"/>
      <c r="E49" s="1163"/>
      <c r="F49" s="1163"/>
      <c r="G49" s="1163"/>
      <c r="H49" s="1163"/>
      <c r="I49" s="1163"/>
      <c r="J49" s="1163"/>
      <c r="K49" s="715"/>
      <c r="L49" s="2724"/>
      <c r="M49" s="2725"/>
      <c r="N49" s="2716"/>
      <c r="O49" s="2725"/>
      <c r="P49" s="3893" t="str">
        <f>A49</f>
        <v>估价对象XX用房的比较价值（楼面单价，元/平方米）</v>
      </c>
      <c r="Q49" s="3894"/>
      <c r="R49" s="3895">
        <f>IF(F1="售价",ROUND(IF(D48="简单平均",AVERAGE(R48:V48),R48*F48+T48*H48+V48*J48),0),ROUND(IF(D48="简单平均",AVERAGE(R48:V48),R48*F48+T48*H48+V48*J48),1))</f>
        <v>13.1</v>
      </c>
      <c r="S49" s="3895"/>
      <c r="T49" s="3895"/>
      <c r="U49" s="3895"/>
      <c r="V49" s="3895"/>
      <c r="W49" s="3895"/>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f>IF(E47&lt;E48,E48/E47-1,E47/E48-1)</f>
        <v>6.9629629629629486E-2</v>
      </c>
      <c r="F52" s="449" t="str">
        <f>IF(OR(E52&gt;=0.3,E52&lt;=-0.3),"超过30%","")</f>
        <v/>
      </c>
      <c r="G52" s="448">
        <f>IF(G47&lt;G48,G48/G47-1,G47/G48-1)</f>
        <v>4.0000000000000036E-2</v>
      </c>
      <c r="H52" s="449" t="str">
        <f>IF(OR(G52&gt;=0.3,G52&lt;=-0.3),"超过30%","")</f>
        <v/>
      </c>
      <c r="I52" s="448">
        <f>IF(I47&lt;I48,I48/I47-1,I47/I48-1)</f>
        <v>7.5187969924812137E-2</v>
      </c>
      <c r="J52" s="449" t="str">
        <f>IF(OR(I52&gt;=0.3,I52&lt;=-0.3),"超过30%","")</f>
        <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f>IF(E48&lt;G48,G48/E48-1,E48/G48-1)</f>
        <v>8.0000000000000071E-2</v>
      </c>
      <c r="F53" s="449" t="str">
        <f>IF(OR(E53&gt;=0.2,E53&lt;=-0.2),"超过20%","")</f>
        <v/>
      </c>
      <c r="G53" s="448">
        <f>IF(G48&lt;I48,I48/G48-1,G48/I48-1)</f>
        <v>6.4000000000000057E-2</v>
      </c>
      <c r="H53" s="449" t="str">
        <f>IF(OR(G53&gt;=0.2,G53&lt;=-0.2),"超过20%","")</f>
        <v/>
      </c>
      <c r="I53" s="448">
        <f>IF(I48&lt;E48,E48/I48-1,I48/E48-1)</f>
        <v>1.5037593984962294E-2</v>
      </c>
      <c r="J53" s="449" t="str">
        <f>IF(OR(I53&gt;=0.2,I53&lt;=-0.2),"超过20%","")</f>
        <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f>IF(E47&lt;G47,G47/E47-1,E47/G47-1)</f>
        <v>0.11076923076923073</v>
      </c>
      <c r="F54" s="449" t="str">
        <f>IF(OR(E54&gt;=0.3,E54&lt;=-0.3),"超过30%","")</f>
        <v/>
      </c>
      <c r="G54" s="448">
        <f>IF(G47&lt;I47,I47/G47-1,G47/I47-1)</f>
        <v>0.10000000000000009</v>
      </c>
      <c r="H54" s="449" t="str">
        <f>IF(OR(G54&gt;=0.3,G54&lt;=-0.3),"超过30%","")</f>
        <v/>
      </c>
      <c r="I54" s="448">
        <f>IF(I47&lt;E47,E47/I47-1,I47/E47-1)</f>
        <v>9.7902097902096141E-3</v>
      </c>
      <c r="J54" s="449" t="str">
        <f>IF(OR(I54&gt;=0.3,I54&lt;=-0.3),"超过30%","")</f>
        <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2.2"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4.4">
      <c r="A58" s="454" t="s">
        <v>1679</v>
      </c>
      <c r="B58" s="455"/>
      <c r="C58" s="1184" t="str">
        <f>YEAR(C7)&amp;"-"&amp;MONTH(C7)</f>
        <v>2024-7</v>
      </c>
      <c r="D58" s="1185">
        <f>EDATE(C58,-1)</f>
        <v>45444</v>
      </c>
      <c r="E58" s="1185">
        <f t="shared" ref="E58:N58" si="16">EDATE(D58,-1)</f>
        <v>45413</v>
      </c>
      <c r="F58" s="1185">
        <f t="shared" si="16"/>
        <v>45383</v>
      </c>
      <c r="G58" s="1185">
        <f t="shared" si="16"/>
        <v>45352</v>
      </c>
      <c r="H58" s="1185">
        <f t="shared" si="16"/>
        <v>45323</v>
      </c>
      <c r="I58" s="1185">
        <f t="shared" si="16"/>
        <v>45292</v>
      </c>
      <c r="J58" s="1185">
        <f t="shared" si="16"/>
        <v>45261</v>
      </c>
      <c r="K58" s="1185">
        <f t="shared" si="16"/>
        <v>45231</v>
      </c>
      <c r="L58" s="1185">
        <f t="shared" si="16"/>
        <v>45200</v>
      </c>
      <c r="M58" s="1185">
        <f t="shared" si="16"/>
        <v>45170</v>
      </c>
      <c r="N58" s="1185">
        <f t="shared" si="16"/>
        <v>45139</v>
      </c>
      <c r="O58" s="1185">
        <f>EDATE(N58,-1)</f>
        <v>45108</v>
      </c>
      <c r="P58" s="2740"/>
      <c r="Q58" s="2741"/>
      <c r="R58" s="2741"/>
      <c r="S58" s="2741"/>
      <c r="T58" s="2741"/>
      <c r="U58" s="2741"/>
      <c r="V58" s="2741"/>
      <c r="W58" s="2741"/>
      <c r="X58" s="2741"/>
      <c r="Y58" s="2741"/>
      <c r="Z58" s="2741"/>
      <c r="AA58" s="2741"/>
      <c r="AB58" s="2741"/>
      <c r="AC58" s="2741"/>
    </row>
    <row r="59" spans="1:29" s="108" customFormat="1">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4.4">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4.4"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ht="14.4">
      <c r="A63" s="476" t="s">
        <v>1719</v>
      </c>
      <c r="B63" s="477" t="s">
        <v>1685</v>
      </c>
      <c r="C63" s="478" t="str">
        <f>C9</f>
        <v>商业</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4.4"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9.4"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4.4"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 thickTop="1">
      <c r="A67" s="483"/>
      <c r="B67" s="495" t="s">
        <v>1689</v>
      </c>
      <c r="C67" s="496" t="str">
        <f>C68&amp;"（含）"&amp;"-"&amp;D68</f>
        <v>0（含）-1</v>
      </c>
      <c r="D67" s="496" t="str">
        <f t="shared" ref="D67:L67" si="17">D68&amp;"（含）"&amp;"-"&amp;E68</f>
        <v>1（含）-2</v>
      </c>
      <c r="E67" s="496" t="str">
        <f t="shared" si="17"/>
        <v>2（含）-3</v>
      </c>
      <c r="F67" s="496" t="str">
        <f t="shared" si="17"/>
        <v>3（含）-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c r="A68" s="483"/>
      <c r="B68" s="497"/>
      <c r="C68" s="498">
        <v>0</v>
      </c>
      <c r="D68" s="498">
        <v>1</v>
      </c>
      <c r="E68" s="498">
        <v>2</v>
      </c>
      <c r="F68" s="498">
        <v>3</v>
      </c>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4.4" thickBot="1">
      <c r="A69" s="483"/>
      <c r="B69" s="484"/>
      <c r="C69" s="493">
        <v>100</v>
      </c>
      <c r="D69" s="493">
        <f t="shared" ref="D69:M69" si="18">C69-$K11</f>
        <v>99</v>
      </c>
      <c r="E69" s="493">
        <f t="shared" si="18"/>
        <v>98</v>
      </c>
      <c r="F69" s="493">
        <f t="shared" si="18"/>
        <v>97</v>
      </c>
      <c r="G69" s="493">
        <f t="shared" si="18"/>
        <v>96</v>
      </c>
      <c r="H69" s="493">
        <f t="shared" si="18"/>
        <v>95</v>
      </c>
      <c r="I69" s="493">
        <f t="shared" si="18"/>
        <v>94</v>
      </c>
      <c r="J69" s="493">
        <f t="shared" si="18"/>
        <v>93</v>
      </c>
      <c r="K69" s="493">
        <f t="shared" si="18"/>
        <v>92</v>
      </c>
      <c r="L69" s="493">
        <f t="shared" si="18"/>
        <v>91</v>
      </c>
      <c r="M69" s="494">
        <f t="shared" si="18"/>
        <v>90</v>
      </c>
      <c r="N69" s="2754"/>
      <c r="O69" s="2754"/>
      <c r="P69" s="2744"/>
      <c r="Q69" s="2739"/>
      <c r="R69" s="2725"/>
      <c r="S69" s="2725"/>
      <c r="T69" s="2725"/>
      <c r="U69" s="2725"/>
      <c r="V69" s="2725"/>
      <c r="W69" s="2725"/>
      <c r="X69" s="2725"/>
      <c r="Y69" s="2725"/>
      <c r="Z69" s="2725"/>
      <c r="AA69" s="2725"/>
      <c r="AB69" s="2725"/>
      <c r="AC69" s="2725"/>
    </row>
    <row r="70" spans="1:29" s="422" customFormat="1" ht="14.4"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4.4"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4.4"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4.4"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4.4"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4.4"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ht="14.4">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4.4" thickBot="1">
      <c r="A77" s="483"/>
      <c r="B77" s="492"/>
      <c r="C77" s="493">
        <v>100</v>
      </c>
      <c r="D77" s="493">
        <f>C77-$K15</f>
        <v>98</v>
      </c>
      <c r="E77" s="493">
        <f>D77-$K15</f>
        <v>96</v>
      </c>
      <c r="F77" s="493">
        <f>E77-$K15</f>
        <v>94</v>
      </c>
      <c r="G77" s="493">
        <f>F77-$K15</f>
        <v>92</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4.4" thickBot="1">
      <c r="A79" s="483"/>
      <c r="B79" s="492"/>
      <c r="C79" s="493">
        <v>100</v>
      </c>
      <c r="D79" s="493">
        <f>C79-$K17</f>
        <v>98</v>
      </c>
      <c r="E79" s="493">
        <f>D79-$K17</f>
        <v>96</v>
      </c>
      <c r="F79" s="493">
        <f>E79-$K17</f>
        <v>94</v>
      </c>
      <c r="G79" s="493">
        <f>F79-$K17</f>
        <v>92</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4.4" thickBot="1">
      <c r="A81" s="483"/>
      <c r="B81" s="492"/>
      <c r="C81" s="493">
        <v>100</v>
      </c>
      <c r="D81" s="493">
        <f>C81-$K19</f>
        <v>98</v>
      </c>
      <c r="E81" s="493">
        <f>D81-$K19</f>
        <v>96</v>
      </c>
      <c r="F81" s="493">
        <f>E81-$K19</f>
        <v>94</v>
      </c>
      <c r="G81" s="493">
        <f>F81-$K19</f>
        <v>92</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4.4" thickBot="1">
      <c r="A83" s="483"/>
      <c r="B83" s="495"/>
      <c r="C83" s="493">
        <v>100</v>
      </c>
      <c r="D83" s="493">
        <f>C83-$K21</f>
        <v>99</v>
      </c>
      <c r="E83" s="493">
        <f t="shared" ref="E83:G83" si="19">D83-$K21</f>
        <v>98</v>
      </c>
      <c r="F83" s="493">
        <f t="shared" si="19"/>
        <v>97</v>
      </c>
      <c r="G83" s="493">
        <f t="shared" si="19"/>
        <v>96</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4.4" thickBot="1">
      <c r="A85" s="483"/>
      <c r="B85" s="492"/>
      <c r="C85" s="493">
        <v>100</v>
      </c>
      <c r="D85" s="493">
        <f>C85-$K23</f>
        <v>98</v>
      </c>
      <c r="E85" s="493">
        <f>D85-$K23</f>
        <v>96</v>
      </c>
      <c r="F85" s="493">
        <f>E85-$K23</f>
        <v>94</v>
      </c>
      <c r="G85" s="493">
        <f>F85-$K23</f>
        <v>92</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 thickTop="1">
      <c r="A86" s="528"/>
      <c r="B86" s="487" t="s">
        <v>1804</v>
      </c>
      <c r="C86" s="3570" t="s">
        <v>3732</v>
      </c>
      <c r="D86" s="3570" t="s">
        <v>3734</v>
      </c>
      <c r="E86" s="3570" t="s">
        <v>3748</v>
      </c>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4.4" thickBot="1">
      <c r="A87" s="528"/>
      <c r="B87" s="492"/>
      <c r="C87" s="531">
        <v>100</v>
      </c>
      <c r="D87" s="493">
        <f t="shared" ref="D87:M87" si="20">C87-$K25</f>
        <v>97</v>
      </c>
      <c r="E87" s="493">
        <f t="shared" si="20"/>
        <v>94</v>
      </c>
      <c r="F87" s="493">
        <f t="shared" si="20"/>
        <v>91</v>
      </c>
      <c r="G87" s="493">
        <f t="shared" si="20"/>
        <v>88</v>
      </c>
      <c r="H87" s="493">
        <f t="shared" si="20"/>
        <v>85</v>
      </c>
      <c r="I87" s="493">
        <f t="shared" si="20"/>
        <v>82</v>
      </c>
      <c r="J87" s="493">
        <f t="shared" si="20"/>
        <v>79</v>
      </c>
      <c r="K87" s="493">
        <f t="shared" si="20"/>
        <v>76</v>
      </c>
      <c r="L87" s="493">
        <f t="shared" si="20"/>
        <v>73</v>
      </c>
      <c r="M87" s="493">
        <f t="shared" si="20"/>
        <v>70</v>
      </c>
      <c r="N87" s="2754"/>
      <c r="O87" s="2754"/>
      <c r="P87" s="2744"/>
      <c r="Q87" s="2739"/>
      <c r="R87" s="2661"/>
      <c r="S87" s="2661"/>
      <c r="T87" s="2661"/>
      <c r="U87" s="2661"/>
      <c r="V87" s="2661"/>
      <c r="W87" s="2661"/>
      <c r="X87" s="2661"/>
      <c r="Y87" s="2661"/>
      <c r="Z87" s="2661"/>
      <c r="AA87" s="2661"/>
      <c r="AB87" s="2661"/>
      <c r="AC87" s="2661"/>
    </row>
    <row r="88" spans="1:29" s="108" customFormat="1" ht="15" thickTop="1">
      <c r="A88" s="528"/>
      <c r="B88" s="487" t="str">
        <f>B26</f>
        <v>平面位置/可视性</v>
      </c>
      <c r="C88" s="3570" t="s">
        <v>3740</v>
      </c>
      <c r="D88" s="3570" t="s">
        <v>3735</v>
      </c>
      <c r="E88" s="3570" t="s">
        <v>3737</v>
      </c>
      <c r="F88" s="3570" t="s">
        <v>3738</v>
      </c>
      <c r="G88" s="3573" t="s">
        <v>3739</v>
      </c>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4.4" thickBot="1">
      <c r="A89" s="528"/>
      <c r="B89" s="492"/>
      <c r="C89" s="509">
        <v>100</v>
      </c>
      <c r="D89" s="509">
        <v>98</v>
      </c>
      <c r="E89" s="485">
        <v>96</v>
      </c>
      <c r="F89" s="485">
        <v>949</v>
      </c>
      <c r="G89" s="485">
        <v>92</v>
      </c>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 thickTop="1">
      <c r="A90" s="502"/>
      <c r="B90" s="487" t="str">
        <f>B27</f>
        <v>人流量</v>
      </c>
      <c r="C90" s="3570" t="s">
        <v>3741</v>
      </c>
      <c r="D90" s="3570" t="s">
        <v>3735</v>
      </c>
      <c r="E90" s="3570" t="s">
        <v>3737</v>
      </c>
      <c r="F90" s="3570" t="s">
        <v>3738</v>
      </c>
      <c r="G90" s="3573" t="s">
        <v>3739</v>
      </c>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4.4" thickBot="1">
      <c r="A91" s="502"/>
      <c r="B91" s="492"/>
      <c r="C91" s="531">
        <v>100</v>
      </c>
      <c r="D91" s="493">
        <f>C91-$K27</f>
        <v>98</v>
      </c>
      <c r="E91" s="493">
        <f t="shared" ref="E91:M91" si="21">D91-$K27</f>
        <v>96</v>
      </c>
      <c r="F91" s="493">
        <f t="shared" si="21"/>
        <v>94</v>
      </c>
      <c r="G91" s="493">
        <f t="shared" si="21"/>
        <v>92</v>
      </c>
      <c r="H91" s="493">
        <f t="shared" si="21"/>
        <v>90</v>
      </c>
      <c r="I91" s="493">
        <f t="shared" si="21"/>
        <v>88</v>
      </c>
      <c r="J91" s="493">
        <f t="shared" si="21"/>
        <v>86</v>
      </c>
      <c r="K91" s="493">
        <f t="shared" si="21"/>
        <v>84</v>
      </c>
      <c r="L91" s="493">
        <f t="shared" si="21"/>
        <v>82</v>
      </c>
      <c r="M91" s="493">
        <f t="shared" si="21"/>
        <v>80</v>
      </c>
      <c r="N91" s="2755"/>
      <c r="O91" s="2755"/>
      <c r="P91" s="2745"/>
      <c r="Q91" s="2746"/>
      <c r="R91" s="2747"/>
      <c r="S91" s="2747"/>
      <c r="T91" s="2747"/>
      <c r="U91" s="2747"/>
      <c r="V91" s="2747"/>
      <c r="W91" s="2747"/>
      <c r="X91" s="2747"/>
      <c r="Y91" s="2747"/>
      <c r="Z91" s="2747"/>
      <c r="AA91" s="2747"/>
      <c r="AB91" s="2747"/>
      <c r="AC91" s="2747"/>
    </row>
    <row r="92" spans="1:29" ht="15" thickTop="1">
      <c r="A92" s="483"/>
      <c r="B92" s="487" t="str">
        <f>B28</f>
        <v>楼层</v>
      </c>
      <c r="C92" s="503" t="s">
        <v>3742</v>
      </c>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4.4" thickBot="1">
      <c r="A93" s="483"/>
      <c r="B93" s="492"/>
      <c r="C93" s="485">
        <v>100</v>
      </c>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4.4"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4.4"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4.4"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4.4"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4.4"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4.4"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ht="14.4">
      <c r="A100" s="476" t="s">
        <v>1694</v>
      </c>
      <c r="B100" s="477" t="s">
        <v>1805</v>
      </c>
      <c r="C100" s="3572" t="s">
        <v>3724</v>
      </c>
      <c r="D100" s="3572" t="s">
        <v>3726</v>
      </c>
      <c r="E100" s="3572" t="s">
        <v>3729</v>
      </c>
      <c r="F100" s="3572" t="s">
        <v>3727</v>
      </c>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4.4" thickBot="1">
      <c r="A101" s="483"/>
      <c r="B101" s="492"/>
      <c r="C101" s="493">
        <v>100</v>
      </c>
      <c r="D101" s="493">
        <f t="shared" ref="D101:M101" si="22">C101-$K32</f>
        <v>97</v>
      </c>
      <c r="E101" s="493">
        <f t="shared" si="22"/>
        <v>94</v>
      </c>
      <c r="F101" s="493">
        <f t="shared" si="22"/>
        <v>91</v>
      </c>
      <c r="G101" s="493">
        <f t="shared" si="22"/>
        <v>88</v>
      </c>
      <c r="H101" s="493">
        <f t="shared" si="22"/>
        <v>85</v>
      </c>
      <c r="I101" s="493">
        <f t="shared" si="22"/>
        <v>82</v>
      </c>
      <c r="J101" s="493">
        <f t="shared" si="22"/>
        <v>79</v>
      </c>
      <c r="K101" s="493">
        <f t="shared" si="22"/>
        <v>76</v>
      </c>
      <c r="L101" s="493">
        <f t="shared" si="22"/>
        <v>73</v>
      </c>
      <c r="M101" s="494">
        <f t="shared" si="22"/>
        <v>70</v>
      </c>
      <c r="N101" s="2754"/>
      <c r="O101" s="2754"/>
      <c r="P101" s="2744"/>
      <c r="Q101" s="2739"/>
      <c r="R101" s="2725"/>
      <c r="S101" s="2725"/>
      <c r="T101" s="2725"/>
      <c r="U101" s="2725"/>
      <c r="V101" s="2725"/>
      <c r="W101" s="2725"/>
      <c r="X101" s="2725"/>
      <c r="Y101" s="2725"/>
      <c r="Z101" s="2725"/>
      <c r="AA101" s="2725"/>
      <c r="AB101" s="2725"/>
      <c r="AC101" s="2725"/>
    </row>
    <row r="102" spans="1:29" ht="28.2" thickTop="1">
      <c r="A102" s="483"/>
      <c r="B102" s="487" t="s">
        <v>1737</v>
      </c>
      <c r="C102" s="527" t="str">
        <f>C103&amp;"(含)"&amp;"-"&amp;D103</f>
        <v>0(含)-500</v>
      </c>
      <c r="D102" s="527" t="str">
        <f t="shared" ref="D102:L102" si="23">D103&amp;"(含)"&amp;"-"&amp;E103</f>
        <v>500(含)-1000</v>
      </c>
      <c r="E102" s="527" t="str">
        <f t="shared" si="23"/>
        <v>1000(含)-1500</v>
      </c>
      <c r="F102" s="527" t="str">
        <f t="shared" si="23"/>
        <v>1500(含)-2000</v>
      </c>
      <c r="G102" s="527" t="str">
        <f t="shared" si="23"/>
        <v>2000(含)-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v>0</v>
      </c>
      <c r="D103" s="544">
        <v>500</v>
      </c>
      <c r="E103" s="544">
        <v>1000</v>
      </c>
      <c r="F103" s="544">
        <v>1500</v>
      </c>
      <c r="G103" s="544">
        <v>2000</v>
      </c>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4.4" thickBot="1">
      <c r="A104" s="502"/>
      <c r="B104" s="492"/>
      <c r="C104" s="509">
        <v>100</v>
      </c>
      <c r="D104" s="485">
        <v>98</v>
      </c>
      <c r="E104" s="485">
        <v>96</v>
      </c>
      <c r="F104" s="485">
        <v>94</v>
      </c>
      <c r="G104" s="485">
        <v>92</v>
      </c>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3570" t="s">
        <v>3750</v>
      </c>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4.4" thickBot="1">
      <c r="A106" s="483"/>
      <c r="B106" s="492"/>
      <c r="C106" s="493">
        <v>100</v>
      </c>
      <c r="D106" s="493">
        <f t="shared" ref="D106:M106" si="24">C106-$K34</f>
        <v>98</v>
      </c>
      <c r="E106" s="493">
        <f t="shared" si="24"/>
        <v>96</v>
      </c>
      <c r="F106" s="493">
        <f t="shared" si="24"/>
        <v>94</v>
      </c>
      <c r="G106" s="493">
        <f t="shared" si="24"/>
        <v>92</v>
      </c>
      <c r="H106" s="493">
        <f t="shared" si="24"/>
        <v>90</v>
      </c>
      <c r="I106" s="493">
        <f t="shared" si="24"/>
        <v>88</v>
      </c>
      <c r="J106" s="493">
        <f t="shared" si="24"/>
        <v>86</v>
      </c>
      <c r="K106" s="493">
        <f t="shared" si="24"/>
        <v>84</v>
      </c>
      <c r="L106" s="493">
        <f t="shared" si="24"/>
        <v>82</v>
      </c>
      <c r="M106" s="494">
        <f t="shared" si="24"/>
        <v>80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3570" t="s">
        <v>3751</v>
      </c>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4.4" thickBot="1">
      <c r="A108" s="483"/>
      <c r="B108" s="492"/>
      <c r="C108" s="493">
        <v>100</v>
      </c>
      <c r="D108" s="493">
        <f t="shared" ref="D108:M108" si="25">C108-$K35</f>
        <v>98</v>
      </c>
      <c r="E108" s="493">
        <f t="shared" si="25"/>
        <v>96</v>
      </c>
      <c r="F108" s="493">
        <f t="shared" si="25"/>
        <v>94</v>
      </c>
      <c r="G108" s="493">
        <f t="shared" si="25"/>
        <v>92</v>
      </c>
      <c r="H108" s="493">
        <f t="shared" si="25"/>
        <v>90</v>
      </c>
      <c r="I108" s="493">
        <f t="shared" si="25"/>
        <v>88</v>
      </c>
      <c r="J108" s="493">
        <f t="shared" si="25"/>
        <v>86</v>
      </c>
      <c r="K108" s="493">
        <f t="shared" si="25"/>
        <v>84</v>
      </c>
      <c r="L108" s="493">
        <f t="shared" si="25"/>
        <v>82</v>
      </c>
      <c r="M108" s="494">
        <f t="shared" si="25"/>
        <v>80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4.4" thickBot="1">
      <c r="A111" s="483"/>
      <c r="B111" s="492"/>
      <c r="C111" s="531">
        <v>100</v>
      </c>
      <c r="D111" s="493">
        <f>C111+$K36</f>
        <v>101</v>
      </c>
      <c r="E111" s="493">
        <f t="shared" ref="E111:M111" si="26">D111+$K36</f>
        <v>102</v>
      </c>
      <c r="F111" s="493">
        <f t="shared" si="26"/>
        <v>103</v>
      </c>
      <c r="G111" s="493">
        <f t="shared" si="26"/>
        <v>104</v>
      </c>
      <c r="H111" s="493">
        <f t="shared" si="26"/>
        <v>105</v>
      </c>
      <c r="I111" s="493">
        <f t="shared" si="26"/>
        <v>106</v>
      </c>
      <c r="J111" s="493">
        <f t="shared" si="26"/>
        <v>107</v>
      </c>
      <c r="K111" s="493">
        <f t="shared" si="26"/>
        <v>108</v>
      </c>
      <c r="L111" s="493">
        <f t="shared" si="26"/>
        <v>109</v>
      </c>
      <c r="M111" s="493">
        <f t="shared" si="26"/>
        <v>110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3570" t="s">
        <v>3756</v>
      </c>
      <c r="D112" s="3570" t="s">
        <v>3757</v>
      </c>
      <c r="E112" s="3570" t="s">
        <v>3759</v>
      </c>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4.4" thickBot="1">
      <c r="A113" s="502"/>
      <c r="B113" s="492"/>
      <c r="C113" s="493">
        <v>100</v>
      </c>
      <c r="D113" s="493">
        <f>C113-$K37</f>
        <v>99</v>
      </c>
      <c r="E113" s="493">
        <f t="shared" ref="E113:M113" si="27">D113-$K37</f>
        <v>98</v>
      </c>
      <c r="F113" s="493">
        <f t="shared" si="27"/>
        <v>97</v>
      </c>
      <c r="G113" s="493">
        <f t="shared" si="27"/>
        <v>96</v>
      </c>
      <c r="H113" s="493">
        <f t="shared" si="27"/>
        <v>95</v>
      </c>
      <c r="I113" s="493">
        <f t="shared" si="27"/>
        <v>94</v>
      </c>
      <c r="J113" s="493">
        <f t="shared" si="27"/>
        <v>93</v>
      </c>
      <c r="K113" s="493">
        <f t="shared" si="27"/>
        <v>92</v>
      </c>
      <c r="L113" s="493">
        <f t="shared" si="27"/>
        <v>91</v>
      </c>
      <c r="M113" s="493">
        <f t="shared" si="27"/>
        <v>90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3570" t="s">
        <v>3755</v>
      </c>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4.4"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3570" t="s">
        <v>3754</v>
      </c>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4.4" thickBot="1">
      <c r="A117" s="483"/>
      <c r="B117" s="492"/>
      <c r="C117" s="493">
        <v>100</v>
      </c>
      <c r="D117" s="493">
        <f>C117-$K39</f>
        <v>98</v>
      </c>
      <c r="E117" s="493">
        <f>D117-$K39</f>
        <v>96</v>
      </c>
      <c r="F117" s="493">
        <f>E117-$K39</f>
        <v>94</v>
      </c>
      <c r="G117" s="493">
        <f>F117-$K39</f>
        <v>92</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4.4"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3575" t="s">
        <v>3752</v>
      </c>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4.4" thickBot="1">
      <c r="A121" s="502"/>
      <c r="B121" s="484"/>
      <c r="C121" s="531">
        <v>100</v>
      </c>
      <c r="D121" s="493">
        <f>C121-$K41</f>
        <v>98</v>
      </c>
      <c r="E121" s="493">
        <f t="shared" ref="E121:M121" si="29">D121-$K41</f>
        <v>96</v>
      </c>
      <c r="F121" s="493">
        <f t="shared" si="29"/>
        <v>94</v>
      </c>
      <c r="G121" s="493">
        <f t="shared" si="29"/>
        <v>92</v>
      </c>
      <c r="H121" s="493">
        <f t="shared" si="29"/>
        <v>90</v>
      </c>
      <c r="I121" s="493">
        <f t="shared" si="29"/>
        <v>88</v>
      </c>
      <c r="J121" s="493">
        <f t="shared" si="29"/>
        <v>86</v>
      </c>
      <c r="K121" s="493">
        <f t="shared" si="29"/>
        <v>84</v>
      </c>
      <c r="L121" s="493">
        <f t="shared" si="29"/>
        <v>82</v>
      </c>
      <c r="M121" s="494">
        <f t="shared" si="29"/>
        <v>80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4.4"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29.4"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4.4"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4.4"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4.4"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4.4"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4.4"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4.4"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4.4"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86" priority="21" stopIfTrue="1" operator="containsText" text="超过">
      <formula>NOT(ISERROR(SEARCH("超过",F52)))</formula>
    </cfRule>
  </conditionalFormatting>
  <conditionalFormatting sqref="H54">
    <cfRule type="containsText" dxfId="185" priority="19" stopIfTrue="1" operator="containsText" text="超过">
      <formula>NOT(ISERROR(SEARCH("超过",H54)))</formula>
    </cfRule>
  </conditionalFormatting>
  <conditionalFormatting sqref="F54">
    <cfRule type="containsText" dxfId="184" priority="18" stopIfTrue="1" operator="containsText" text="超过">
      <formula>NOT(ISERROR(SEARCH("超过",F54)))</formula>
    </cfRule>
  </conditionalFormatting>
  <conditionalFormatting sqref="F53 H53">
    <cfRule type="containsText" dxfId="183" priority="17" stopIfTrue="1" operator="containsText" text="超过">
      <formula>NOT(ISERROR(SEARCH("超过",F53)))</formula>
    </cfRule>
  </conditionalFormatting>
  <conditionalFormatting sqref="E52">
    <cfRule type="expression" dxfId="182" priority="16" stopIfTrue="1">
      <formula>$F$52="超过30%"</formula>
    </cfRule>
  </conditionalFormatting>
  <conditionalFormatting sqref="E53">
    <cfRule type="expression" dxfId="181" priority="15" stopIfTrue="1">
      <formula>$F$53="超过20%"</formula>
    </cfRule>
  </conditionalFormatting>
  <conditionalFormatting sqref="E54">
    <cfRule type="expression" dxfId="180" priority="14" stopIfTrue="1">
      <formula>$F$54="超过30%"</formula>
    </cfRule>
  </conditionalFormatting>
  <conditionalFormatting sqref="G54">
    <cfRule type="expression" dxfId="179" priority="13" stopIfTrue="1">
      <formula>$H$54="超过30%"</formula>
    </cfRule>
  </conditionalFormatting>
  <conditionalFormatting sqref="G52">
    <cfRule type="expression" dxfId="178" priority="12" stopIfTrue="1">
      <formula>$H$52="超过30%"</formula>
    </cfRule>
  </conditionalFormatting>
  <conditionalFormatting sqref="G53">
    <cfRule type="expression" dxfId="177" priority="11" stopIfTrue="1">
      <formula>$H$53="超过20%"</formula>
    </cfRule>
  </conditionalFormatting>
  <conditionalFormatting sqref="J52">
    <cfRule type="containsText" dxfId="176" priority="10" stopIfTrue="1" operator="containsText" text="超过">
      <formula>NOT(ISERROR(SEARCH("超过",J52)))</formula>
    </cfRule>
  </conditionalFormatting>
  <conditionalFormatting sqref="J54">
    <cfRule type="containsText" dxfId="175" priority="9" stopIfTrue="1" operator="containsText" text="超过">
      <formula>NOT(ISERROR(SEARCH("超过",J54)))</formula>
    </cfRule>
  </conditionalFormatting>
  <conditionalFormatting sqref="J53">
    <cfRule type="containsText" dxfId="174" priority="8" stopIfTrue="1" operator="containsText" text="超过">
      <formula>NOT(ISERROR(SEARCH("超过",J53)))</formula>
    </cfRule>
  </conditionalFormatting>
  <conditionalFormatting sqref="I52">
    <cfRule type="expression" dxfId="173" priority="7" stopIfTrue="1">
      <formula>$J$52="超过30%"</formula>
    </cfRule>
  </conditionalFormatting>
  <conditionalFormatting sqref="I53">
    <cfRule type="expression" dxfId="172" priority="6" stopIfTrue="1">
      <formula>$J$53="超过20%"</formula>
    </cfRule>
  </conditionalFormatting>
  <conditionalFormatting sqref="I54">
    <cfRule type="expression" dxfId="171" priority="5" stopIfTrue="1">
      <formula>$J$54="超过30%"</formula>
    </cfRule>
  </conditionalFormatting>
  <conditionalFormatting sqref="F48">
    <cfRule type="expression" dxfId="170" priority="4">
      <formula>$D$48="简单平均"</formula>
    </cfRule>
  </conditionalFormatting>
  <conditionalFormatting sqref="H48">
    <cfRule type="expression" dxfId="169" priority="3">
      <formula>$D$48="简单平均"</formula>
    </cfRule>
  </conditionalFormatting>
  <conditionalFormatting sqref="J48">
    <cfRule type="expression" dxfId="168" priority="2">
      <formula>$D$48="简单平均"</formula>
    </cfRule>
  </conditionalFormatting>
  <conditionalFormatting sqref="F7:F46 H7:H46 J7:J46">
    <cfRule type="cellIs" dxfId="167"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79998168889431442"/>
  </sheetPr>
  <dimension ref="A1"/>
  <sheetViews>
    <sheetView topLeftCell="A37" workbookViewId="0">
      <selection activeCell="P53" sqref="P53"/>
    </sheetView>
  </sheetViews>
  <sheetFormatPr defaultRowHeight="14.4"/>
  <sheetData/>
  <phoneticPr fontId="134" type="noConversion"/>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J10" sqref="J10"/>
    </sheetView>
  </sheetViews>
  <sheetFormatPr defaultColWidth="8.33203125" defaultRowHeight="13.2"/>
  <cols>
    <col min="1" max="1" width="10.33203125" style="269" customWidth="1"/>
    <col min="2" max="2" width="29.21875" style="251" customWidth="1"/>
    <col min="3" max="3" width="12.109375" style="251" customWidth="1"/>
    <col min="4" max="5" width="11.21875" style="272" customWidth="1"/>
    <col min="6" max="6" width="9.44140625" style="251" customWidth="1"/>
    <col min="7" max="7" width="31.88671875" style="251" customWidth="1"/>
    <col min="8" max="254" width="9" style="251" customWidth="1"/>
    <col min="255" max="16384" width="8.33203125" style="251"/>
  </cols>
  <sheetData>
    <row r="1" spans="1:9" s="200" customFormat="1" ht="21">
      <c r="A1" s="196" t="s">
        <v>1461</v>
      </c>
      <c r="B1" s="1470"/>
      <c r="C1" s="198"/>
      <c r="D1" s="198"/>
      <c r="E1" s="198"/>
      <c r="F1" s="198"/>
      <c r="G1" s="1126">
        <f>MATCH(B1,'数据-取费表'!A6:A16,0)+5</f>
        <v>8</v>
      </c>
    </row>
    <row r="2" spans="1:9" s="200" customFormat="1" ht="18" customHeight="1">
      <c r="A2" s="201" t="s">
        <v>1462</v>
      </c>
      <c r="B2" s="202">
        <f ca="1">IF(D2="——",C52,C52-E2)</f>
        <v>1240</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5136</v>
      </c>
      <c r="C3" s="199" t="s">
        <v>1465</v>
      </c>
      <c r="D3" s="199"/>
      <c r="E3" s="199"/>
      <c r="F3" s="199"/>
      <c r="G3" s="199"/>
    </row>
    <row r="4" spans="1:9" s="208" customFormat="1" ht="16.2">
      <c r="A4" s="205" t="s">
        <v>1466</v>
      </c>
      <c r="B4" s="206"/>
      <c r="C4" s="206"/>
      <c r="D4" s="206"/>
      <c r="E4" s="206"/>
      <c r="F4" s="206"/>
      <c r="G4" s="207"/>
    </row>
    <row r="5" spans="1:9" s="214" customFormat="1" ht="13.5" customHeight="1">
      <c r="A5" s="255" t="s">
        <v>1467</v>
      </c>
      <c r="B5" s="210" t="s">
        <v>1468</v>
      </c>
      <c r="C5" s="211">
        <f>C6+C7+C8</f>
        <v>200</v>
      </c>
      <c r="D5" s="211" t="s">
        <v>1469</v>
      </c>
      <c r="E5" s="212" t="s">
        <v>1470</v>
      </c>
      <c r="F5" s="212" t="s">
        <v>1471</v>
      </c>
      <c r="G5" s="213"/>
    </row>
    <row r="6" spans="1:9" s="214" customFormat="1" ht="13.5" customHeight="1">
      <c r="A6" s="778" t="s">
        <v>1472</v>
      </c>
      <c r="B6" s="215" t="s">
        <v>1473</v>
      </c>
      <c r="C6" s="216"/>
      <c r="D6" s="217"/>
      <c r="E6" s="218"/>
      <c r="F6" s="218"/>
      <c r="G6" s="219"/>
    </row>
    <row r="7" spans="1:9" s="214" customFormat="1" ht="13.5" customHeight="1">
      <c r="A7" s="778" t="s">
        <v>1474</v>
      </c>
      <c r="B7" s="215" t="s">
        <v>1475</v>
      </c>
      <c r="C7" s="220">
        <f>ROUND(C6*F7,0)</f>
        <v>0</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200</v>
      </c>
      <c r="D8" s="222"/>
      <c r="E8" s="220"/>
      <c r="F8" s="221"/>
      <c r="G8" s="1856"/>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160</v>
      </c>
      <c r="F9" s="221"/>
      <c r="G9" s="1857"/>
      <c r="H9" s="1137"/>
      <c r="I9" s="1858" t="s">
        <v>1479</v>
      </c>
    </row>
    <row r="10" spans="1:9" s="214" customFormat="1" ht="13.5" customHeight="1">
      <c r="A10" s="779" t="s">
        <v>356</v>
      </c>
      <c r="B10" s="224" t="s">
        <v>1480</v>
      </c>
      <c r="C10" s="225">
        <f ca="1">ROUND(D10*E10/10000,0)</f>
        <v>48</v>
      </c>
      <c r="D10" s="845">
        <f ca="1">IF(B1="",'数据-汇总表'!E6,IF(INDIRECT("'数据-取费表'!c"&amp;$G$1)="住宅",INDIRECT("'数据-取费表'!s"&amp;$G$1),INDIRECT("'数据-取费表'!k"&amp;$G$1)+INDIRECT("'数据-取费表'!s"&amp;$G$1)))</f>
        <v>2414.4300000000003</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f ca="1">IF(G19="已包含在土地取得成本中","0",ROUND(D19*E19/10000,0))</f>
        <v>0</v>
      </c>
      <c r="D19" s="849">
        <f ca="1">D9+D10</f>
        <v>2414.4300000000003</v>
      </c>
      <c r="E19" s="211">
        <f>'数据-取费表'!B31</f>
        <v>0</v>
      </c>
      <c r="F19" s="231"/>
      <c r="G19" s="1856"/>
    </row>
    <row r="20" spans="1:7" s="214" customFormat="1" ht="13.5" customHeight="1">
      <c r="A20" s="255" t="s">
        <v>1493</v>
      </c>
      <c r="B20" s="210" t="s">
        <v>1494</v>
      </c>
      <c r="C20" s="232">
        <f ca="1">ROUND((C5+C19)*F20,0)</f>
        <v>4</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14</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14</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6.4">
      <c r="A27" s="255" t="s">
        <v>1512</v>
      </c>
      <c r="B27" s="244" t="s">
        <v>1513</v>
      </c>
      <c r="C27" s="245">
        <f ca="1">C28</f>
        <v>55</v>
      </c>
      <c r="D27" s="235">
        <f ca="1">C29</f>
        <v>5.4000000000000003E-3</v>
      </c>
      <c r="E27" s="236" t="s">
        <v>1514</v>
      </c>
      <c r="F27" s="246">
        <f ca="1">IF(B1="",'数据-取费表'!Q16,INDIRECT("'数据-取费表'!q"&amp;$G$1))</f>
        <v>0.27</v>
      </c>
      <c r="G27" s="247" t="s">
        <v>1515</v>
      </c>
    </row>
    <row r="28" spans="1:7" s="214" customFormat="1" ht="13.5" customHeight="1">
      <c r="A28" s="780" t="s">
        <v>346</v>
      </c>
      <c r="B28" s="248" t="s">
        <v>1516</v>
      </c>
      <c r="C28" s="249">
        <f ca="1">ROUND((C5+C19+C20)*F27*'数据-取费表'!B21/'数据-取费表'!B20,0)</f>
        <v>55</v>
      </c>
      <c r="D28" s="235"/>
      <c r="E28" s="236"/>
      <c r="F28" s="246"/>
      <c r="G28" s="247"/>
    </row>
    <row r="29" spans="1:7" s="214" customFormat="1" ht="13.5" customHeight="1">
      <c r="A29" s="780" t="s">
        <v>347</v>
      </c>
      <c r="B29" s="248" t="s">
        <v>1517</v>
      </c>
      <c r="C29" s="238">
        <f ca="1">ROUND(C21*F27*'数据-取费表'!B21/'数据-取费表'!B20,4)</f>
        <v>5.4000000000000003E-3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297</v>
      </c>
      <c r="D31" s="230"/>
      <c r="E31" s="211"/>
      <c r="F31" s="250"/>
      <c r="G31" s="234" t="s">
        <v>1522</v>
      </c>
    </row>
    <row r="32" spans="1:7" s="208" customFormat="1" ht="16.2">
      <c r="A32" s="252" t="s">
        <v>1523</v>
      </c>
      <c r="B32" s="253"/>
      <c r="C32" s="253"/>
      <c r="D32" s="253"/>
      <c r="E32" s="253"/>
      <c r="F32" s="253"/>
      <c r="G32" s="254"/>
    </row>
    <row r="33" spans="1:7" s="214" customFormat="1" ht="13.5" customHeight="1">
      <c r="A33" s="255" t="s">
        <v>337</v>
      </c>
      <c r="B33" s="210" t="s">
        <v>1524</v>
      </c>
      <c r="C33" s="256">
        <f ca="1">SUM(C34:C38)</f>
        <v>931</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845</v>
      </c>
      <c r="D34" s="217"/>
      <c r="E34" s="220"/>
      <c r="F34" s="257">
        <f ca="1">IF('数据-取费表'!B24=0,1,IF(B1="",'数据-取费表'!N16,INDIRECT("'数据-取费表'!n"&amp;$G$1)))</f>
        <v>1</v>
      </c>
      <c r="G34" s="219" t="s">
        <v>1526</v>
      </c>
    </row>
    <row r="35" spans="1:7" ht="13.5" customHeight="1">
      <c r="A35" s="780" t="s">
        <v>351</v>
      </c>
      <c r="B35" s="215" t="s">
        <v>1527</v>
      </c>
      <c r="C35" s="220">
        <f ca="1">ROUND(C34*F35,0)</f>
        <v>25</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0.1</v>
      </c>
      <c r="G36" s="260" t="s">
        <v>1530</v>
      </c>
    </row>
    <row r="37" spans="1:7" s="258" customFormat="1" ht="13.5" customHeight="1">
      <c r="A37" s="780" t="s">
        <v>353</v>
      </c>
      <c r="B37" s="215" t="s">
        <v>1531</v>
      </c>
      <c r="C37" s="249">
        <f ca="1">ROUND(E37*D37*F34/10000,0)</f>
        <v>48</v>
      </c>
      <c r="D37" s="217">
        <f ca="1">D19</f>
        <v>2414.4300000000003</v>
      </c>
      <c r="E37" s="249">
        <f>'数据-取费表'!B35</f>
        <v>200</v>
      </c>
      <c r="F37" s="259"/>
      <c r="G37" s="261" t="s">
        <v>1532</v>
      </c>
    </row>
    <row r="38" spans="1:7" ht="13.5" customHeight="1">
      <c r="A38" s="780" t="s">
        <v>354</v>
      </c>
      <c r="B38" s="215" t="s">
        <v>1533</v>
      </c>
      <c r="C38" s="220">
        <f ca="1">ROUND(C34*F38,0)</f>
        <v>13</v>
      </c>
      <c r="D38" s="220"/>
      <c r="E38" s="220"/>
      <c r="F38" s="259">
        <f>'数据-取费表'!B36</f>
        <v>1.4999999999999999E-2</v>
      </c>
      <c r="G38" s="219" t="s">
        <v>1528</v>
      </c>
    </row>
    <row r="39" spans="1:7" s="214" customFormat="1" ht="13.5" customHeight="1">
      <c r="A39" s="255" t="s">
        <v>1534</v>
      </c>
      <c r="B39" s="210" t="s">
        <v>1535</v>
      </c>
      <c r="C39" s="232">
        <f ca="1">ROUND(C33*F20,0)</f>
        <v>19</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33</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32</v>
      </c>
      <c r="D42" s="238"/>
      <c r="E42" s="238"/>
      <c r="F42" s="239"/>
      <c r="G42" s="3897" t="s">
        <v>1544</v>
      </c>
    </row>
    <row r="43" spans="1:7" ht="13.5" customHeight="1">
      <c r="A43" s="780" t="s">
        <v>347</v>
      </c>
      <c r="B43" s="215" t="s">
        <v>1545</v>
      </c>
      <c r="C43" s="238">
        <f ca="1">ROUND(IF('数据-取费表'!B22&lt;=1,C39*F22*'数据-取费表'!B21/2,C39*(POWER((1+F22),'数据-取费表'!B21/2)-1)),0)</f>
        <v>1</v>
      </c>
      <c r="D43" s="238"/>
      <c r="E43" s="238"/>
      <c r="F43" s="239"/>
      <c r="G43" s="3898"/>
    </row>
    <row r="44" spans="1:7" ht="13.5" customHeight="1">
      <c r="A44" s="780" t="s">
        <v>348</v>
      </c>
      <c r="B44" s="215" t="s">
        <v>1546</v>
      </c>
      <c r="C44" s="238">
        <f ca="1">ROUND(IF('数据-取费表'!B22&lt;=1,C40*F22*'数据-取费表'!B21/2,C40*(POWER((1+F22),'数据-取费表'!B21/2)-1)),4)</f>
        <v>6.9999999999999999E-4</v>
      </c>
      <c r="D44" s="238"/>
      <c r="E44" s="238"/>
      <c r="F44" s="239"/>
      <c r="G44" s="3899"/>
    </row>
    <row r="45" spans="1:7" s="214" customFormat="1" ht="13.5" customHeight="1">
      <c r="A45" s="255" t="s">
        <v>1547</v>
      </c>
      <c r="B45" s="244" t="s">
        <v>1513</v>
      </c>
      <c r="C45" s="245">
        <f ca="1">C46</f>
        <v>257</v>
      </c>
      <c r="D45" s="235">
        <f ca="1">C47</f>
        <v>5.4000000000000003E-3</v>
      </c>
      <c r="E45" s="236" t="s">
        <v>1539</v>
      </c>
      <c r="F45" s="246">
        <f ca="1">F27</f>
        <v>0.27</v>
      </c>
      <c r="G45" s="247" t="s">
        <v>1548</v>
      </c>
    </row>
    <row r="46" spans="1:7" s="214" customFormat="1" ht="13.5" customHeight="1">
      <c r="A46" s="780" t="s">
        <v>346</v>
      </c>
      <c r="B46" s="248" t="s">
        <v>1549</v>
      </c>
      <c r="C46" s="249">
        <f ca="1">ROUND((C33+C39)*F27,0)</f>
        <v>257</v>
      </c>
      <c r="D46" s="263"/>
      <c r="E46" s="236"/>
      <c r="F46" s="246"/>
      <c r="G46" s="247"/>
    </row>
    <row r="47" spans="1:7" s="214" customFormat="1" ht="13.5" customHeight="1">
      <c r="A47" s="780" t="s">
        <v>347</v>
      </c>
      <c r="B47" s="248" t="s">
        <v>1550</v>
      </c>
      <c r="C47" s="238">
        <f ca="1">ROUND(C40*F27,4)</f>
        <v>5.4000000000000003E-3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1347</v>
      </c>
      <c r="D49" s="232"/>
      <c r="E49" s="232"/>
      <c r="F49" s="264"/>
      <c r="G49" s="234" t="s">
        <v>1554</v>
      </c>
    </row>
    <row r="50" spans="1:7" s="258" customFormat="1" ht="24">
      <c r="A50" s="255" t="s">
        <v>1555</v>
      </c>
      <c r="B50" s="210" t="s">
        <v>1556</v>
      </c>
      <c r="C50" s="232"/>
      <c r="D50" s="232"/>
      <c r="E50" s="232"/>
      <c r="F50" s="264">
        <f>IF('数据-取费表'!B24=0,'数据-取费表'!N16,1)</f>
        <v>0.7</v>
      </c>
      <c r="G50" s="247" t="s">
        <v>1557</v>
      </c>
    </row>
    <row r="51" spans="1:7" ht="16.5" customHeight="1">
      <c r="A51" s="255" t="s">
        <v>1558</v>
      </c>
      <c r="B51" s="210" t="s">
        <v>1559</v>
      </c>
      <c r="C51" s="232">
        <f ca="1">ROUND(C49*F50,0)</f>
        <v>943</v>
      </c>
      <c r="D51" s="232"/>
      <c r="E51" s="232"/>
      <c r="F51" s="264"/>
      <c r="G51" s="234" t="s">
        <v>1560</v>
      </c>
    </row>
    <row r="52" spans="1:7" s="208" customFormat="1" ht="16.8" thickBot="1">
      <c r="A52" s="265" t="s">
        <v>1561</v>
      </c>
      <c r="B52" s="266"/>
      <c r="C52" s="267">
        <f ca="1">C31+C51</f>
        <v>1240</v>
      </c>
      <c r="D52" s="266"/>
      <c r="E52" s="266"/>
      <c r="F52" s="266"/>
      <c r="G52" s="268"/>
    </row>
    <row r="55" spans="1:7" ht="15">
      <c r="B55" s="270" t="s">
        <v>1562</v>
      </c>
      <c r="C55" s="271"/>
    </row>
    <row r="56" spans="1:7">
      <c r="B56" s="273" t="s">
        <v>802</v>
      </c>
      <c r="C56" s="275">
        <f ca="1">1-C57</f>
        <v>0.24</v>
      </c>
    </row>
    <row r="57" spans="1:7">
      <c r="B57" s="273" t="s">
        <v>803</v>
      </c>
      <c r="C57" s="274">
        <f ca="1">ROUND(C51/C52,3)</f>
        <v>0.76</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F30" sqref="F30"/>
    </sheetView>
  </sheetViews>
  <sheetFormatPr defaultColWidth="8.33203125" defaultRowHeight="13.2"/>
  <cols>
    <col min="1" max="1" width="9.33203125" style="269" customWidth="1"/>
    <col min="2" max="2" width="29.21875" style="251" customWidth="1"/>
    <col min="3" max="3" width="12.109375" style="251" customWidth="1"/>
    <col min="4" max="5" width="11.21875" style="272" customWidth="1"/>
    <col min="6" max="6" width="9.44140625" style="251" customWidth="1"/>
    <col min="7" max="7" width="31.88671875" style="251" customWidth="1"/>
    <col min="8" max="8" width="10.77734375" style="251" customWidth="1"/>
    <col min="9" max="254" width="9" style="251" customWidth="1"/>
    <col min="255" max="16384" width="8.33203125" style="251"/>
  </cols>
  <sheetData>
    <row r="1" spans="1:8" s="200" customFormat="1" ht="21">
      <c r="A1" s="196" t="s">
        <v>1461</v>
      </c>
      <c r="B1" s="1470"/>
      <c r="C1" s="1859" t="s">
        <v>1563</v>
      </c>
      <c r="D1" s="198"/>
      <c r="E1" s="198"/>
      <c r="F1" s="198"/>
      <c r="G1" s="1126">
        <f>MATCH(B1,'数据-取费表'!A6:A16,0)+5</f>
        <v>8</v>
      </c>
      <c r="H1" s="1061" t="str">
        <f>IF(ISERROR(FIND("住宅",B1)),"非住宅","住宅")</f>
        <v>非住宅</v>
      </c>
    </row>
    <row r="2" spans="1:8" s="200" customFormat="1" ht="18" customHeight="1">
      <c r="A2" s="201" t="s">
        <v>1462</v>
      </c>
      <c r="B2" s="3424">
        <f ca="1">ROUND(IF(D2="——",C52/10000,C52/10000-E2),4)</f>
        <v>1013.9719</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4200</v>
      </c>
      <c r="C3" s="199" t="s">
        <v>1465</v>
      </c>
      <c r="D3" s="199"/>
      <c r="E3" s="199"/>
      <c r="F3" s="199"/>
      <c r="G3" s="199"/>
    </row>
    <row r="4" spans="1:8" s="208" customFormat="1" ht="16.2">
      <c r="A4" s="205" t="s">
        <v>1466</v>
      </c>
      <c r="B4" s="206"/>
      <c r="C4" s="206"/>
      <c r="D4" s="206"/>
      <c r="E4" s="206"/>
      <c r="F4" s="206"/>
      <c r="G4" s="207"/>
    </row>
    <row r="5" spans="1:8" s="214" customFormat="1" ht="13.5" customHeight="1">
      <c r="A5" s="255" t="s">
        <v>1467</v>
      </c>
      <c r="B5" s="210" t="s">
        <v>1468</v>
      </c>
      <c r="C5" s="211">
        <f ca="1">C6+C7+C8</f>
        <v>482886</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482886</v>
      </c>
      <c r="D8" s="222"/>
      <c r="E8" s="220"/>
      <c r="F8" s="221"/>
      <c r="G8" s="1856"/>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1480</v>
      </c>
      <c r="C10" s="225">
        <f ca="1">ROUND(D10*E10,0)</f>
        <v>482886</v>
      </c>
      <c r="D10" s="845">
        <f ca="1">IF(B1="",'数据-汇总表'!E6,IF(INDIRECT("'数据-取费表'!c"&amp;$G$1)="住宅",INDIRECT("'数据-取费表'!s"&amp;$G$1),INDIRECT("'数据-取费表'!k"&amp;$G$1)+INDIRECT("'数据-取费表'!s"&amp;$G$1)))</f>
        <v>2414.4300000000003</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0</v>
      </c>
      <c r="D19" s="849">
        <f ca="1">D9+D10</f>
        <v>2414.4300000000003</v>
      </c>
      <c r="E19" s="211">
        <f>'数据-取费表'!B31</f>
        <v>0</v>
      </c>
      <c r="F19" s="231"/>
      <c r="G19" s="1856"/>
    </row>
    <row r="20" spans="1:7" s="214" customFormat="1" ht="13.5" customHeight="1">
      <c r="A20" s="255" t="s">
        <v>1574</v>
      </c>
      <c r="B20" s="210" t="s">
        <v>1575</v>
      </c>
      <c r="C20" s="232">
        <f ca="1">ROUND((C5+C19)*F20,0)</f>
        <v>9658</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34227</v>
      </c>
      <c r="D22" s="235">
        <f ca="1">C26</f>
        <v>6.9999999999999999E-4</v>
      </c>
      <c r="E22" s="236" t="s">
        <v>1579</v>
      </c>
      <c r="F22" s="237">
        <f ca="1">'数据-取费表'!B40</f>
        <v>3.4500000000000003E-2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33894</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0</v>
      </c>
      <c r="D24" s="238"/>
      <c r="E24" s="238"/>
      <c r="F24" s="239"/>
      <c r="G24" s="240" t="s">
        <v>1586</v>
      </c>
    </row>
    <row r="25" spans="1:7" s="214" customFormat="1" ht="24">
      <c r="A25" s="780" t="s">
        <v>1476</v>
      </c>
      <c r="B25" s="215" t="s">
        <v>1587</v>
      </c>
      <c r="C25" s="1128">
        <f ca="1">ROUND(IF('数据-取费表'!B22&lt;=1,C20*F22*'数据-取费表'!B22/2,C20*(POWER((1+F22),'数据-取费表'!B22/2)-1)),0)</f>
        <v>333</v>
      </c>
      <c r="D25" s="238"/>
      <c r="E25" s="241"/>
      <c r="F25" s="239"/>
      <c r="G25" s="242" t="s">
        <v>1588</v>
      </c>
    </row>
    <row r="26" spans="1:7" s="214" customFormat="1">
      <c r="A26" s="780" t="s">
        <v>350</v>
      </c>
      <c r="B26" s="215" t="s">
        <v>1511</v>
      </c>
      <c r="C26" s="238">
        <f ca="1">ROUND(IF('数据-取费表'!B22&lt;=1,F21*F22*'数据-取费表'!B22/2,F21*(POWER((1+F22),'数据-取费表'!B22/2)-1)),4)</f>
        <v>6.9999999999999999E-4</v>
      </c>
      <c r="D26" s="238"/>
      <c r="E26" s="241"/>
      <c r="F26" s="239"/>
      <c r="G26" s="243"/>
    </row>
    <row r="27" spans="1:7" s="214" customFormat="1" ht="26.4">
      <c r="A27" s="255" t="s">
        <v>1512</v>
      </c>
      <c r="B27" s="244" t="s">
        <v>1513</v>
      </c>
      <c r="C27" s="245">
        <f ca="1">C28</f>
        <v>132987</v>
      </c>
      <c r="D27" s="235">
        <f ca="1">C29</f>
        <v>5.4000000000000003E-3</v>
      </c>
      <c r="E27" s="236" t="s">
        <v>1514</v>
      </c>
      <c r="F27" s="246">
        <f ca="1">IF(B1="",'数据-取费表'!Q16,INDIRECT("'数据-取费表'!q"&amp;$G$1))</f>
        <v>0.27</v>
      </c>
      <c r="G27" s="247" t="s">
        <v>1515</v>
      </c>
    </row>
    <row r="28" spans="1:7" s="214" customFormat="1" ht="13.5" customHeight="1">
      <c r="A28" s="780" t="s">
        <v>346</v>
      </c>
      <c r="B28" s="248" t="s">
        <v>1516</v>
      </c>
      <c r="C28" s="249">
        <f ca="1">ROUND((C5+C19+C20)*F27,0)</f>
        <v>132987</v>
      </c>
      <c r="D28" s="235"/>
      <c r="E28" s="236"/>
      <c r="F28" s="246"/>
      <c r="G28" s="247"/>
    </row>
    <row r="29" spans="1:7" s="214" customFormat="1" ht="13.5" customHeight="1">
      <c r="A29" s="780" t="s">
        <v>347</v>
      </c>
      <c r="B29" s="248" t="s">
        <v>1517</v>
      </c>
      <c r="C29" s="238">
        <f ca="1">ROUND(C21*F27,4)</f>
        <v>5.4000000000000003E-3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716661</v>
      </c>
      <c r="D31" s="230"/>
      <c r="E31" s="211"/>
      <c r="F31" s="250"/>
      <c r="G31" s="234" t="s">
        <v>1522</v>
      </c>
    </row>
    <row r="32" spans="1:7" s="208" customFormat="1" ht="16.2">
      <c r="A32" s="252" t="s">
        <v>1589</v>
      </c>
      <c r="B32" s="253"/>
      <c r="C32" s="253"/>
      <c r="D32" s="253"/>
      <c r="E32" s="253"/>
      <c r="F32" s="253"/>
      <c r="G32" s="254"/>
    </row>
    <row r="33" spans="1:7" s="214" customFormat="1" ht="13.5" customHeight="1">
      <c r="A33" s="255" t="s">
        <v>337</v>
      </c>
      <c r="B33" s="210" t="s">
        <v>1590</v>
      </c>
      <c r="C33" s="256">
        <f ca="1">SUM(C34:C38)</f>
        <v>9313664</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8450505</v>
      </c>
      <c r="D34" s="217"/>
      <c r="E34" s="220"/>
      <c r="F34" s="257"/>
      <c r="G34" s="219"/>
    </row>
    <row r="35" spans="1:7" ht="13.5" customHeight="1">
      <c r="A35" s="780" t="s">
        <v>351</v>
      </c>
      <c r="B35" s="215" t="s">
        <v>1527</v>
      </c>
      <c r="C35" s="220">
        <f ca="1">ROUND(C34*F35,0)</f>
        <v>253515</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0.1</v>
      </c>
      <c r="G36" s="260" t="s">
        <v>1530</v>
      </c>
    </row>
    <row r="37" spans="1:7" s="258" customFormat="1" ht="13.5" customHeight="1">
      <c r="A37" s="780" t="s">
        <v>353</v>
      </c>
      <c r="B37" s="215" t="s">
        <v>1531</v>
      </c>
      <c r="C37" s="249">
        <f ca="1">ROUND(E37*D37,0)</f>
        <v>482886</v>
      </c>
      <c r="D37" s="217">
        <f ca="1">D19</f>
        <v>2414.4300000000003</v>
      </c>
      <c r="E37" s="249">
        <f>'数据-取费表'!B35</f>
        <v>200</v>
      </c>
      <c r="F37" s="259"/>
      <c r="G37" s="261"/>
    </row>
    <row r="38" spans="1:7" ht="13.5" customHeight="1">
      <c r="A38" s="780" t="s">
        <v>354</v>
      </c>
      <c r="B38" s="215" t="s">
        <v>1533</v>
      </c>
      <c r="C38" s="220">
        <f ca="1">ROUND(C34*F38,0)</f>
        <v>126758</v>
      </c>
      <c r="D38" s="220"/>
      <c r="E38" s="220"/>
      <c r="F38" s="259">
        <f>'数据-取费表'!B36</f>
        <v>1.4999999999999999E-2</v>
      </c>
      <c r="G38" s="219" t="s">
        <v>1528</v>
      </c>
    </row>
    <row r="39" spans="1:7" s="214" customFormat="1" ht="13.5" customHeight="1">
      <c r="A39" s="255" t="s">
        <v>1534</v>
      </c>
      <c r="B39" s="210" t="s">
        <v>1535</v>
      </c>
      <c r="C39" s="232">
        <f ca="1">ROUND(C33*F20,0)</f>
        <v>186273</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327747</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321321</v>
      </c>
      <c r="D42" s="238"/>
      <c r="E42" s="238"/>
      <c r="F42" s="239"/>
      <c r="G42" s="3897" t="s">
        <v>1591</v>
      </c>
    </row>
    <row r="43" spans="1:7" ht="13.5" customHeight="1">
      <c r="A43" s="780" t="s">
        <v>347</v>
      </c>
      <c r="B43" s="215" t="s">
        <v>1545</v>
      </c>
      <c r="C43" s="238">
        <f ca="1">ROUND(IF('数据-取费表'!B22&lt;=1,C39*F22*'数据-取费表'!B20/2,C39*(POWER((1+F22),'数据-取费表'!B20/2)-1)),0)</f>
        <v>6426</v>
      </c>
      <c r="D43" s="238"/>
      <c r="E43" s="238"/>
      <c r="F43" s="239"/>
      <c r="G43" s="3898"/>
    </row>
    <row r="44" spans="1:7" ht="13.5" customHeight="1">
      <c r="A44" s="780" t="s">
        <v>348</v>
      </c>
      <c r="B44" s="215" t="s">
        <v>1546</v>
      </c>
      <c r="C44" s="238">
        <f ca="1">ROUND(IF('数据-取费表'!B22&lt;=1,C40*F22*'数据-取费表'!B20/2,C40*(POWER((1+F22),'数据-取费表'!B20/2)-1)),4)</f>
        <v>6.9999999999999999E-4</v>
      </c>
      <c r="D44" s="238"/>
      <c r="E44" s="238"/>
      <c r="F44" s="239"/>
      <c r="G44" s="3899"/>
    </row>
    <row r="45" spans="1:7" s="214" customFormat="1" ht="13.5" customHeight="1">
      <c r="A45" s="255" t="s">
        <v>1547</v>
      </c>
      <c r="B45" s="244" t="s">
        <v>1513</v>
      </c>
      <c r="C45" s="245">
        <f ca="1">C46</f>
        <v>2564983</v>
      </c>
      <c r="D45" s="235">
        <f ca="1">C47</f>
        <v>5.4000000000000003E-3</v>
      </c>
      <c r="E45" s="236" t="s">
        <v>1539</v>
      </c>
      <c r="F45" s="246">
        <f ca="1">F27</f>
        <v>0.27</v>
      </c>
      <c r="G45" s="247" t="s">
        <v>1548</v>
      </c>
    </row>
    <row r="46" spans="1:7" s="214" customFormat="1" ht="13.5" customHeight="1">
      <c r="A46" s="780" t="s">
        <v>346</v>
      </c>
      <c r="B46" s="248" t="s">
        <v>1549</v>
      </c>
      <c r="C46" s="249">
        <f ca="1">ROUND((C33+C39)*F27,0)</f>
        <v>2564983</v>
      </c>
      <c r="D46" s="263"/>
      <c r="E46" s="236"/>
      <c r="F46" s="246"/>
      <c r="G46" s="247"/>
    </row>
    <row r="47" spans="1:7" s="214" customFormat="1" ht="13.5" customHeight="1">
      <c r="A47" s="780" t="s">
        <v>347</v>
      </c>
      <c r="B47" s="248" t="s">
        <v>1550</v>
      </c>
      <c r="C47" s="238">
        <f ca="1">ROUND(C40*F27,4)</f>
        <v>5.4000000000000003E-3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13461511</v>
      </c>
      <c r="D49" s="232"/>
      <c r="E49" s="232"/>
      <c r="F49" s="264"/>
      <c r="G49" s="234" t="s">
        <v>1554</v>
      </c>
    </row>
    <row r="50" spans="1:7" s="258" customFormat="1">
      <c r="A50" s="255" t="s">
        <v>1555</v>
      </c>
      <c r="B50" s="210" t="s">
        <v>1556</v>
      </c>
      <c r="C50" s="232"/>
      <c r="D50" s="232"/>
      <c r="E50" s="232"/>
      <c r="F50" s="264">
        <f>IF('数据-取费表'!B24=0,'数据-取费表'!N16,1)</f>
        <v>0.7</v>
      </c>
      <c r="G50" s="247"/>
    </row>
    <row r="51" spans="1:7" ht="16.5" customHeight="1">
      <c r="A51" s="255" t="s">
        <v>1558</v>
      </c>
      <c r="B51" s="210" t="s">
        <v>1593</v>
      </c>
      <c r="C51" s="232">
        <f ca="1">ROUND(C49*F50,0)</f>
        <v>9423058</v>
      </c>
      <c r="D51" s="232"/>
      <c r="E51" s="232"/>
      <c r="F51" s="264"/>
      <c r="G51" s="234" t="s">
        <v>1560</v>
      </c>
    </row>
    <row r="52" spans="1:7" s="208" customFormat="1" ht="16.8" thickBot="1">
      <c r="A52" s="265" t="s">
        <v>1561</v>
      </c>
      <c r="B52" s="266"/>
      <c r="C52" s="267">
        <f ca="1">C31+C51</f>
        <v>10139719</v>
      </c>
      <c r="D52" s="266"/>
      <c r="E52" s="266"/>
      <c r="F52" s="266"/>
      <c r="G52" s="268"/>
    </row>
    <row r="55" spans="1:7" ht="15">
      <c r="B55" s="270" t="s">
        <v>1562</v>
      </c>
      <c r="C55" s="271"/>
    </row>
    <row r="56" spans="1:7">
      <c r="B56" s="273" t="s">
        <v>802</v>
      </c>
      <c r="C56" s="275">
        <f ca="1">1-C57</f>
        <v>7.0999999999999952E-2</v>
      </c>
    </row>
    <row r="57" spans="1:7">
      <c r="B57" s="273" t="s">
        <v>803</v>
      </c>
      <c r="C57" s="274">
        <f ca="1">ROUND(C51/C52,3)</f>
        <v>0.92900000000000005</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8"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640625" defaultRowHeight="13.2"/>
  <cols>
    <col min="1" max="1" width="9.77734375" style="728" customWidth="1"/>
    <col min="2" max="2" width="25.77734375" style="781" customWidth="1"/>
    <col min="3" max="3" width="10.33203125" style="823" customWidth="1"/>
    <col min="4" max="4" width="9.88671875" style="781" customWidth="1"/>
    <col min="5" max="5" width="9.44140625" style="728" customWidth="1"/>
    <col min="6" max="6" width="10.109375" style="781" customWidth="1"/>
    <col min="7" max="7" width="10.77734375" style="781" customWidth="1"/>
    <col min="8" max="8" width="10" style="781" customWidth="1"/>
    <col min="9" max="11" width="9.44140625" style="781" customWidth="1"/>
    <col min="12" max="12" width="9" style="781" customWidth="1"/>
    <col min="13" max="13" width="10.44140625" style="781" bestFit="1" customWidth="1"/>
    <col min="14" max="254" width="9" style="781" customWidth="1"/>
    <col min="255" max="16384" width="6.6640625" style="781"/>
  </cols>
  <sheetData>
    <row r="1" spans="1:33" ht="21">
      <c r="A1" s="196" t="s">
        <v>1594</v>
      </c>
      <c r="B1" s="1191"/>
      <c r="C1" s="1192"/>
      <c r="D1" s="1190"/>
      <c r="E1" s="2806"/>
      <c r="F1" s="2806"/>
      <c r="G1" s="2671"/>
      <c r="H1" s="2806"/>
      <c r="I1" s="2806"/>
      <c r="J1" s="2806"/>
      <c r="K1" s="2807">
        <f>MATCH(C1,'数据-取费表'!A6:A16,0)+5</f>
        <v>8</v>
      </c>
    </row>
    <row r="2" spans="1:33" ht="18" customHeight="1">
      <c r="A2" s="201" t="s">
        <v>1462</v>
      </c>
      <c r="B2" s="204">
        <f ca="1">C32</f>
        <v>131</v>
      </c>
      <c r="C2" s="276" t="s">
        <v>1595</v>
      </c>
      <c r="D2" s="276"/>
      <c r="E2" s="2806"/>
      <c r="F2" s="2806"/>
      <c r="G2" s="2806"/>
      <c r="H2" s="2806"/>
      <c r="I2" s="2806"/>
      <c r="J2" s="2806"/>
      <c r="K2" s="2806"/>
    </row>
    <row r="3" spans="1:33" ht="18" customHeight="1" thickBot="1">
      <c r="A3" s="203" t="s">
        <v>1464</v>
      </c>
      <c r="B3" s="204">
        <f ca="1">ROUND(B2*10000/IF(C1="",'数据-汇总表'!E3,INDIRECT("'数据-取费表'!K"&amp;$K$1)),0)</f>
        <v>543</v>
      </c>
      <c r="C3" s="276" t="s">
        <v>1596</v>
      </c>
      <c r="D3" s="276"/>
      <c r="E3" s="2806"/>
      <c r="F3" s="2806"/>
      <c r="G3" s="2806"/>
      <c r="H3" s="2806"/>
      <c r="I3" s="2806"/>
      <c r="J3" s="2806"/>
      <c r="K3" s="2806"/>
    </row>
    <row r="4" spans="1:33" s="785" customFormat="1" ht="16.5" customHeight="1">
      <c r="A4" s="782" t="s">
        <v>1597</v>
      </c>
      <c r="B4" s="783"/>
      <c r="C4" s="824">
        <f>SUM(C8:K8)</f>
        <v>0</v>
      </c>
      <c r="D4" s="783"/>
      <c r="E4" s="783"/>
      <c r="F4" s="783"/>
      <c r="G4" s="783"/>
      <c r="H4" s="783"/>
      <c r="I4" s="783"/>
      <c r="J4" s="783"/>
      <c r="K4" s="784"/>
    </row>
    <row r="5" spans="1:33" s="789" customFormat="1" ht="14.4">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0.1</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2414.4300000000003</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48</v>
      </c>
      <c r="D17" s="846">
        <f ca="1">D14</f>
        <v>2414.4300000000003</v>
      </c>
      <c r="E17" s="21">
        <f>'数据-取费表'!B32</f>
        <v>200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-152</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160</v>
      </c>
      <c r="F19" s="804"/>
      <c r="G19" s="12"/>
      <c r="H19" s="1189"/>
      <c r="I19" s="809"/>
      <c r="J19" s="809"/>
      <c r="K19" s="810"/>
    </row>
    <row r="20" spans="1:33" s="803" customFormat="1" ht="13.5" customHeight="1">
      <c r="A20" s="800" t="s">
        <v>361</v>
      </c>
      <c r="B20" s="801" t="s">
        <v>1627</v>
      </c>
      <c r="C20" s="21">
        <f ca="1">ROUND(D20*E20/10000,0)</f>
        <v>48</v>
      </c>
      <c r="D20" s="846">
        <f ca="1">IF(C1="",'数据-汇总表'!E6,IF(INDIRECT("'数据-取费表'!c"&amp;$K$1)="住宅",INDIRECT("'数据-取费表'!s"&amp;$K$1),INDIRECT("'数据-取费表'!k"&amp;$K$1)+INDIRECT("'数据-取费表'!s"&amp;$K$1)))</f>
        <v>2414.4300000000003</v>
      </c>
      <c r="E20" s="21">
        <f>'数据-取费表'!B28</f>
        <v>200</v>
      </c>
      <c r="F20" s="804"/>
      <c r="G20" s="12"/>
      <c r="H20" s="809"/>
      <c r="I20" s="809"/>
      <c r="J20" s="809"/>
      <c r="K20" s="810"/>
    </row>
    <row r="21" spans="1:33" s="803" customFormat="1" ht="13.5" customHeight="1">
      <c r="A21" s="790" t="s">
        <v>357</v>
      </c>
      <c r="B21" s="813" t="s">
        <v>1628</v>
      </c>
      <c r="C21" s="814">
        <f ca="1">C16+C17+C18</f>
        <v>-104</v>
      </c>
      <c r="D21" s="815"/>
      <c r="E21" s="281"/>
      <c r="F21" s="281"/>
      <c r="G21" s="131" t="s">
        <v>1629</v>
      </c>
      <c r="H21" s="807"/>
      <c r="I21" s="807"/>
      <c r="J21" s="807"/>
      <c r="K21" s="808"/>
    </row>
    <row r="22" spans="1:33" s="803" customFormat="1" ht="13.5" customHeight="1">
      <c r="A22" s="790" t="s">
        <v>1601</v>
      </c>
      <c r="B22" s="813" t="s">
        <v>1630</v>
      </c>
      <c r="C22" s="814">
        <f ca="1">ROUND(C21*F22,0)</f>
        <v>-2</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-29</v>
      </c>
      <c r="D28" s="280">
        <f ca="1">C29</f>
        <v>0</v>
      </c>
      <c r="E28" s="282" t="s">
        <v>12</v>
      </c>
      <c r="F28" s="288">
        <f ca="1">IF(C1="",'数据-取费表'!Q16,INDIRECT("'数据-取费表'!q"&amp;$K$1))</f>
        <v>0.27</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-29</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131</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E13" sqref="E13"/>
    </sheetView>
  </sheetViews>
  <sheetFormatPr defaultColWidth="9" defaultRowHeight="13.2"/>
  <cols>
    <col min="1" max="1" width="9" style="258" customWidth="1"/>
    <col min="2" max="2" width="20.6640625" style="655" customWidth="1"/>
    <col min="3" max="3" width="11.88671875" style="655" customWidth="1"/>
    <col min="4" max="4" width="40.44140625" style="258" customWidth="1"/>
    <col min="5" max="5" width="15.77734375" style="258" customWidth="1"/>
    <col min="6" max="6" width="10.6640625" style="258" customWidth="1"/>
    <col min="7" max="7" width="4.88671875" style="258" customWidth="1"/>
    <col min="8" max="8" width="8.44140625" style="258" customWidth="1"/>
    <col min="9" max="9" width="21.21875" style="258" customWidth="1"/>
    <col min="10" max="10" width="12.21875" style="258" customWidth="1"/>
    <col min="11" max="11" width="45.109375" style="1468" customWidth="1"/>
    <col min="12" max="12" width="16.33203125" style="258" customWidth="1"/>
    <col min="13" max="13" width="13" style="258" customWidth="1"/>
    <col min="14" max="14" width="13.77734375" style="1384" customWidth="1"/>
    <col min="15" max="15" width="5.109375" style="1384" customWidth="1"/>
    <col min="16" max="16" width="25.77734375" style="1384" customWidth="1"/>
    <col min="17" max="17" width="13.77734375" style="1384" customWidth="1"/>
    <col min="18" max="18" width="20.44140625" style="1384" customWidth="1"/>
    <col min="19" max="19" width="13.21875" style="1384" customWidth="1"/>
    <col min="20" max="37" width="9" style="1384"/>
    <col min="38" max="16384" width="9" style="258"/>
  </cols>
  <sheetData>
    <row r="1" spans="1:37" s="293" customFormat="1" ht="21.6">
      <c r="A1" s="1375" t="s">
        <v>877</v>
      </c>
      <c r="B1" s="713"/>
      <c r="C1" s="1379"/>
      <c r="D1" s="1362" t="s">
        <v>43</v>
      </c>
      <c r="E1" s="1363" t="s">
        <v>678</v>
      </c>
      <c r="F1" s="1062">
        <f ca="1">J53</f>
        <v>0</v>
      </c>
      <c r="G1" s="1378">
        <f>MATCH(C1,'数据-取费表'!A6:A16,0)+5</f>
        <v>8</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#DIV/0!</v>
      </c>
      <c r="C2" s="1387" t="s">
        <v>805</v>
      </c>
      <c r="D2" s="1387"/>
      <c r="E2" s="1388"/>
      <c r="F2" s="1389"/>
      <c r="G2" s="2706"/>
      <c r="H2" s="2695"/>
      <c r="I2" s="2695"/>
      <c r="J2" s="2695"/>
      <c r="K2" s="2696"/>
      <c r="L2" s="2695"/>
      <c r="M2" s="2695"/>
    </row>
    <row r="3" spans="1:37" ht="18" customHeight="1" thickBot="1">
      <c r="A3" s="1390" t="s">
        <v>806</v>
      </c>
      <c r="B3" s="1391">
        <f ca="1">IF(ISERROR(B2*10000/F43),0,ROUND(B2*10000/F43,0))</f>
        <v>0</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0</v>
      </c>
      <c r="D5" s="1364" t="s">
        <v>693</v>
      </c>
      <c r="E5" s="1071"/>
      <c r="F5" s="1072"/>
      <c r="G5" s="1384"/>
      <c r="H5" s="299">
        <v>1</v>
      </c>
      <c r="I5" s="300" t="s">
        <v>692</v>
      </c>
      <c r="J5" s="1070">
        <f ca="1">J6+J10+J12</f>
        <v>0</v>
      </c>
      <c r="K5" s="1364" t="s">
        <v>693</v>
      </c>
      <c r="L5" s="1071"/>
      <c r="M5" s="1072"/>
    </row>
    <row r="6" spans="1:37" ht="18" customHeight="1">
      <c r="A6" s="1069" t="s">
        <v>398</v>
      </c>
      <c r="B6" s="3902" t="s">
        <v>694</v>
      </c>
      <c r="C6" s="1074">
        <f ca="1">ROUND(F6*F8*F7*(1-F9)/10000,0)</f>
        <v>0</v>
      </c>
      <c r="D6" s="155" t="s">
        <v>2109</v>
      </c>
      <c r="E6" s="302" t="s">
        <v>696</v>
      </c>
      <c r="F6" s="303">
        <f ca="1">INDIRECT("'数据-取费表'!u"&amp;$G$1)</f>
        <v>0</v>
      </c>
      <c r="G6" s="1384"/>
      <c r="H6" s="1069" t="s">
        <v>398</v>
      </c>
      <c r="I6" s="3902" t="s">
        <v>694</v>
      </c>
      <c r="J6" s="301">
        <f ca="1">ROUND(M6*M8*M7*(1-M9)/10000,0)</f>
        <v>0</v>
      </c>
      <c r="K6" s="155" t="s">
        <v>2108</v>
      </c>
      <c r="L6" s="302" t="s">
        <v>696</v>
      </c>
      <c r="M6" s="303">
        <f ca="1">INDIRECT("'数据-取费表'!z"&amp;$G$1)</f>
        <v>0</v>
      </c>
    </row>
    <row r="7" spans="1:37" ht="18" customHeight="1">
      <c r="A7" s="1073"/>
      <c r="B7" s="3903"/>
      <c r="C7" s="1075"/>
      <c r="D7" s="307"/>
      <c r="E7" s="1076" t="s">
        <v>697</v>
      </c>
      <c r="F7" s="303">
        <f ca="1">IF(INDIRECT("'数据-取费表'!ah"&amp;$G$1)="",INDIRECT("'数据-取费表'!k"&amp;$G$1),INDIRECT("'数据-取费表'!ah"&amp;$G$1))</f>
        <v>0</v>
      </c>
      <c r="G7" s="1384"/>
      <c r="H7" s="304"/>
      <c r="I7" s="3903"/>
      <c r="J7" s="306"/>
      <c r="K7" s="307"/>
      <c r="L7" s="302" t="s">
        <v>697</v>
      </c>
      <c r="M7" s="303">
        <f ca="1">F7</f>
        <v>0</v>
      </c>
    </row>
    <row r="8" spans="1:37" ht="18" customHeight="1">
      <c r="A8" s="304"/>
      <c r="B8" s="3903"/>
      <c r="C8" s="306"/>
      <c r="D8" s="307"/>
      <c r="E8" s="302" t="s">
        <v>698</v>
      </c>
      <c r="F8" s="303">
        <f ca="1">INDIRECT("'数据-取费表'!ai"&amp;$G$1)</f>
        <v>0</v>
      </c>
      <c r="G8" s="1384"/>
      <c r="H8" s="304"/>
      <c r="I8" s="3903"/>
      <c r="J8" s="306"/>
      <c r="K8" s="307"/>
      <c r="L8" s="302" t="s">
        <v>698</v>
      </c>
      <c r="M8" s="303">
        <f ca="1">INDIRECT("'数据-取费表'!ai"&amp;$G$1)</f>
        <v>0</v>
      </c>
    </row>
    <row r="9" spans="1:37" ht="18" customHeight="1">
      <c r="A9" s="304"/>
      <c r="B9" s="3904"/>
      <c r="C9" s="306"/>
      <c r="D9" s="307"/>
      <c r="E9" s="302" t="s">
        <v>699</v>
      </c>
      <c r="F9" s="312">
        <f ca="1">INDIRECT("'数据-取费表'!w"&amp;$G$1)</f>
        <v>0</v>
      </c>
      <c r="G9" s="1384"/>
      <c r="H9" s="304"/>
      <c r="I9" s="3904"/>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2117</v>
      </c>
      <c r="E10" s="313" t="s">
        <v>701</v>
      </c>
      <c r="F10" s="1116"/>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ROUND(F17*(F43+INDIRECT("'数据-取费表'!S"&amp;$G$1))/10000,0)</f>
        <v>0</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IF(K19="按租金收入计税",ROUND(J6*M19/(1+'数据-取费表'!C42),2),ROUND(C29*M19*0.7,2))</f>
        <v>0</v>
      </c>
      <c r="K19" s="1370" t="s">
        <v>3340</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ROUND(M20*M21/10000,2)</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ROUND(J5*M24,2)</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0</v>
      </c>
      <c r="D31" s="1345" t="s">
        <v>720</v>
      </c>
      <c r="E31" s="1344" t="s">
        <v>770</v>
      </c>
      <c r="F31" s="2315">
        <f ca="1">IF(项目基本情况!B11="企业","——",IF(M47="住宅",IF(F6*F7*F8/12/(1+'数据-取费表'!F30)&gt;100000,4%,2.5%),IF(F6*F7*F8/12/(1+'数据-取费表'!F30)&gt;100000,12%,7%)))</f>
        <v>7.0000000000000007E-2</v>
      </c>
      <c r="G31" s="1384"/>
      <c r="H31" s="2808" t="s">
        <v>2310</v>
      </c>
      <c r="I31" s="1398"/>
      <c r="J31" s="1399"/>
      <c r="K31" s="2475"/>
      <c r="L31" s="2698"/>
      <c r="M31" s="2699"/>
    </row>
    <row r="32" spans="1:37" ht="18" customHeight="1">
      <c r="A32" s="982" t="s">
        <v>397</v>
      </c>
      <c r="B32" s="302" t="s">
        <v>723</v>
      </c>
      <c r="C32" s="21">
        <f ca="1">IF(项目基本情况!B11="自然人","——",ROUND(C6*F32/(1+'数据-取费表'!C42),2))</f>
        <v>0</v>
      </c>
      <c r="D32" s="1344"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0</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0</v>
      </c>
      <c r="D34" s="324" t="s">
        <v>731</v>
      </c>
      <c r="E34" s="302" t="s">
        <v>732</v>
      </c>
      <c r="F34" s="325">
        <f>'数据-取费表'!B52</f>
        <v>18</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ROUND(C29*F36,2)</f>
        <v>0</v>
      </c>
      <c r="D36" s="1344" t="s">
        <v>771</v>
      </c>
      <c r="E36" s="302" t="s">
        <v>712</v>
      </c>
      <c r="F36" s="328">
        <f ca="1">INDIRECT("'数据-取费表'!Ak"&amp;$G$1)</f>
        <v>0</v>
      </c>
      <c r="G36" s="1384"/>
      <c r="H36" s="2700"/>
      <c r="I36" s="1398"/>
      <c r="J36" s="1399"/>
      <c r="K36" s="2544"/>
      <c r="L36" s="2700"/>
      <c r="M36" s="2700"/>
    </row>
    <row r="37" spans="1:18" ht="18" customHeight="1">
      <c r="A37" s="982" t="s">
        <v>437</v>
      </c>
      <c r="B37" s="302" t="s">
        <v>742</v>
      </c>
      <c r="C37" s="21">
        <f ca="1">ROUND(C13*F37,2)</f>
        <v>0</v>
      </c>
      <c r="D37" s="1344" t="s">
        <v>743</v>
      </c>
      <c r="E37" s="302" t="s">
        <v>744</v>
      </c>
      <c r="F37" s="330">
        <f ca="1">INDIRECT("'数据-取费表'!Al"&amp;$G$1)</f>
        <v>0</v>
      </c>
      <c r="G37" s="1384"/>
      <c r="H37" s="2700"/>
      <c r="I37" s="1398"/>
      <c r="J37" s="1399"/>
      <c r="K37" s="2544"/>
      <c r="L37" s="2700"/>
      <c r="M37" s="2700"/>
    </row>
    <row r="38" spans="1:18" ht="18" customHeight="1" thickBot="1">
      <c r="A38" s="1089" t="s">
        <v>684</v>
      </c>
      <c r="B38" s="1090" t="s">
        <v>728</v>
      </c>
      <c r="C38" s="1091">
        <f ca="1">ROUND(C5*F38,2)</f>
        <v>0</v>
      </c>
      <c r="D38" s="1092" t="s">
        <v>748</v>
      </c>
      <c r="E38" s="1090" t="s">
        <v>744</v>
      </c>
      <c r="F38" s="1086">
        <f ca="1">INDIRECT("'数据-取费表'!Am"&amp;$G$1)</f>
        <v>0</v>
      </c>
      <c r="G38" s="1384"/>
      <c r="H38" s="2700"/>
      <c r="I38" s="1398"/>
      <c r="J38" s="1399"/>
      <c r="K38" s="2704"/>
      <c r="L38" s="2700"/>
      <c r="M38" s="2700"/>
    </row>
    <row r="39" spans="1:18" ht="24.6" customHeight="1" thickTop="1">
      <c r="A39" s="1079" t="s">
        <v>394</v>
      </c>
      <c r="B39" s="1094" t="s">
        <v>772</v>
      </c>
      <c r="C39" s="310">
        <f ca="1">C5-C30</f>
        <v>0</v>
      </c>
      <c r="D39" s="1095" t="s">
        <v>773</v>
      </c>
      <c r="E39" s="1096"/>
      <c r="F39" s="1097"/>
      <c r="G39" s="1384"/>
      <c r="H39" s="2700"/>
      <c r="I39" s="1398"/>
      <c r="J39" s="1399"/>
      <c r="K39" s="2704"/>
      <c r="L39" s="2700"/>
      <c r="M39" s="2700"/>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ROUND(C40*10000/F43,0)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8" thickBot="1">
      <c r="A46" s="1404" t="s">
        <v>809</v>
      </c>
      <c r="C46" s="1405" t="e">
        <f ca="1">C68-C40</f>
        <v>#DIV/0!</v>
      </c>
      <c r="D46" s="1406" t="str">
        <f>C2</f>
        <v>万元</v>
      </c>
      <c r="E46" s="1400"/>
      <c r="F46" s="1400"/>
      <c r="I46" s="1407" t="s">
        <v>810</v>
      </c>
      <c r="J46" s="1408"/>
      <c r="K46" s="1409"/>
      <c r="L46" s="1410" t="e">
        <f ca="1">IF(M47="住宅",0,IF(L48&gt;J51,L60,J60))</f>
        <v>#DIV/0!</v>
      </c>
      <c r="O46" s="1411" t="s">
        <v>811</v>
      </c>
      <c r="P46" s="1412" t="s">
        <v>812</v>
      </c>
      <c r="Q46" s="1413" t="s">
        <v>813</v>
      </c>
      <c r="R46" s="1413" t="s">
        <v>814</v>
      </c>
    </row>
    <row r="47" spans="1:18" s="1384" customFormat="1" ht="13.8" thickBot="1">
      <c r="A47" s="946" t="s">
        <v>687</v>
      </c>
      <c r="B47" s="978" t="s">
        <v>688</v>
      </c>
      <c r="C47" s="1117"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40.200000000000003"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8" thickBot="1">
      <c r="A49" s="975" t="s">
        <v>439</v>
      </c>
      <c r="B49" s="1371" t="s">
        <v>779</v>
      </c>
      <c r="C49" s="1114">
        <f ca="1">ROUND(F49*F51*F50*(1-F52)/10000,0)</f>
        <v>0</v>
      </c>
      <c r="D49" s="1055" t="s">
        <v>2110</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8" thickBot="1">
      <c r="A50" s="976"/>
      <c r="B50" s="979"/>
      <c r="C50" s="1118"/>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8"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8"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6.6"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0</v>
      </c>
      <c r="K53" s="3900" t="s">
        <v>837</v>
      </c>
      <c r="L53" s="3901"/>
      <c r="O53" s="1418" t="s">
        <v>409</v>
      </c>
      <c r="P53" s="1419" t="s">
        <v>838</v>
      </c>
      <c r="Q53" s="1420" t="e">
        <f ca="1">Q47+Q48</f>
        <v>#DIV/0!</v>
      </c>
      <c r="R53" s="1420" t="s">
        <v>410</v>
      </c>
    </row>
    <row r="54" spans="1:18" s="1384" customFormat="1" ht="24.6"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8"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7.200000000000003" thickTop="1" thickBot="1">
      <c r="A56" s="957">
        <v>2</v>
      </c>
      <c r="B56" s="958" t="s">
        <v>704</v>
      </c>
      <c r="C56" s="232">
        <f ca="1">C13</f>
        <v>0</v>
      </c>
      <c r="D56" s="1447"/>
      <c r="E56" s="1448"/>
      <c r="F56" s="1440"/>
      <c r="I56" s="1449" t="s">
        <v>842</v>
      </c>
      <c r="J56" s="1450"/>
      <c r="K56" s="1421" t="s">
        <v>843</v>
      </c>
      <c r="L56" s="1424">
        <f ca="1">IF(L48&lt;J51,"——",L48-J53)</f>
        <v>0</v>
      </c>
      <c r="O56" s="1418" t="s">
        <v>403</v>
      </c>
      <c r="P56" s="1419" t="s">
        <v>817</v>
      </c>
      <c r="Q56" s="1420" t="e">
        <f ca="1">C40+J29</f>
        <v>#DIV/0!</v>
      </c>
      <c r="R56" s="1420" t="s">
        <v>818</v>
      </c>
    </row>
    <row r="57" spans="1:18" s="1384" customFormat="1" ht="24.6" thickBot="1">
      <c r="A57" s="1451"/>
      <c r="B57" s="950" t="s">
        <v>767</v>
      </c>
      <c r="C57" s="238">
        <f ca="1">C29</f>
        <v>0</v>
      </c>
      <c r="D57" s="1452"/>
      <c r="E57" s="1453"/>
      <c r="F57" s="1454"/>
      <c r="I57" s="1455" t="s">
        <v>844</v>
      </c>
      <c r="J57" s="1456">
        <f ca="1">IF(OR(M47="住宅",J51&lt;L48,J56="是"),"——",J51-L48)</f>
        <v>0</v>
      </c>
      <c r="K57" s="1421" t="s">
        <v>845</v>
      </c>
      <c r="L57" s="1424">
        <f ca="1">IF(L48&lt;J51,"——",IF(L55="比较法",L49,IF(L55="基准地价",L50,L51)))</f>
        <v>0</v>
      </c>
      <c r="O57" s="1418" t="s">
        <v>404</v>
      </c>
      <c r="P57" s="1419" t="s">
        <v>846</v>
      </c>
      <c r="Q57" s="1420" t="e">
        <f ca="1">L60</f>
        <v>#DIV/0!</v>
      </c>
      <c r="R57" s="1420" t="s">
        <v>847</v>
      </c>
    </row>
    <row r="58" spans="1:18" s="1384" customFormat="1" ht="24.6" thickBot="1">
      <c r="A58" s="315" t="s">
        <v>393</v>
      </c>
      <c r="B58" s="958" t="s">
        <v>714</v>
      </c>
      <c r="C58" s="316">
        <f ca="1">ROUND(C59+C64+C65+C66,0)</f>
        <v>0</v>
      </c>
      <c r="D58" s="960" t="s">
        <v>715</v>
      </c>
      <c r="E58" s="961"/>
      <c r="F58" s="962"/>
      <c r="I58" s="1455" t="s">
        <v>848</v>
      </c>
      <c r="J58" s="1457" t="e">
        <f ca="1">IF(J55&lt;0.4,0.4,J55)</f>
        <v>#DIV/0!</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6"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2"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8" thickBot="1">
      <c r="A61" s="982" t="s">
        <v>781</v>
      </c>
      <c r="B61" s="950" t="s">
        <v>782</v>
      </c>
      <c r="C61" s="21">
        <f ca="1">IF(项目基本情况!B11="自然人","——",IF(D61="按租金收入计税",ROUND(C49*F61/(1+'数据-取费表'!C42),2),IF(D61="按房产原值计税",ROUND(C57*F61*0.7,2),INDIRECT("'数据-取费表'!Aj"&amp;$G$1))))</f>
        <v>0</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8" thickBot="1">
      <c r="A62" s="982" t="s">
        <v>784</v>
      </c>
      <c r="B62" s="949" t="s">
        <v>785</v>
      </c>
      <c r="C62" s="22">
        <f ca="1">IF(项目基本情况!B11="自然人","——",ROUND(F62*F63/10000,2))</f>
        <v>0</v>
      </c>
      <c r="D62" s="965" t="s">
        <v>786</v>
      </c>
      <c r="E62" s="950" t="s">
        <v>787</v>
      </c>
      <c r="F62" s="325">
        <f t="shared" si="0"/>
        <v>18</v>
      </c>
      <c r="I62" s="1462" t="s">
        <v>858</v>
      </c>
      <c r="J62" s="1463" t="s">
        <v>859</v>
      </c>
      <c r="K62" s="1463" t="s">
        <v>860</v>
      </c>
      <c r="L62" s="1463" t="s">
        <v>861</v>
      </c>
      <c r="M62" s="1464" t="s">
        <v>862</v>
      </c>
      <c r="O62" s="1418" t="s">
        <v>409</v>
      </c>
      <c r="P62" s="1419" t="s">
        <v>863</v>
      </c>
      <c r="Q62" s="1420" t="e">
        <f ca="1">Q56+Q57</f>
        <v>#DIV/0!</v>
      </c>
      <c r="R62" s="1420" t="s">
        <v>410</v>
      </c>
    </row>
    <row r="63" spans="1:18" s="1384" customFormat="1" ht="13.8"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8" thickBot="1">
      <c r="A64" s="982" t="s">
        <v>789</v>
      </c>
      <c r="B64" s="950" t="s">
        <v>790</v>
      </c>
      <c r="C64" s="21">
        <f ca="1">ROUND(C57*F64,2)</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8" thickBot="1">
      <c r="A65" s="982" t="s">
        <v>792</v>
      </c>
      <c r="B65" s="950" t="s">
        <v>742</v>
      </c>
      <c r="C65" s="21">
        <f ca="1">ROUND(C56*F65,2)</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2" thickBot="1">
      <c r="A66" s="982" t="s">
        <v>793</v>
      </c>
      <c r="B66" s="950" t="s">
        <v>728</v>
      </c>
      <c r="C66" s="21">
        <f ca="1">ROUND(C48*F66,2)</f>
        <v>0</v>
      </c>
      <c r="D66" s="964" t="s">
        <v>794</v>
      </c>
      <c r="E66" s="950" t="s">
        <v>712</v>
      </c>
      <c r="F66" s="312">
        <f t="shared" ca="1" si="0"/>
        <v>0</v>
      </c>
      <c r="O66" s="1418" t="s">
        <v>404</v>
      </c>
      <c r="P66" s="1419" t="s">
        <v>846</v>
      </c>
      <c r="Q66" s="1420" t="e">
        <f ca="1">L60</f>
        <v>#DIV/0!</v>
      </c>
      <c r="R66" s="1420" t="s">
        <v>869</v>
      </c>
    </row>
    <row r="67" spans="1:18" s="1384" customFormat="1" ht="24.6"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2"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8" thickBot="1">
      <c r="A69" s="951"/>
      <c r="B69" s="952"/>
      <c r="C69" s="306"/>
      <c r="D69" s="970" t="s">
        <v>762</v>
      </c>
      <c r="E69" s="950" t="s">
        <v>763</v>
      </c>
      <c r="F69" s="333">
        <f ca="1">F41</f>
        <v>0</v>
      </c>
      <c r="O69" s="1428" t="s">
        <v>411</v>
      </c>
      <c r="P69" s="1467" t="s">
        <v>872</v>
      </c>
      <c r="Q69" s="1420">
        <f ca="1">C39</f>
        <v>0</v>
      </c>
      <c r="R69" s="1420" t="s">
        <v>818</v>
      </c>
    </row>
    <row r="70" spans="1:18" s="1384" customFormat="1" ht="13.8" thickBot="1">
      <c r="A70" s="954"/>
      <c r="B70" s="955"/>
      <c r="C70" s="310"/>
      <c r="D70" s="966"/>
      <c r="E70" s="950" t="s">
        <v>766</v>
      </c>
      <c r="F70" s="1054"/>
      <c r="O70" s="1428" t="s">
        <v>412</v>
      </c>
      <c r="P70" s="1467" t="s">
        <v>873</v>
      </c>
      <c r="Q70" s="1420">
        <f ca="1">C13</f>
        <v>0</v>
      </c>
      <c r="R70" s="1420" t="s">
        <v>818</v>
      </c>
    </row>
    <row r="71" spans="1:18" s="1384" customFormat="1" ht="13.8" thickBot="1">
      <c r="A71" s="971" t="s">
        <v>396</v>
      </c>
      <c r="B71" s="972" t="s">
        <v>776</v>
      </c>
      <c r="C71" s="336" t="e">
        <f ca="1">ROUND(C68*10000/F71,0)</f>
        <v>#DIV/0!</v>
      </c>
      <c r="D71" s="973" t="s">
        <v>777</v>
      </c>
      <c r="E71" s="974" t="s">
        <v>778</v>
      </c>
      <c r="F71" s="339">
        <f ca="1">F43</f>
        <v>0</v>
      </c>
      <c r="O71" s="1428" t="s">
        <v>413</v>
      </c>
      <c r="P71" s="1467" t="s">
        <v>874</v>
      </c>
      <c r="Q71" s="1431">
        <f ca="1">C76</f>
        <v>0</v>
      </c>
      <c r="R71" s="1420"/>
    </row>
    <row r="72" spans="1:18" s="1384" customFormat="1" ht="13.8" thickBot="1">
      <c r="B72" s="726"/>
      <c r="C72" s="726"/>
      <c r="O72" s="1428" t="s">
        <v>407</v>
      </c>
      <c r="P72" s="1419" t="s">
        <v>852</v>
      </c>
      <c r="Q72" s="1431">
        <f>L52</f>
        <v>0</v>
      </c>
      <c r="R72" s="1420"/>
    </row>
    <row r="73" spans="1:18" ht="16.2" thickBot="1">
      <c r="A73" s="1384"/>
      <c r="B73" s="726"/>
      <c r="C73" s="726"/>
      <c r="D73" s="1384"/>
      <c r="E73" s="1384"/>
      <c r="F73" s="1384"/>
      <c r="O73" s="1428" t="s">
        <v>408</v>
      </c>
      <c r="P73" s="1419" t="s">
        <v>855</v>
      </c>
      <c r="Q73" s="1420" t="e">
        <f ca="1">L58</f>
        <v>#DIV/0!</v>
      </c>
      <c r="R73" s="1420" t="s">
        <v>856</v>
      </c>
    </row>
    <row r="74" spans="1:18" ht="13.8"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8"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90" zoomScaleNormal="70" zoomScaleSheetLayoutView="90" workbookViewId="0">
      <selection activeCell="J47" sqref="J47:J49"/>
    </sheetView>
  </sheetViews>
  <sheetFormatPr defaultColWidth="9" defaultRowHeight="13.2"/>
  <cols>
    <col min="1" max="1" width="9" style="258" customWidth="1"/>
    <col min="2" max="2" width="20.6640625" style="655" customWidth="1"/>
    <col min="3" max="3" width="11.88671875" style="655" customWidth="1"/>
    <col min="4" max="4" width="40.44140625" style="258" customWidth="1"/>
    <col min="5" max="5" width="15.77734375" style="258" customWidth="1"/>
    <col min="6" max="6" width="10.6640625" style="258" customWidth="1"/>
    <col min="7" max="7" width="4.88671875" style="258" customWidth="1"/>
    <col min="8" max="8" width="8.44140625" style="258" customWidth="1"/>
    <col min="9" max="9" width="21.21875" style="258" customWidth="1"/>
    <col min="10" max="10" width="12.21875" style="258" customWidth="1"/>
    <col min="11" max="11" width="40.109375" style="1468" customWidth="1"/>
    <col min="12" max="12" width="16.33203125" style="258" customWidth="1"/>
    <col min="13" max="13" width="13" style="258" customWidth="1"/>
    <col min="14" max="14" width="13.77734375" style="1384" customWidth="1"/>
    <col min="15" max="15" width="5.109375" style="1384" customWidth="1"/>
    <col min="16" max="16" width="25.77734375" style="1384" customWidth="1"/>
    <col min="17" max="17" width="13.77734375" style="1384" customWidth="1"/>
    <col min="18" max="18" width="20.44140625" style="1384" customWidth="1"/>
    <col min="19" max="19" width="13.21875" style="1384" customWidth="1"/>
    <col min="20" max="37" width="9" style="1384"/>
    <col min="38" max="16384" width="9" style="258"/>
  </cols>
  <sheetData>
    <row r="1" spans="1:37" s="293" customFormat="1" ht="21.6">
      <c r="A1" s="1375" t="s">
        <v>877</v>
      </c>
      <c r="B1" s="713"/>
      <c r="C1" s="1379"/>
      <c r="D1" s="1362" t="s">
        <v>43</v>
      </c>
      <c r="E1" s="1363" t="s">
        <v>678</v>
      </c>
      <c r="F1" s="1062">
        <f ca="1">J53</f>
        <v>0</v>
      </c>
      <c r="G1" s="1378">
        <f>MATCH(C1,'数据-取费表'!A6:A16,0)+5</f>
        <v>8</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5" t="e">
        <f ca="1">ROUND(D2/10000,4)</f>
        <v>#DIV/0!</v>
      </c>
      <c r="C2" s="1387" t="s">
        <v>879</v>
      </c>
      <c r="D2" s="1471" t="e">
        <f ca="1">C40+J29+L46</f>
        <v>#DIV/0!</v>
      </c>
      <c r="E2" s="1388" t="s">
        <v>880</v>
      </c>
      <c r="F2" s="1389"/>
      <c r="G2" s="2706"/>
      <c r="H2" s="2695"/>
      <c r="I2" s="2695"/>
      <c r="J2" s="2695"/>
      <c r="K2" s="2696"/>
      <c r="L2" s="2695"/>
      <c r="M2" s="2695"/>
    </row>
    <row r="3" spans="1:37" ht="18" customHeight="1" thickBot="1">
      <c r="A3" s="1390" t="s">
        <v>881</v>
      </c>
      <c r="B3" s="1391">
        <f ca="1">IF(ISERROR(D2/F43),0,ROUND(D2/F43,0))</f>
        <v>0</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0</v>
      </c>
      <c r="D5" s="1364" t="s">
        <v>889</v>
      </c>
      <c r="E5" s="1071"/>
      <c r="F5" s="1072"/>
      <c r="G5" s="1384"/>
      <c r="H5" s="299">
        <v>1</v>
      </c>
      <c r="I5" s="300" t="s">
        <v>888</v>
      </c>
      <c r="J5" s="1070">
        <f ca="1">J6+J10+J12</f>
        <v>0</v>
      </c>
      <c r="K5" s="1364" t="s">
        <v>889</v>
      </c>
      <c r="L5" s="1071"/>
      <c r="M5" s="1072"/>
    </row>
    <row r="6" spans="1:37" ht="18" customHeight="1">
      <c r="A6" s="1069" t="s">
        <v>398</v>
      </c>
      <c r="B6" s="3902" t="s">
        <v>694</v>
      </c>
      <c r="C6" s="1074">
        <f ca="1">ROUND(F6*F8*F7*(1-F9),0)</f>
        <v>0</v>
      </c>
      <c r="D6" s="155" t="s">
        <v>2106</v>
      </c>
      <c r="E6" s="302" t="s">
        <v>696</v>
      </c>
      <c r="F6" s="303">
        <f ca="1">INDIRECT("'数据-取费表'!u"&amp;$G$1)</f>
        <v>0</v>
      </c>
      <c r="G6" s="1384"/>
      <c r="H6" s="1069" t="s">
        <v>398</v>
      </c>
      <c r="I6" s="3902" t="s">
        <v>694</v>
      </c>
      <c r="J6" s="301">
        <f ca="1">ROUND(M6*M8*M7*(1-M9),0)</f>
        <v>0</v>
      </c>
      <c r="K6" s="1376" t="s">
        <v>2107</v>
      </c>
      <c r="L6" s="302" t="s">
        <v>696</v>
      </c>
      <c r="M6" s="303">
        <f ca="1">INDIRECT("'数据-取费表'!z"&amp;$G$1)</f>
        <v>0</v>
      </c>
    </row>
    <row r="7" spans="1:37" ht="18" customHeight="1">
      <c r="A7" s="1073"/>
      <c r="B7" s="3903"/>
      <c r="C7" s="1075"/>
      <c r="D7" s="307"/>
      <c r="E7" s="1076" t="s">
        <v>697</v>
      </c>
      <c r="F7" s="303">
        <f ca="1">IF(INDIRECT("'数据-取费表'!ah"&amp;$G$1)="",INDIRECT("'数据-取费表'!k"&amp;$G$1),INDIRECT("'数据-取费表'!ah"&amp;$G$1))</f>
        <v>0</v>
      </c>
      <c r="G7" s="1384"/>
      <c r="H7" s="304"/>
      <c r="I7" s="3903"/>
      <c r="J7" s="306"/>
      <c r="K7" s="307"/>
      <c r="L7" s="302" t="s">
        <v>697</v>
      </c>
      <c r="M7" s="303">
        <f ca="1">F7</f>
        <v>0</v>
      </c>
    </row>
    <row r="8" spans="1:37" ht="18" customHeight="1">
      <c r="A8" s="304"/>
      <c r="B8" s="3903"/>
      <c r="C8" s="306"/>
      <c r="D8" s="307"/>
      <c r="E8" s="302" t="s">
        <v>698</v>
      </c>
      <c r="F8" s="303">
        <f ca="1">INDIRECT("'数据-取费表'!ai"&amp;$G$1)</f>
        <v>0</v>
      </c>
      <c r="G8" s="1384"/>
      <c r="H8" s="304"/>
      <c r="I8" s="3903"/>
      <c r="J8" s="306"/>
      <c r="K8" s="307"/>
      <c r="L8" s="302" t="s">
        <v>698</v>
      </c>
      <c r="M8" s="303">
        <f ca="1">INDIRECT("'数据-取费表'!ai"&amp;$G$1)</f>
        <v>0</v>
      </c>
    </row>
    <row r="9" spans="1:37" ht="18" customHeight="1">
      <c r="A9" s="304"/>
      <c r="B9" s="3904"/>
      <c r="C9" s="306"/>
      <c r="D9" s="307"/>
      <c r="E9" s="302" t="s">
        <v>699</v>
      </c>
      <c r="F9" s="312">
        <f ca="1">INDIRECT("'数据-取费表'!w"&amp;$G$1)</f>
        <v>0</v>
      </c>
      <c r="G9" s="1384"/>
      <c r="H9" s="304"/>
      <c r="I9" s="3904"/>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ROUND(F17*(F43+INDIRECT("'数据-取费表'!S"&amp;$G$1)),0)</f>
        <v>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IF(K19="按租金收入计税",ROUND(J6*M19/(1+'数据-取费表'!C42),0),ROUND(C29*M19*0.7,0))</f>
        <v>0</v>
      </c>
      <c r="K19" s="1370" t="s">
        <v>3340</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ROUND(M20*M21,0)</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ROUND(J5*M24,0)</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0</v>
      </c>
      <c r="D31" s="1345" t="s">
        <v>720</v>
      </c>
      <c r="E31" s="1344" t="s">
        <v>770</v>
      </c>
      <c r="F31" s="2315">
        <f ca="1">IF(项目基本情况!B11="企业","——",IF(M47="住宅",IF(F6*F7*F8/12/(1+'数据-取费表'!F30)&gt;100000,4%,2.5%),IF(F6*F7*F8/12/(1+'数据-取费表'!F30)&gt;100000,12%,7%)))</f>
        <v>7.0000000000000007E-2</v>
      </c>
      <c r="G31" s="1384"/>
      <c r="H31" s="2808" t="s">
        <v>2310</v>
      </c>
      <c r="I31" s="1398"/>
      <c r="J31" s="1399"/>
      <c r="K31" s="2475"/>
      <c r="L31" s="2698"/>
      <c r="M31" s="2699"/>
    </row>
    <row r="32" spans="1:37" ht="18" customHeight="1">
      <c r="A32" s="982" t="s">
        <v>397</v>
      </c>
      <c r="B32" s="302" t="s">
        <v>723</v>
      </c>
      <c r="C32" s="21">
        <f ca="1">IF(项目基本情况!B11="自然人","——",ROUND(C6*F32/(1+'数据-取费表'!C42),0))</f>
        <v>0</v>
      </c>
      <c r="D32" s="1344"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IF(项目基本情况!B11="自然人","——",IF(D33="按租金收入计税",ROUND(C6*F33/(1+'数据-取费表'!C42),0),IF(D33="按房产原值计税",ROUND(C29*F33*0.7,0),INDIRECT("'数据-取费表'!Aj"&amp;$G$1))))</f>
        <v>0</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IF(项目基本情况!B11="自然人","——",ROUND(F34*F35,0))</f>
        <v>0</v>
      </c>
      <c r="D34" s="324" t="s">
        <v>731</v>
      </c>
      <c r="E34" s="302" t="s">
        <v>732</v>
      </c>
      <c r="F34" s="325">
        <f>'数据-取费表'!B52</f>
        <v>18</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ROUND(C29*F36,0)</f>
        <v>0</v>
      </c>
      <c r="D36" s="1344" t="s">
        <v>771</v>
      </c>
      <c r="E36" s="302" t="s">
        <v>712</v>
      </c>
      <c r="F36" s="328">
        <f ca="1">INDIRECT("'数据-取费表'!Ak"&amp;$G$1)</f>
        <v>0</v>
      </c>
      <c r="G36" s="1384"/>
      <c r="H36" s="2700"/>
      <c r="I36" s="1398"/>
      <c r="J36" s="1399"/>
      <c r="K36" s="2544"/>
      <c r="L36" s="2700"/>
      <c r="M36" s="2700"/>
    </row>
    <row r="37" spans="1:18" ht="18" customHeight="1">
      <c r="A37" s="982" t="s">
        <v>437</v>
      </c>
      <c r="B37" s="302" t="s">
        <v>742</v>
      </c>
      <c r="C37" s="21">
        <f ca="1">ROUND(C13*F37,0)</f>
        <v>0</v>
      </c>
      <c r="D37" s="1344" t="s">
        <v>743</v>
      </c>
      <c r="E37" s="302" t="s">
        <v>744</v>
      </c>
      <c r="F37" s="330">
        <f ca="1">INDIRECT("'数据-取费表'!Al"&amp;$G$1)</f>
        <v>0</v>
      </c>
      <c r="G37" s="1384"/>
      <c r="H37" s="2700"/>
      <c r="I37" s="1398"/>
      <c r="J37" s="1399"/>
      <c r="K37" s="2544"/>
      <c r="L37" s="2700"/>
      <c r="M37" s="2700"/>
    </row>
    <row r="38" spans="1:18" ht="18" customHeight="1" thickBot="1">
      <c r="A38" s="1089" t="s">
        <v>684</v>
      </c>
      <c r="B38" s="1090" t="s">
        <v>728</v>
      </c>
      <c r="C38" s="1091">
        <f ca="1">ROUND(C5*F38,0)</f>
        <v>0</v>
      </c>
      <c r="D38" s="1092" t="s">
        <v>748</v>
      </c>
      <c r="E38" s="1090" t="s">
        <v>744</v>
      </c>
      <c r="F38" s="1086">
        <f ca="1">INDIRECT("'数据-取费表'!Am"&amp;$G$1)</f>
        <v>0</v>
      </c>
      <c r="G38" s="1384"/>
      <c r="H38" s="2700"/>
      <c r="I38" s="1398"/>
      <c r="J38" s="1399"/>
      <c r="K38" s="2704"/>
      <c r="L38" s="2700"/>
      <c r="M38" s="2700"/>
    </row>
    <row r="39" spans="1:18" ht="24.6" customHeight="1" thickTop="1">
      <c r="A39" s="1079" t="s">
        <v>394</v>
      </c>
      <c r="B39" s="1094" t="s">
        <v>772</v>
      </c>
      <c r="C39" s="310">
        <f ca="1">C5-C30</f>
        <v>0</v>
      </c>
      <c r="D39" s="1095" t="s">
        <v>773</v>
      </c>
      <c r="E39" s="1096"/>
      <c r="F39" s="1097"/>
      <c r="G39" s="1384"/>
      <c r="H39" s="2700"/>
      <c r="I39" s="1398"/>
      <c r="J39" s="1399"/>
      <c r="K39" s="2704"/>
      <c r="L39" s="2700"/>
      <c r="M39" s="2700"/>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3356</v>
      </c>
      <c r="B45" s="1400"/>
      <c r="C45" s="1472" t="e">
        <f ca="1">ROUND((C68-C40)/10000,4)</f>
        <v>#DIV/0!</v>
      </c>
      <c r="D45" s="3432" t="s">
        <v>3357</v>
      </c>
      <c r="E45" s="1400"/>
      <c r="F45" s="1400"/>
      <c r="O45" s="1403" t="s">
        <v>808</v>
      </c>
      <c r="P45" s="1461"/>
      <c r="Q45" s="1461"/>
      <c r="R45" s="1461"/>
    </row>
    <row r="46" spans="1:18" s="1384" customFormat="1" ht="13.8" thickBot="1">
      <c r="A46" s="1404" t="s">
        <v>809</v>
      </c>
      <c r="C46" s="1405" t="e">
        <f ca="1">ROUND(C45,0)</f>
        <v>#DIV/0!</v>
      </c>
      <c r="D46" s="1406" t="str">
        <f>C2</f>
        <v>万元</v>
      </c>
      <c r="I46" s="1407" t="s">
        <v>810</v>
      </c>
      <c r="J46" s="1408"/>
      <c r="K46" s="1409"/>
      <c r="L46" s="1410" t="e">
        <f ca="1">IF(M47="住宅",0,IF(L48&gt;J51,L60,J60))</f>
        <v>#DIV/0!</v>
      </c>
      <c r="O46" s="1411" t="s">
        <v>811</v>
      </c>
      <c r="P46" s="1412" t="s">
        <v>812</v>
      </c>
      <c r="Q46" s="1413" t="s">
        <v>813</v>
      </c>
      <c r="R46" s="1413" t="s">
        <v>814</v>
      </c>
    </row>
    <row r="47" spans="1:18" s="1384" customFormat="1" ht="13.8" thickBot="1">
      <c r="A47" s="946" t="s">
        <v>687</v>
      </c>
      <c r="B47" s="978" t="s">
        <v>688</v>
      </c>
      <c r="C47" s="978"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40.200000000000003"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8" thickBot="1">
      <c r="A49" s="975" t="s">
        <v>439</v>
      </c>
      <c r="B49" s="1371" t="s">
        <v>779</v>
      </c>
      <c r="C49" s="1114">
        <f ca="1">ROUND(F49*F51*F50*(1-F52),0)</f>
        <v>0</v>
      </c>
      <c r="D49" s="1055" t="s">
        <v>695</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8" thickBot="1">
      <c r="A50" s="976"/>
      <c r="B50" s="979"/>
      <c r="C50" s="980"/>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8"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8"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0</v>
      </c>
      <c r="K53" s="3900" t="s">
        <v>837</v>
      </c>
      <c r="L53" s="3901"/>
      <c r="O53" s="1418" t="s">
        <v>409</v>
      </c>
      <c r="P53" s="1419" t="s">
        <v>838</v>
      </c>
      <c r="Q53" s="1420" t="e">
        <f ca="1">Q47+Q48</f>
        <v>#DIV/0!</v>
      </c>
      <c r="R53" s="1420" t="s">
        <v>410</v>
      </c>
    </row>
    <row r="54" spans="1:18" s="1384" customFormat="1" ht="13.8"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8"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0</v>
      </c>
      <c r="D56" s="1447"/>
      <c r="E56" s="1448"/>
      <c r="F56" s="1440"/>
      <c r="I56" s="1449" t="s">
        <v>842</v>
      </c>
      <c r="J56" s="1450"/>
      <c r="K56" s="1421" t="s">
        <v>843</v>
      </c>
      <c r="L56" s="1424">
        <f ca="1">IF(L48&lt;J51,"——",L48-J51)</f>
        <v>0</v>
      </c>
      <c r="O56" s="1418" t="s">
        <v>403</v>
      </c>
      <c r="P56" s="1419" t="s">
        <v>817</v>
      </c>
      <c r="Q56" s="1420" t="e">
        <f ca="1">C40+J29</f>
        <v>#DIV/0!</v>
      </c>
      <c r="R56" s="1420" t="s">
        <v>818</v>
      </c>
    </row>
    <row r="57" spans="1:18" s="1384" customFormat="1" ht="24.6" thickBot="1">
      <c r="A57" s="1451"/>
      <c r="B57" s="950" t="s">
        <v>767</v>
      </c>
      <c r="C57" s="238">
        <f ca="1">C29</f>
        <v>0</v>
      </c>
      <c r="D57" s="1452"/>
      <c r="E57" s="1453"/>
      <c r="F57" s="1454"/>
      <c r="I57" s="1455" t="s">
        <v>844</v>
      </c>
      <c r="J57" s="1456">
        <f ca="1">IF(OR(M47="住宅",J51&lt;L48,J56="是"),"——",J51-L48)</f>
        <v>0</v>
      </c>
      <c r="K57" s="1421" t="s">
        <v>892</v>
      </c>
      <c r="L57" s="1424">
        <f ca="1">IF(L48&lt;J51,"——",IF(L55="比较法",L49,IF(L55="基准地价",L50,L51)))</f>
        <v>0</v>
      </c>
      <c r="O57" s="1418" t="s">
        <v>404</v>
      </c>
      <c r="P57" s="1419" t="s">
        <v>893</v>
      </c>
      <c r="Q57" s="1420" t="e">
        <f ca="1">L60</f>
        <v>#DIV/0!</v>
      </c>
      <c r="R57" s="1420" t="s">
        <v>894</v>
      </c>
    </row>
    <row r="58" spans="1:18" s="1384" customFormat="1" ht="24.6" thickBot="1">
      <c r="A58" s="315" t="s">
        <v>393</v>
      </c>
      <c r="B58" s="958" t="s">
        <v>714</v>
      </c>
      <c r="C58" s="316">
        <f ca="1">ROUND(C59+C64+C65+C66,0)</f>
        <v>0</v>
      </c>
      <c r="D58" s="960" t="s">
        <v>715</v>
      </c>
      <c r="E58" s="961"/>
      <c r="F58" s="962"/>
      <c r="I58" s="1455" t="s">
        <v>848</v>
      </c>
      <c r="J58" s="1457" t="e">
        <f ca="1">IF(J55&lt;0.4,0.4,J55)</f>
        <v>#DIV/0!</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6"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2" thickBot="1">
      <c r="A60" s="982" t="s">
        <v>397</v>
      </c>
      <c r="B60" s="950" t="s">
        <v>723</v>
      </c>
      <c r="C60" s="21">
        <f ca="1">IF(项目基本情况!B11="自然人","——",ROUND(C48*F60/(1+'数据-取费表'!C42),0))</f>
        <v>0</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8" thickBot="1">
      <c r="A61" s="982" t="s">
        <v>781</v>
      </c>
      <c r="B61" s="950" t="s">
        <v>782</v>
      </c>
      <c r="C61" s="21">
        <f ca="1">IF(项目基本情况!B11="自然人","——",IF(D61="按租金收入计税",ROUND(C49*F61/(1+'数据-取费表'!C42),0),IF(D61="按房产原值计税",ROUND(C57*F61*0.7,0),INDIRECT("'数据-取费表'!Aj"&amp;$G$1))))</f>
        <v>0</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8" thickBot="1">
      <c r="A62" s="982" t="s">
        <v>784</v>
      </c>
      <c r="B62" s="949" t="s">
        <v>785</v>
      </c>
      <c r="C62" s="22">
        <f ca="1">IF(项目基本情况!B11="自然人","——",ROUND(F62*F63,0))</f>
        <v>0</v>
      </c>
      <c r="D62" s="965" t="s">
        <v>786</v>
      </c>
      <c r="E62" s="950" t="s">
        <v>787</v>
      </c>
      <c r="F62" s="325">
        <f t="shared" si="0"/>
        <v>18</v>
      </c>
      <c r="I62" s="1462" t="s">
        <v>858</v>
      </c>
      <c r="J62" s="1463" t="s">
        <v>859</v>
      </c>
      <c r="K62" s="1463" t="s">
        <v>860</v>
      </c>
      <c r="L62" s="1463" t="s">
        <v>861</v>
      </c>
      <c r="M62" s="1464" t="s">
        <v>862</v>
      </c>
      <c r="O62" s="1418" t="s">
        <v>409</v>
      </c>
      <c r="P62" s="1419" t="s">
        <v>863</v>
      </c>
      <c r="Q62" s="1420" t="e">
        <f ca="1">Q56+Q57</f>
        <v>#DIV/0!</v>
      </c>
      <c r="R62" s="1420" t="s">
        <v>410</v>
      </c>
    </row>
    <row r="63" spans="1:18" s="1384" customFormat="1" ht="13.8"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8" thickBot="1">
      <c r="A64" s="982" t="s">
        <v>789</v>
      </c>
      <c r="B64" s="950" t="s">
        <v>790</v>
      </c>
      <c r="C64" s="21">
        <f ca="1">ROUND(C57*F64,0)</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8" thickBot="1">
      <c r="A65" s="982" t="s">
        <v>792</v>
      </c>
      <c r="B65" s="950" t="s">
        <v>742</v>
      </c>
      <c r="C65" s="21">
        <f ca="1">ROUND(C56*F65,0)</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2" thickBot="1">
      <c r="A66" s="982" t="s">
        <v>793</v>
      </c>
      <c r="B66" s="950" t="s">
        <v>728</v>
      </c>
      <c r="C66" s="21">
        <f ca="1">ROUND(C48*F66,0)</f>
        <v>0</v>
      </c>
      <c r="D66" s="964" t="s">
        <v>794</v>
      </c>
      <c r="E66" s="950" t="s">
        <v>712</v>
      </c>
      <c r="F66" s="312">
        <f t="shared" ca="1" si="0"/>
        <v>0</v>
      </c>
      <c r="O66" s="1418" t="s">
        <v>404</v>
      </c>
      <c r="P66" s="1419" t="s">
        <v>846</v>
      </c>
      <c r="Q66" s="1420" t="e">
        <f ca="1">L60</f>
        <v>#DIV/0!</v>
      </c>
      <c r="R66" s="1420" t="s">
        <v>869</v>
      </c>
    </row>
    <row r="67" spans="1:18" s="1384" customFormat="1" ht="24.6"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2"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8" thickBot="1">
      <c r="A69" s="951"/>
      <c r="B69" s="952"/>
      <c r="C69" s="306"/>
      <c r="D69" s="970" t="s">
        <v>762</v>
      </c>
      <c r="E69" s="950" t="s">
        <v>763</v>
      </c>
      <c r="F69" s="333">
        <f ca="1">F41</f>
        <v>0</v>
      </c>
      <c r="O69" s="1428" t="s">
        <v>411</v>
      </c>
      <c r="P69" s="1467" t="s">
        <v>872</v>
      </c>
      <c r="Q69" s="1420">
        <f ca="1">C39</f>
        <v>0</v>
      </c>
      <c r="R69" s="1420" t="s">
        <v>818</v>
      </c>
    </row>
    <row r="70" spans="1:18" s="1384" customFormat="1" ht="13.8" thickBot="1">
      <c r="A70" s="954"/>
      <c r="B70" s="955"/>
      <c r="C70" s="310"/>
      <c r="D70" s="966"/>
      <c r="E70" s="950" t="s">
        <v>766</v>
      </c>
      <c r="F70" s="1054"/>
      <c r="O70" s="1428" t="s">
        <v>412</v>
      </c>
      <c r="P70" s="1467" t="s">
        <v>873</v>
      </c>
      <c r="Q70" s="1420">
        <f ca="1">C13</f>
        <v>0</v>
      </c>
      <c r="R70" s="1420" t="s">
        <v>818</v>
      </c>
    </row>
    <row r="71" spans="1:18" s="1384" customFormat="1" ht="13.8" thickBot="1">
      <c r="A71" s="971" t="s">
        <v>396</v>
      </c>
      <c r="B71" s="972" t="s">
        <v>776</v>
      </c>
      <c r="C71" s="336" t="e">
        <f ca="1">ROUND(C68/F71,0)</f>
        <v>#DIV/0!</v>
      </c>
      <c r="D71" s="973" t="s">
        <v>777</v>
      </c>
      <c r="E71" s="974" t="s">
        <v>778</v>
      </c>
      <c r="F71" s="339">
        <f ca="1">F43</f>
        <v>0</v>
      </c>
      <c r="O71" s="1428" t="s">
        <v>413</v>
      </c>
      <c r="P71" s="1467" t="s">
        <v>874</v>
      </c>
      <c r="Q71" s="1431">
        <f ca="1">C76</f>
        <v>0</v>
      </c>
      <c r="R71" s="1420"/>
    </row>
    <row r="72" spans="1:18" s="1384" customFormat="1" ht="13.8" thickBot="1">
      <c r="B72" s="726"/>
      <c r="C72" s="726"/>
      <c r="O72" s="1428" t="s">
        <v>407</v>
      </c>
      <c r="P72" s="1419" t="s">
        <v>852</v>
      </c>
      <c r="Q72" s="1431">
        <f>L52</f>
        <v>0</v>
      </c>
      <c r="R72" s="1420"/>
    </row>
    <row r="73" spans="1:18" ht="16.2" thickBot="1">
      <c r="A73" s="1384"/>
      <c r="B73" s="726"/>
      <c r="C73" s="726"/>
      <c r="D73" s="1384"/>
      <c r="E73" s="1384"/>
      <c r="F73" s="1384"/>
      <c r="O73" s="1428" t="s">
        <v>408</v>
      </c>
      <c r="P73" s="1419" t="s">
        <v>855</v>
      </c>
      <c r="Q73" s="1420" t="e">
        <f ca="1">L58</f>
        <v>#DIV/0!</v>
      </c>
      <c r="R73" s="1420" t="s">
        <v>856</v>
      </c>
    </row>
    <row r="74" spans="1:18" ht="13.8"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8"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1" priority="4">
      <formula>$L$48&gt;$J$51</formula>
    </cfRule>
  </conditionalFormatting>
  <conditionalFormatting sqref="I55 I60">
    <cfRule type="expression" dxfId="160" priority="5">
      <formula>$J$51&gt;$L$48</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4">
    <cfRule type="expression" dxfId="15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2" customHeight="1"/>
  <cols>
    <col min="1" max="1" width="9.44140625" style="2842" customWidth="1"/>
    <col min="2" max="2" width="8.88671875" style="2842"/>
    <col min="3" max="5" width="12.88671875" style="2842" customWidth="1"/>
    <col min="6" max="6" width="47.44140625" style="2842" customWidth="1"/>
    <col min="7" max="7" width="13" style="3001" customWidth="1"/>
    <col min="8" max="8" width="8.88671875" style="2836"/>
    <col min="9" max="9" width="8.88671875" style="2837"/>
    <col min="10" max="10" width="5.77734375" style="3002" customWidth="1"/>
    <col min="11" max="11" width="11.77734375" style="3002" customWidth="1"/>
    <col min="12" max="13" width="10.77734375" style="3002" customWidth="1"/>
    <col min="14" max="14" width="10" style="3002" customWidth="1"/>
    <col min="15" max="16" width="10.44140625" style="3002" bestFit="1" customWidth="1"/>
    <col min="17" max="17" width="10" style="3002" customWidth="1"/>
    <col min="18" max="18" width="10.109375" style="3002" customWidth="1"/>
    <col min="19" max="19" width="10" style="3002" customWidth="1"/>
    <col min="20" max="20" width="26.109375" style="3002" customWidth="1"/>
    <col min="21" max="21" width="8.88671875" style="3002"/>
    <col min="22" max="22" width="8.88671875" style="2837"/>
    <col min="23" max="256" width="8.88671875" style="2842"/>
    <col min="257" max="257" width="9.44140625" style="2842" customWidth="1"/>
    <col min="258" max="258" width="8.88671875" style="2842"/>
    <col min="259" max="261" width="12.88671875" style="2842" customWidth="1"/>
    <col min="262" max="262" width="47.44140625" style="2842" customWidth="1"/>
    <col min="263" max="263" width="13" style="2842" customWidth="1"/>
    <col min="264" max="265" width="8.88671875" style="2842"/>
    <col min="266" max="266" width="5.77734375" style="2842" customWidth="1"/>
    <col min="267" max="267" width="11.77734375" style="2842" customWidth="1"/>
    <col min="268" max="269" width="10.77734375" style="2842" customWidth="1"/>
    <col min="270" max="270" width="10" style="2842" customWidth="1"/>
    <col min="271" max="272" width="10.44140625" style="2842" bestFit="1" customWidth="1"/>
    <col min="273" max="273" width="10" style="2842" customWidth="1"/>
    <col min="274" max="274" width="10.109375" style="2842" customWidth="1"/>
    <col min="275" max="275" width="10" style="2842" customWidth="1"/>
    <col min="276" max="276" width="26.109375" style="2842" customWidth="1"/>
    <col min="277" max="512" width="8.88671875" style="2842"/>
    <col min="513" max="513" width="9.44140625" style="2842" customWidth="1"/>
    <col min="514" max="514" width="8.88671875" style="2842"/>
    <col min="515" max="517" width="12.88671875" style="2842" customWidth="1"/>
    <col min="518" max="518" width="47.44140625" style="2842" customWidth="1"/>
    <col min="519" max="519" width="13" style="2842" customWidth="1"/>
    <col min="520" max="521" width="8.88671875" style="2842"/>
    <col min="522" max="522" width="5.77734375" style="2842" customWidth="1"/>
    <col min="523" max="523" width="11.77734375" style="2842" customWidth="1"/>
    <col min="524" max="525" width="10.77734375" style="2842" customWidth="1"/>
    <col min="526" max="526" width="10" style="2842" customWidth="1"/>
    <col min="527" max="528" width="10.44140625" style="2842" bestFit="1" customWidth="1"/>
    <col min="529" max="529" width="10" style="2842" customWidth="1"/>
    <col min="530" max="530" width="10.109375" style="2842" customWidth="1"/>
    <col min="531" max="531" width="10" style="2842" customWidth="1"/>
    <col min="532" max="532" width="26.109375" style="2842" customWidth="1"/>
    <col min="533" max="768" width="8.88671875" style="2842"/>
    <col min="769" max="769" width="9.44140625" style="2842" customWidth="1"/>
    <col min="770" max="770" width="8.88671875" style="2842"/>
    <col min="771" max="773" width="12.88671875" style="2842" customWidth="1"/>
    <col min="774" max="774" width="47.44140625" style="2842" customWidth="1"/>
    <col min="775" max="775" width="13" style="2842" customWidth="1"/>
    <col min="776" max="777" width="8.88671875" style="2842"/>
    <col min="778" max="778" width="5.77734375" style="2842" customWidth="1"/>
    <col min="779" max="779" width="11.77734375" style="2842" customWidth="1"/>
    <col min="780" max="781" width="10.77734375" style="2842" customWidth="1"/>
    <col min="782" max="782" width="10" style="2842" customWidth="1"/>
    <col min="783" max="784" width="10.44140625" style="2842" bestFit="1" customWidth="1"/>
    <col min="785" max="785" width="10" style="2842" customWidth="1"/>
    <col min="786" max="786" width="10.109375" style="2842" customWidth="1"/>
    <col min="787" max="787" width="10" style="2842" customWidth="1"/>
    <col min="788" max="788" width="26.109375" style="2842" customWidth="1"/>
    <col min="789" max="1024" width="8.88671875" style="2842"/>
    <col min="1025" max="1025" width="9.44140625" style="2842" customWidth="1"/>
    <col min="1026" max="1026" width="8.88671875" style="2842"/>
    <col min="1027" max="1029" width="12.88671875" style="2842" customWidth="1"/>
    <col min="1030" max="1030" width="47.44140625" style="2842" customWidth="1"/>
    <col min="1031" max="1031" width="13" style="2842" customWidth="1"/>
    <col min="1032" max="1033" width="8.88671875" style="2842"/>
    <col min="1034" max="1034" width="5.77734375" style="2842" customWidth="1"/>
    <col min="1035" max="1035" width="11.77734375" style="2842" customWidth="1"/>
    <col min="1036" max="1037" width="10.77734375" style="2842" customWidth="1"/>
    <col min="1038" max="1038" width="10" style="2842" customWidth="1"/>
    <col min="1039" max="1040" width="10.44140625" style="2842" bestFit="1" customWidth="1"/>
    <col min="1041" max="1041" width="10" style="2842" customWidth="1"/>
    <col min="1042" max="1042" width="10.109375" style="2842" customWidth="1"/>
    <col min="1043" max="1043" width="10" style="2842" customWidth="1"/>
    <col min="1044" max="1044" width="26.109375" style="2842" customWidth="1"/>
    <col min="1045" max="1280" width="8.88671875" style="2842"/>
    <col min="1281" max="1281" width="9.44140625" style="2842" customWidth="1"/>
    <col min="1282" max="1282" width="8.88671875" style="2842"/>
    <col min="1283" max="1285" width="12.88671875" style="2842" customWidth="1"/>
    <col min="1286" max="1286" width="47.44140625" style="2842" customWidth="1"/>
    <col min="1287" max="1287" width="13" style="2842" customWidth="1"/>
    <col min="1288" max="1289" width="8.88671875" style="2842"/>
    <col min="1290" max="1290" width="5.77734375" style="2842" customWidth="1"/>
    <col min="1291" max="1291" width="11.77734375" style="2842" customWidth="1"/>
    <col min="1292" max="1293" width="10.77734375" style="2842" customWidth="1"/>
    <col min="1294" max="1294" width="10" style="2842" customWidth="1"/>
    <col min="1295" max="1296" width="10.44140625" style="2842" bestFit="1" customWidth="1"/>
    <col min="1297" max="1297" width="10" style="2842" customWidth="1"/>
    <col min="1298" max="1298" width="10.109375" style="2842" customWidth="1"/>
    <col min="1299" max="1299" width="10" style="2842" customWidth="1"/>
    <col min="1300" max="1300" width="26.109375" style="2842" customWidth="1"/>
    <col min="1301" max="1536" width="8.88671875" style="2842"/>
    <col min="1537" max="1537" width="9.44140625" style="2842" customWidth="1"/>
    <col min="1538" max="1538" width="8.88671875" style="2842"/>
    <col min="1539" max="1541" width="12.88671875" style="2842" customWidth="1"/>
    <col min="1542" max="1542" width="47.44140625" style="2842" customWidth="1"/>
    <col min="1543" max="1543" width="13" style="2842" customWidth="1"/>
    <col min="1544" max="1545" width="8.88671875" style="2842"/>
    <col min="1546" max="1546" width="5.77734375" style="2842" customWidth="1"/>
    <col min="1547" max="1547" width="11.77734375" style="2842" customWidth="1"/>
    <col min="1548" max="1549" width="10.77734375" style="2842" customWidth="1"/>
    <col min="1550" max="1550" width="10" style="2842" customWidth="1"/>
    <col min="1551" max="1552" width="10.44140625" style="2842" bestFit="1" customWidth="1"/>
    <col min="1553" max="1553" width="10" style="2842" customWidth="1"/>
    <col min="1554" max="1554" width="10.109375" style="2842" customWidth="1"/>
    <col min="1555" max="1555" width="10" style="2842" customWidth="1"/>
    <col min="1556" max="1556" width="26.109375" style="2842" customWidth="1"/>
    <col min="1557" max="1792" width="8.88671875" style="2842"/>
    <col min="1793" max="1793" width="9.44140625" style="2842" customWidth="1"/>
    <col min="1794" max="1794" width="8.88671875" style="2842"/>
    <col min="1795" max="1797" width="12.88671875" style="2842" customWidth="1"/>
    <col min="1798" max="1798" width="47.44140625" style="2842" customWidth="1"/>
    <col min="1799" max="1799" width="13" style="2842" customWidth="1"/>
    <col min="1800" max="1801" width="8.88671875" style="2842"/>
    <col min="1802" max="1802" width="5.77734375" style="2842" customWidth="1"/>
    <col min="1803" max="1803" width="11.77734375" style="2842" customWidth="1"/>
    <col min="1804" max="1805" width="10.77734375" style="2842" customWidth="1"/>
    <col min="1806" max="1806" width="10" style="2842" customWidth="1"/>
    <col min="1807" max="1808" width="10.44140625" style="2842" bestFit="1" customWidth="1"/>
    <col min="1809" max="1809" width="10" style="2842" customWidth="1"/>
    <col min="1810" max="1810" width="10.109375" style="2842" customWidth="1"/>
    <col min="1811" max="1811" width="10" style="2842" customWidth="1"/>
    <col min="1812" max="1812" width="26.109375" style="2842" customWidth="1"/>
    <col min="1813" max="2048" width="8.88671875" style="2842"/>
    <col min="2049" max="2049" width="9.44140625" style="2842" customWidth="1"/>
    <col min="2050" max="2050" width="8.88671875" style="2842"/>
    <col min="2051" max="2053" width="12.88671875" style="2842" customWidth="1"/>
    <col min="2054" max="2054" width="47.44140625" style="2842" customWidth="1"/>
    <col min="2055" max="2055" width="13" style="2842" customWidth="1"/>
    <col min="2056" max="2057" width="8.88671875" style="2842"/>
    <col min="2058" max="2058" width="5.77734375" style="2842" customWidth="1"/>
    <col min="2059" max="2059" width="11.77734375" style="2842" customWidth="1"/>
    <col min="2060" max="2061" width="10.77734375" style="2842" customWidth="1"/>
    <col min="2062" max="2062" width="10" style="2842" customWidth="1"/>
    <col min="2063" max="2064" width="10.44140625" style="2842" bestFit="1" customWidth="1"/>
    <col min="2065" max="2065" width="10" style="2842" customWidth="1"/>
    <col min="2066" max="2066" width="10.109375" style="2842" customWidth="1"/>
    <col min="2067" max="2067" width="10" style="2842" customWidth="1"/>
    <col min="2068" max="2068" width="26.109375" style="2842" customWidth="1"/>
    <col min="2069" max="2304" width="8.88671875" style="2842"/>
    <col min="2305" max="2305" width="9.44140625" style="2842" customWidth="1"/>
    <col min="2306" max="2306" width="8.88671875" style="2842"/>
    <col min="2307" max="2309" width="12.88671875" style="2842" customWidth="1"/>
    <col min="2310" max="2310" width="47.44140625" style="2842" customWidth="1"/>
    <col min="2311" max="2311" width="13" style="2842" customWidth="1"/>
    <col min="2312" max="2313" width="8.88671875" style="2842"/>
    <col min="2314" max="2314" width="5.77734375" style="2842" customWidth="1"/>
    <col min="2315" max="2315" width="11.77734375" style="2842" customWidth="1"/>
    <col min="2316" max="2317" width="10.77734375" style="2842" customWidth="1"/>
    <col min="2318" max="2318" width="10" style="2842" customWidth="1"/>
    <col min="2319" max="2320" width="10.44140625" style="2842" bestFit="1" customWidth="1"/>
    <col min="2321" max="2321" width="10" style="2842" customWidth="1"/>
    <col min="2322" max="2322" width="10.109375" style="2842" customWidth="1"/>
    <col min="2323" max="2323" width="10" style="2842" customWidth="1"/>
    <col min="2324" max="2324" width="26.109375" style="2842" customWidth="1"/>
    <col min="2325" max="2560" width="8.88671875" style="2842"/>
    <col min="2561" max="2561" width="9.44140625" style="2842" customWidth="1"/>
    <col min="2562" max="2562" width="8.88671875" style="2842"/>
    <col min="2563" max="2565" width="12.88671875" style="2842" customWidth="1"/>
    <col min="2566" max="2566" width="47.44140625" style="2842" customWidth="1"/>
    <col min="2567" max="2567" width="13" style="2842" customWidth="1"/>
    <col min="2568" max="2569" width="8.88671875" style="2842"/>
    <col min="2570" max="2570" width="5.77734375" style="2842" customWidth="1"/>
    <col min="2571" max="2571" width="11.77734375" style="2842" customWidth="1"/>
    <col min="2572" max="2573" width="10.77734375" style="2842" customWidth="1"/>
    <col min="2574" max="2574" width="10" style="2842" customWidth="1"/>
    <col min="2575" max="2576" width="10.44140625" style="2842" bestFit="1" customWidth="1"/>
    <col min="2577" max="2577" width="10" style="2842" customWidth="1"/>
    <col min="2578" max="2578" width="10.109375" style="2842" customWidth="1"/>
    <col min="2579" max="2579" width="10" style="2842" customWidth="1"/>
    <col min="2580" max="2580" width="26.109375" style="2842" customWidth="1"/>
    <col min="2581" max="2816" width="8.88671875" style="2842"/>
    <col min="2817" max="2817" width="9.44140625" style="2842" customWidth="1"/>
    <col min="2818" max="2818" width="8.88671875" style="2842"/>
    <col min="2819" max="2821" width="12.88671875" style="2842" customWidth="1"/>
    <col min="2822" max="2822" width="47.44140625" style="2842" customWidth="1"/>
    <col min="2823" max="2823" width="13" style="2842" customWidth="1"/>
    <col min="2824" max="2825" width="8.88671875" style="2842"/>
    <col min="2826" max="2826" width="5.77734375" style="2842" customWidth="1"/>
    <col min="2827" max="2827" width="11.77734375" style="2842" customWidth="1"/>
    <col min="2828" max="2829" width="10.77734375" style="2842" customWidth="1"/>
    <col min="2830" max="2830" width="10" style="2842" customWidth="1"/>
    <col min="2831" max="2832" width="10.44140625" style="2842" bestFit="1" customWidth="1"/>
    <col min="2833" max="2833" width="10" style="2842" customWidth="1"/>
    <col min="2834" max="2834" width="10.109375" style="2842" customWidth="1"/>
    <col min="2835" max="2835" width="10" style="2842" customWidth="1"/>
    <col min="2836" max="2836" width="26.109375" style="2842" customWidth="1"/>
    <col min="2837" max="3072" width="8.88671875" style="2842"/>
    <col min="3073" max="3073" width="9.44140625" style="2842" customWidth="1"/>
    <col min="3074" max="3074" width="8.88671875" style="2842"/>
    <col min="3075" max="3077" width="12.88671875" style="2842" customWidth="1"/>
    <col min="3078" max="3078" width="47.44140625" style="2842" customWidth="1"/>
    <col min="3079" max="3079" width="13" style="2842" customWidth="1"/>
    <col min="3080" max="3081" width="8.88671875" style="2842"/>
    <col min="3082" max="3082" width="5.77734375" style="2842" customWidth="1"/>
    <col min="3083" max="3083" width="11.77734375" style="2842" customWidth="1"/>
    <col min="3084" max="3085" width="10.77734375" style="2842" customWidth="1"/>
    <col min="3086" max="3086" width="10" style="2842" customWidth="1"/>
    <col min="3087" max="3088" width="10.44140625" style="2842" bestFit="1" customWidth="1"/>
    <col min="3089" max="3089" width="10" style="2842" customWidth="1"/>
    <col min="3090" max="3090" width="10.109375" style="2842" customWidth="1"/>
    <col min="3091" max="3091" width="10" style="2842" customWidth="1"/>
    <col min="3092" max="3092" width="26.109375" style="2842" customWidth="1"/>
    <col min="3093" max="3328" width="8.88671875" style="2842"/>
    <col min="3329" max="3329" width="9.44140625" style="2842" customWidth="1"/>
    <col min="3330" max="3330" width="8.88671875" style="2842"/>
    <col min="3331" max="3333" width="12.88671875" style="2842" customWidth="1"/>
    <col min="3334" max="3334" width="47.44140625" style="2842" customWidth="1"/>
    <col min="3335" max="3335" width="13" style="2842" customWidth="1"/>
    <col min="3336" max="3337" width="8.88671875" style="2842"/>
    <col min="3338" max="3338" width="5.77734375" style="2842" customWidth="1"/>
    <col min="3339" max="3339" width="11.77734375" style="2842" customWidth="1"/>
    <col min="3340" max="3341" width="10.77734375" style="2842" customWidth="1"/>
    <col min="3342" max="3342" width="10" style="2842" customWidth="1"/>
    <col min="3343" max="3344" width="10.44140625" style="2842" bestFit="1" customWidth="1"/>
    <col min="3345" max="3345" width="10" style="2842" customWidth="1"/>
    <col min="3346" max="3346" width="10.109375" style="2842" customWidth="1"/>
    <col min="3347" max="3347" width="10" style="2842" customWidth="1"/>
    <col min="3348" max="3348" width="26.109375" style="2842" customWidth="1"/>
    <col min="3349" max="3584" width="8.88671875" style="2842"/>
    <col min="3585" max="3585" width="9.44140625" style="2842" customWidth="1"/>
    <col min="3586" max="3586" width="8.88671875" style="2842"/>
    <col min="3587" max="3589" width="12.88671875" style="2842" customWidth="1"/>
    <col min="3590" max="3590" width="47.44140625" style="2842" customWidth="1"/>
    <col min="3591" max="3591" width="13" style="2842" customWidth="1"/>
    <col min="3592" max="3593" width="8.88671875" style="2842"/>
    <col min="3594" max="3594" width="5.77734375" style="2842" customWidth="1"/>
    <col min="3595" max="3595" width="11.77734375" style="2842" customWidth="1"/>
    <col min="3596" max="3597" width="10.77734375" style="2842" customWidth="1"/>
    <col min="3598" max="3598" width="10" style="2842" customWidth="1"/>
    <col min="3599" max="3600" width="10.44140625" style="2842" bestFit="1" customWidth="1"/>
    <col min="3601" max="3601" width="10" style="2842" customWidth="1"/>
    <col min="3602" max="3602" width="10.109375" style="2842" customWidth="1"/>
    <col min="3603" max="3603" width="10" style="2842" customWidth="1"/>
    <col min="3604" max="3604" width="26.109375" style="2842" customWidth="1"/>
    <col min="3605" max="3840" width="8.88671875" style="2842"/>
    <col min="3841" max="3841" width="9.44140625" style="2842" customWidth="1"/>
    <col min="3842" max="3842" width="8.88671875" style="2842"/>
    <col min="3843" max="3845" width="12.88671875" style="2842" customWidth="1"/>
    <col min="3846" max="3846" width="47.44140625" style="2842" customWidth="1"/>
    <col min="3847" max="3847" width="13" style="2842" customWidth="1"/>
    <col min="3848" max="3849" width="8.88671875" style="2842"/>
    <col min="3850" max="3850" width="5.77734375" style="2842" customWidth="1"/>
    <col min="3851" max="3851" width="11.77734375" style="2842" customWidth="1"/>
    <col min="3852" max="3853" width="10.77734375" style="2842" customWidth="1"/>
    <col min="3854" max="3854" width="10" style="2842" customWidth="1"/>
    <col min="3855" max="3856" width="10.44140625" style="2842" bestFit="1" customWidth="1"/>
    <col min="3857" max="3857" width="10" style="2842" customWidth="1"/>
    <col min="3858" max="3858" width="10.109375" style="2842" customWidth="1"/>
    <col min="3859" max="3859" width="10" style="2842" customWidth="1"/>
    <col min="3860" max="3860" width="26.109375" style="2842" customWidth="1"/>
    <col min="3861" max="4096" width="8.88671875" style="2842"/>
    <col min="4097" max="4097" width="9.44140625" style="2842" customWidth="1"/>
    <col min="4098" max="4098" width="8.88671875" style="2842"/>
    <col min="4099" max="4101" width="12.88671875" style="2842" customWidth="1"/>
    <col min="4102" max="4102" width="47.44140625" style="2842" customWidth="1"/>
    <col min="4103" max="4103" width="13" style="2842" customWidth="1"/>
    <col min="4104" max="4105" width="8.88671875" style="2842"/>
    <col min="4106" max="4106" width="5.77734375" style="2842" customWidth="1"/>
    <col min="4107" max="4107" width="11.77734375" style="2842" customWidth="1"/>
    <col min="4108" max="4109" width="10.77734375" style="2842" customWidth="1"/>
    <col min="4110" max="4110" width="10" style="2842" customWidth="1"/>
    <col min="4111" max="4112" width="10.44140625" style="2842" bestFit="1" customWidth="1"/>
    <col min="4113" max="4113" width="10" style="2842" customWidth="1"/>
    <col min="4114" max="4114" width="10.109375" style="2842" customWidth="1"/>
    <col min="4115" max="4115" width="10" style="2842" customWidth="1"/>
    <col min="4116" max="4116" width="26.109375" style="2842" customWidth="1"/>
    <col min="4117" max="4352" width="8.88671875" style="2842"/>
    <col min="4353" max="4353" width="9.44140625" style="2842" customWidth="1"/>
    <col min="4354" max="4354" width="8.88671875" style="2842"/>
    <col min="4355" max="4357" width="12.88671875" style="2842" customWidth="1"/>
    <col min="4358" max="4358" width="47.44140625" style="2842" customWidth="1"/>
    <col min="4359" max="4359" width="13" style="2842" customWidth="1"/>
    <col min="4360" max="4361" width="8.88671875" style="2842"/>
    <col min="4362" max="4362" width="5.77734375" style="2842" customWidth="1"/>
    <col min="4363" max="4363" width="11.77734375" style="2842" customWidth="1"/>
    <col min="4364" max="4365" width="10.77734375" style="2842" customWidth="1"/>
    <col min="4366" max="4366" width="10" style="2842" customWidth="1"/>
    <col min="4367" max="4368" width="10.44140625" style="2842" bestFit="1" customWidth="1"/>
    <col min="4369" max="4369" width="10" style="2842" customWidth="1"/>
    <col min="4370" max="4370" width="10.109375" style="2842" customWidth="1"/>
    <col min="4371" max="4371" width="10" style="2842" customWidth="1"/>
    <col min="4372" max="4372" width="26.109375" style="2842" customWidth="1"/>
    <col min="4373" max="4608" width="8.88671875" style="2842"/>
    <col min="4609" max="4609" width="9.44140625" style="2842" customWidth="1"/>
    <col min="4610" max="4610" width="8.88671875" style="2842"/>
    <col min="4611" max="4613" width="12.88671875" style="2842" customWidth="1"/>
    <col min="4614" max="4614" width="47.44140625" style="2842" customWidth="1"/>
    <col min="4615" max="4615" width="13" style="2842" customWidth="1"/>
    <col min="4616" max="4617" width="8.88671875" style="2842"/>
    <col min="4618" max="4618" width="5.77734375" style="2842" customWidth="1"/>
    <col min="4619" max="4619" width="11.77734375" style="2842" customWidth="1"/>
    <col min="4620" max="4621" width="10.77734375" style="2842" customWidth="1"/>
    <col min="4622" max="4622" width="10" style="2842" customWidth="1"/>
    <col min="4623" max="4624" width="10.44140625" style="2842" bestFit="1" customWidth="1"/>
    <col min="4625" max="4625" width="10" style="2842" customWidth="1"/>
    <col min="4626" max="4626" width="10.109375" style="2842" customWidth="1"/>
    <col min="4627" max="4627" width="10" style="2842" customWidth="1"/>
    <col min="4628" max="4628" width="26.109375" style="2842" customWidth="1"/>
    <col min="4629" max="4864" width="8.88671875" style="2842"/>
    <col min="4865" max="4865" width="9.44140625" style="2842" customWidth="1"/>
    <col min="4866" max="4866" width="8.88671875" style="2842"/>
    <col min="4867" max="4869" width="12.88671875" style="2842" customWidth="1"/>
    <col min="4870" max="4870" width="47.44140625" style="2842" customWidth="1"/>
    <col min="4871" max="4871" width="13" style="2842" customWidth="1"/>
    <col min="4872" max="4873" width="8.88671875" style="2842"/>
    <col min="4874" max="4874" width="5.77734375" style="2842" customWidth="1"/>
    <col min="4875" max="4875" width="11.77734375" style="2842" customWidth="1"/>
    <col min="4876" max="4877" width="10.77734375" style="2842" customWidth="1"/>
    <col min="4878" max="4878" width="10" style="2842" customWidth="1"/>
    <col min="4879" max="4880" width="10.44140625" style="2842" bestFit="1" customWidth="1"/>
    <col min="4881" max="4881" width="10" style="2842" customWidth="1"/>
    <col min="4882" max="4882" width="10.109375" style="2842" customWidth="1"/>
    <col min="4883" max="4883" width="10" style="2842" customWidth="1"/>
    <col min="4884" max="4884" width="26.109375" style="2842" customWidth="1"/>
    <col min="4885" max="5120" width="8.88671875" style="2842"/>
    <col min="5121" max="5121" width="9.44140625" style="2842" customWidth="1"/>
    <col min="5122" max="5122" width="8.88671875" style="2842"/>
    <col min="5123" max="5125" width="12.88671875" style="2842" customWidth="1"/>
    <col min="5126" max="5126" width="47.44140625" style="2842" customWidth="1"/>
    <col min="5127" max="5127" width="13" style="2842" customWidth="1"/>
    <col min="5128" max="5129" width="8.88671875" style="2842"/>
    <col min="5130" max="5130" width="5.77734375" style="2842" customWidth="1"/>
    <col min="5131" max="5131" width="11.77734375" style="2842" customWidth="1"/>
    <col min="5132" max="5133" width="10.77734375" style="2842" customWidth="1"/>
    <col min="5134" max="5134" width="10" style="2842" customWidth="1"/>
    <col min="5135" max="5136" width="10.44140625" style="2842" bestFit="1" customWidth="1"/>
    <col min="5137" max="5137" width="10" style="2842" customWidth="1"/>
    <col min="5138" max="5138" width="10.109375" style="2842" customWidth="1"/>
    <col min="5139" max="5139" width="10" style="2842" customWidth="1"/>
    <col min="5140" max="5140" width="26.109375" style="2842" customWidth="1"/>
    <col min="5141" max="5376" width="8.88671875" style="2842"/>
    <col min="5377" max="5377" width="9.44140625" style="2842" customWidth="1"/>
    <col min="5378" max="5378" width="8.88671875" style="2842"/>
    <col min="5379" max="5381" width="12.88671875" style="2842" customWidth="1"/>
    <col min="5382" max="5382" width="47.44140625" style="2842" customWidth="1"/>
    <col min="5383" max="5383" width="13" style="2842" customWidth="1"/>
    <col min="5384" max="5385" width="8.88671875" style="2842"/>
    <col min="5386" max="5386" width="5.77734375" style="2842" customWidth="1"/>
    <col min="5387" max="5387" width="11.77734375" style="2842" customWidth="1"/>
    <col min="5388" max="5389" width="10.77734375" style="2842" customWidth="1"/>
    <col min="5390" max="5390" width="10" style="2842" customWidth="1"/>
    <col min="5391" max="5392" width="10.44140625" style="2842" bestFit="1" customWidth="1"/>
    <col min="5393" max="5393" width="10" style="2842" customWidth="1"/>
    <col min="5394" max="5394" width="10.109375" style="2842" customWidth="1"/>
    <col min="5395" max="5395" width="10" style="2842" customWidth="1"/>
    <col min="5396" max="5396" width="26.109375" style="2842" customWidth="1"/>
    <col min="5397" max="5632" width="8.88671875" style="2842"/>
    <col min="5633" max="5633" width="9.44140625" style="2842" customWidth="1"/>
    <col min="5634" max="5634" width="8.88671875" style="2842"/>
    <col min="5635" max="5637" width="12.88671875" style="2842" customWidth="1"/>
    <col min="5638" max="5638" width="47.44140625" style="2842" customWidth="1"/>
    <col min="5639" max="5639" width="13" style="2842" customWidth="1"/>
    <col min="5640" max="5641" width="8.88671875" style="2842"/>
    <col min="5642" max="5642" width="5.77734375" style="2842" customWidth="1"/>
    <col min="5643" max="5643" width="11.77734375" style="2842" customWidth="1"/>
    <col min="5644" max="5645" width="10.77734375" style="2842" customWidth="1"/>
    <col min="5646" max="5646" width="10" style="2842" customWidth="1"/>
    <col min="5647" max="5648" width="10.44140625" style="2842" bestFit="1" customWidth="1"/>
    <col min="5649" max="5649" width="10" style="2842" customWidth="1"/>
    <col min="5650" max="5650" width="10.109375" style="2842" customWidth="1"/>
    <col min="5651" max="5651" width="10" style="2842" customWidth="1"/>
    <col min="5652" max="5652" width="26.109375" style="2842" customWidth="1"/>
    <col min="5653" max="5888" width="8.88671875" style="2842"/>
    <col min="5889" max="5889" width="9.44140625" style="2842" customWidth="1"/>
    <col min="5890" max="5890" width="8.88671875" style="2842"/>
    <col min="5891" max="5893" width="12.88671875" style="2842" customWidth="1"/>
    <col min="5894" max="5894" width="47.44140625" style="2842" customWidth="1"/>
    <col min="5895" max="5895" width="13" style="2842" customWidth="1"/>
    <col min="5896" max="5897" width="8.88671875" style="2842"/>
    <col min="5898" max="5898" width="5.77734375" style="2842" customWidth="1"/>
    <col min="5899" max="5899" width="11.77734375" style="2842" customWidth="1"/>
    <col min="5900" max="5901" width="10.77734375" style="2842" customWidth="1"/>
    <col min="5902" max="5902" width="10" style="2842" customWidth="1"/>
    <col min="5903" max="5904" width="10.44140625" style="2842" bestFit="1" customWidth="1"/>
    <col min="5905" max="5905" width="10" style="2842" customWidth="1"/>
    <col min="5906" max="5906" width="10.109375" style="2842" customWidth="1"/>
    <col min="5907" max="5907" width="10" style="2842" customWidth="1"/>
    <col min="5908" max="5908" width="26.109375" style="2842" customWidth="1"/>
    <col min="5909" max="6144" width="8.88671875" style="2842"/>
    <col min="6145" max="6145" width="9.44140625" style="2842" customWidth="1"/>
    <col min="6146" max="6146" width="8.88671875" style="2842"/>
    <col min="6147" max="6149" width="12.88671875" style="2842" customWidth="1"/>
    <col min="6150" max="6150" width="47.44140625" style="2842" customWidth="1"/>
    <col min="6151" max="6151" width="13" style="2842" customWidth="1"/>
    <col min="6152" max="6153" width="8.88671875" style="2842"/>
    <col min="6154" max="6154" width="5.77734375" style="2842" customWidth="1"/>
    <col min="6155" max="6155" width="11.77734375" style="2842" customWidth="1"/>
    <col min="6156" max="6157" width="10.77734375" style="2842" customWidth="1"/>
    <col min="6158" max="6158" width="10" style="2842" customWidth="1"/>
    <col min="6159" max="6160" width="10.44140625" style="2842" bestFit="1" customWidth="1"/>
    <col min="6161" max="6161" width="10" style="2842" customWidth="1"/>
    <col min="6162" max="6162" width="10.109375" style="2842" customWidth="1"/>
    <col min="6163" max="6163" width="10" style="2842" customWidth="1"/>
    <col min="6164" max="6164" width="26.109375" style="2842" customWidth="1"/>
    <col min="6165" max="6400" width="8.88671875" style="2842"/>
    <col min="6401" max="6401" width="9.44140625" style="2842" customWidth="1"/>
    <col min="6402" max="6402" width="8.88671875" style="2842"/>
    <col min="6403" max="6405" width="12.88671875" style="2842" customWidth="1"/>
    <col min="6406" max="6406" width="47.44140625" style="2842" customWidth="1"/>
    <col min="6407" max="6407" width="13" style="2842" customWidth="1"/>
    <col min="6408" max="6409" width="8.88671875" style="2842"/>
    <col min="6410" max="6410" width="5.77734375" style="2842" customWidth="1"/>
    <col min="6411" max="6411" width="11.77734375" style="2842" customWidth="1"/>
    <col min="6412" max="6413" width="10.77734375" style="2842" customWidth="1"/>
    <col min="6414" max="6414" width="10" style="2842" customWidth="1"/>
    <col min="6415" max="6416" width="10.44140625" style="2842" bestFit="1" customWidth="1"/>
    <col min="6417" max="6417" width="10" style="2842" customWidth="1"/>
    <col min="6418" max="6418" width="10.109375" style="2842" customWidth="1"/>
    <col min="6419" max="6419" width="10" style="2842" customWidth="1"/>
    <col min="6420" max="6420" width="26.109375" style="2842" customWidth="1"/>
    <col min="6421" max="6656" width="8.88671875" style="2842"/>
    <col min="6657" max="6657" width="9.44140625" style="2842" customWidth="1"/>
    <col min="6658" max="6658" width="8.88671875" style="2842"/>
    <col min="6659" max="6661" width="12.88671875" style="2842" customWidth="1"/>
    <col min="6662" max="6662" width="47.44140625" style="2842" customWidth="1"/>
    <col min="6663" max="6663" width="13" style="2842" customWidth="1"/>
    <col min="6664" max="6665" width="8.88671875" style="2842"/>
    <col min="6666" max="6666" width="5.77734375" style="2842" customWidth="1"/>
    <col min="6667" max="6667" width="11.77734375" style="2842" customWidth="1"/>
    <col min="6668" max="6669" width="10.77734375" style="2842" customWidth="1"/>
    <col min="6670" max="6670" width="10" style="2842" customWidth="1"/>
    <col min="6671" max="6672" width="10.44140625" style="2842" bestFit="1" customWidth="1"/>
    <col min="6673" max="6673" width="10" style="2842" customWidth="1"/>
    <col min="6674" max="6674" width="10.109375" style="2842" customWidth="1"/>
    <col min="6675" max="6675" width="10" style="2842" customWidth="1"/>
    <col min="6676" max="6676" width="26.109375" style="2842" customWidth="1"/>
    <col min="6677" max="6912" width="8.88671875" style="2842"/>
    <col min="6913" max="6913" width="9.44140625" style="2842" customWidth="1"/>
    <col min="6914" max="6914" width="8.88671875" style="2842"/>
    <col min="6915" max="6917" width="12.88671875" style="2842" customWidth="1"/>
    <col min="6918" max="6918" width="47.44140625" style="2842" customWidth="1"/>
    <col min="6919" max="6919" width="13" style="2842" customWidth="1"/>
    <col min="6920" max="6921" width="8.88671875" style="2842"/>
    <col min="6922" max="6922" width="5.77734375" style="2842" customWidth="1"/>
    <col min="6923" max="6923" width="11.77734375" style="2842" customWidth="1"/>
    <col min="6924" max="6925" width="10.77734375" style="2842" customWidth="1"/>
    <col min="6926" max="6926" width="10" style="2842" customWidth="1"/>
    <col min="6927" max="6928" width="10.44140625" style="2842" bestFit="1" customWidth="1"/>
    <col min="6929" max="6929" width="10" style="2842" customWidth="1"/>
    <col min="6930" max="6930" width="10.109375" style="2842" customWidth="1"/>
    <col min="6931" max="6931" width="10" style="2842" customWidth="1"/>
    <col min="6932" max="6932" width="26.109375" style="2842" customWidth="1"/>
    <col min="6933" max="7168" width="8.88671875" style="2842"/>
    <col min="7169" max="7169" width="9.44140625" style="2842" customWidth="1"/>
    <col min="7170" max="7170" width="8.88671875" style="2842"/>
    <col min="7171" max="7173" width="12.88671875" style="2842" customWidth="1"/>
    <col min="7174" max="7174" width="47.44140625" style="2842" customWidth="1"/>
    <col min="7175" max="7175" width="13" style="2842" customWidth="1"/>
    <col min="7176" max="7177" width="8.88671875" style="2842"/>
    <col min="7178" max="7178" width="5.77734375" style="2842" customWidth="1"/>
    <col min="7179" max="7179" width="11.77734375" style="2842" customWidth="1"/>
    <col min="7180" max="7181" width="10.77734375" style="2842" customWidth="1"/>
    <col min="7182" max="7182" width="10" style="2842" customWidth="1"/>
    <col min="7183" max="7184" width="10.44140625" style="2842" bestFit="1" customWidth="1"/>
    <col min="7185" max="7185" width="10" style="2842" customWidth="1"/>
    <col min="7186" max="7186" width="10.109375" style="2842" customWidth="1"/>
    <col min="7187" max="7187" width="10" style="2842" customWidth="1"/>
    <col min="7188" max="7188" width="26.109375" style="2842" customWidth="1"/>
    <col min="7189" max="7424" width="8.88671875" style="2842"/>
    <col min="7425" max="7425" width="9.44140625" style="2842" customWidth="1"/>
    <col min="7426" max="7426" width="8.88671875" style="2842"/>
    <col min="7427" max="7429" width="12.88671875" style="2842" customWidth="1"/>
    <col min="7430" max="7430" width="47.44140625" style="2842" customWidth="1"/>
    <col min="7431" max="7431" width="13" style="2842" customWidth="1"/>
    <col min="7432" max="7433" width="8.88671875" style="2842"/>
    <col min="7434" max="7434" width="5.77734375" style="2842" customWidth="1"/>
    <col min="7435" max="7435" width="11.77734375" style="2842" customWidth="1"/>
    <col min="7436" max="7437" width="10.77734375" style="2842" customWidth="1"/>
    <col min="7438" max="7438" width="10" style="2842" customWidth="1"/>
    <col min="7439" max="7440" width="10.44140625" style="2842" bestFit="1" customWidth="1"/>
    <col min="7441" max="7441" width="10" style="2842" customWidth="1"/>
    <col min="7442" max="7442" width="10.109375" style="2842" customWidth="1"/>
    <col min="7443" max="7443" width="10" style="2842" customWidth="1"/>
    <col min="7444" max="7444" width="26.109375" style="2842" customWidth="1"/>
    <col min="7445" max="7680" width="8.88671875" style="2842"/>
    <col min="7681" max="7681" width="9.44140625" style="2842" customWidth="1"/>
    <col min="7682" max="7682" width="8.88671875" style="2842"/>
    <col min="7683" max="7685" width="12.88671875" style="2842" customWidth="1"/>
    <col min="7686" max="7686" width="47.44140625" style="2842" customWidth="1"/>
    <col min="7687" max="7687" width="13" style="2842" customWidth="1"/>
    <col min="7688" max="7689" width="8.88671875" style="2842"/>
    <col min="7690" max="7690" width="5.77734375" style="2842" customWidth="1"/>
    <col min="7691" max="7691" width="11.77734375" style="2842" customWidth="1"/>
    <col min="7692" max="7693" width="10.77734375" style="2842" customWidth="1"/>
    <col min="7694" max="7694" width="10" style="2842" customWidth="1"/>
    <col min="7695" max="7696" width="10.44140625" style="2842" bestFit="1" customWidth="1"/>
    <col min="7697" max="7697" width="10" style="2842" customWidth="1"/>
    <col min="7698" max="7698" width="10.109375" style="2842" customWidth="1"/>
    <col min="7699" max="7699" width="10" style="2842" customWidth="1"/>
    <col min="7700" max="7700" width="26.109375" style="2842" customWidth="1"/>
    <col min="7701" max="7936" width="8.88671875" style="2842"/>
    <col min="7937" max="7937" width="9.44140625" style="2842" customWidth="1"/>
    <col min="7938" max="7938" width="8.88671875" style="2842"/>
    <col min="7939" max="7941" width="12.88671875" style="2842" customWidth="1"/>
    <col min="7942" max="7942" width="47.44140625" style="2842" customWidth="1"/>
    <col min="7943" max="7943" width="13" style="2842" customWidth="1"/>
    <col min="7944" max="7945" width="8.88671875" style="2842"/>
    <col min="7946" max="7946" width="5.77734375" style="2842" customWidth="1"/>
    <col min="7947" max="7947" width="11.77734375" style="2842" customWidth="1"/>
    <col min="7948" max="7949" width="10.77734375" style="2842" customWidth="1"/>
    <col min="7950" max="7950" width="10" style="2842" customWidth="1"/>
    <col min="7951" max="7952" width="10.44140625" style="2842" bestFit="1" customWidth="1"/>
    <col min="7953" max="7953" width="10" style="2842" customWidth="1"/>
    <col min="7954" max="7954" width="10.109375" style="2842" customWidth="1"/>
    <col min="7955" max="7955" width="10" style="2842" customWidth="1"/>
    <col min="7956" max="7956" width="26.109375" style="2842" customWidth="1"/>
    <col min="7957" max="8192" width="8.88671875" style="2842"/>
    <col min="8193" max="8193" width="9.44140625" style="2842" customWidth="1"/>
    <col min="8194" max="8194" width="8.88671875" style="2842"/>
    <col min="8195" max="8197" width="12.88671875" style="2842" customWidth="1"/>
    <col min="8198" max="8198" width="47.44140625" style="2842" customWidth="1"/>
    <col min="8199" max="8199" width="13" style="2842" customWidth="1"/>
    <col min="8200" max="8201" width="8.88671875" style="2842"/>
    <col min="8202" max="8202" width="5.77734375" style="2842" customWidth="1"/>
    <col min="8203" max="8203" width="11.77734375" style="2842" customWidth="1"/>
    <col min="8204" max="8205" width="10.77734375" style="2842" customWidth="1"/>
    <col min="8206" max="8206" width="10" style="2842" customWidth="1"/>
    <col min="8207" max="8208" width="10.44140625" style="2842" bestFit="1" customWidth="1"/>
    <col min="8209" max="8209" width="10" style="2842" customWidth="1"/>
    <col min="8210" max="8210" width="10.109375" style="2842" customWidth="1"/>
    <col min="8211" max="8211" width="10" style="2842" customWidth="1"/>
    <col min="8212" max="8212" width="26.109375" style="2842" customWidth="1"/>
    <col min="8213" max="8448" width="8.88671875" style="2842"/>
    <col min="8449" max="8449" width="9.44140625" style="2842" customWidth="1"/>
    <col min="8450" max="8450" width="8.88671875" style="2842"/>
    <col min="8451" max="8453" width="12.88671875" style="2842" customWidth="1"/>
    <col min="8454" max="8454" width="47.44140625" style="2842" customWidth="1"/>
    <col min="8455" max="8455" width="13" style="2842" customWidth="1"/>
    <col min="8456" max="8457" width="8.88671875" style="2842"/>
    <col min="8458" max="8458" width="5.77734375" style="2842" customWidth="1"/>
    <col min="8459" max="8459" width="11.77734375" style="2842" customWidth="1"/>
    <col min="8460" max="8461" width="10.77734375" style="2842" customWidth="1"/>
    <col min="8462" max="8462" width="10" style="2842" customWidth="1"/>
    <col min="8463" max="8464" width="10.44140625" style="2842" bestFit="1" customWidth="1"/>
    <col min="8465" max="8465" width="10" style="2842" customWidth="1"/>
    <col min="8466" max="8466" width="10.109375" style="2842" customWidth="1"/>
    <col min="8467" max="8467" width="10" style="2842" customWidth="1"/>
    <col min="8468" max="8468" width="26.109375" style="2842" customWidth="1"/>
    <col min="8469" max="8704" width="8.88671875" style="2842"/>
    <col min="8705" max="8705" width="9.44140625" style="2842" customWidth="1"/>
    <col min="8706" max="8706" width="8.88671875" style="2842"/>
    <col min="8707" max="8709" width="12.88671875" style="2842" customWidth="1"/>
    <col min="8710" max="8710" width="47.44140625" style="2842" customWidth="1"/>
    <col min="8711" max="8711" width="13" style="2842" customWidth="1"/>
    <col min="8712" max="8713" width="8.88671875" style="2842"/>
    <col min="8714" max="8714" width="5.77734375" style="2842" customWidth="1"/>
    <col min="8715" max="8715" width="11.77734375" style="2842" customWidth="1"/>
    <col min="8716" max="8717" width="10.77734375" style="2842" customWidth="1"/>
    <col min="8718" max="8718" width="10" style="2842" customWidth="1"/>
    <col min="8719" max="8720" width="10.44140625" style="2842" bestFit="1" customWidth="1"/>
    <col min="8721" max="8721" width="10" style="2842" customWidth="1"/>
    <col min="8722" max="8722" width="10.109375" style="2842" customWidth="1"/>
    <col min="8723" max="8723" width="10" style="2842" customWidth="1"/>
    <col min="8724" max="8724" width="26.109375" style="2842" customWidth="1"/>
    <col min="8725" max="8960" width="8.88671875" style="2842"/>
    <col min="8961" max="8961" width="9.44140625" style="2842" customWidth="1"/>
    <col min="8962" max="8962" width="8.88671875" style="2842"/>
    <col min="8963" max="8965" width="12.88671875" style="2842" customWidth="1"/>
    <col min="8966" max="8966" width="47.44140625" style="2842" customWidth="1"/>
    <col min="8967" max="8967" width="13" style="2842" customWidth="1"/>
    <col min="8968" max="8969" width="8.88671875" style="2842"/>
    <col min="8970" max="8970" width="5.77734375" style="2842" customWidth="1"/>
    <col min="8971" max="8971" width="11.77734375" style="2842" customWidth="1"/>
    <col min="8972" max="8973" width="10.77734375" style="2842" customWidth="1"/>
    <col min="8974" max="8974" width="10" style="2842" customWidth="1"/>
    <col min="8975" max="8976" width="10.44140625" style="2842" bestFit="1" customWidth="1"/>
    <col min="8977" max="8977" width="10" style="2842" customWidth="1"/>
    <col min="8978" max="8978" width="10.109375" style="2842" customWidth="1"/>
    <col min="8979" max="8979" width="10" style="2842" customWidth="1"/>
    <col min="8980" max="8980" width="26.109375" style="2842" customWidth="1"/>
    <col min="8981" max="9216" width="8.88671875" style="2842"/>
    <col min="9217" max="9217" width="9.44140625" style="2842" customWidth="1"/>
    <col min="9218" max="9218" width="8.88671875" style="2842"/>
    <col min="9219" max="9221" width="12.88671875" style="2842" customWidth="1"/>
    <col min="9222" max="9222" width="47.44140625" style="2842" customWidth="1"/>
    <col min="9223" max="9223" width="13" style="2842" customWidth="1"/>
    <col min="9224" max="9225" width="8.88671875" style="2842"/>
    <col min="9226" max="9226" width="5.77734375" style="2842" customWidth="1"/>
    <col min="9227" max="9227" width="11.77734375" style="2842" customWidth="1"/>
    <col min="9228" max="9229" width="10.77734375" style="2842" customWidth="1"/>
    <col min="9230" max="9230" width="10" style="2842" customWidth="1"/>
    <col min="9231" max="9232" width="10.44140625" style="2842" bestFit="1" customWidth="1"/>
    <col min="9233" max="9233" width="10" style="2842" customWidth="1"/>
    <col min="9234" max="9234" width="10.109375" style="2842" customWidth="1"/>
    <col min="9235" max="9235" width="10" style="2842" customWidth="1"/>
    <col min="9236" max="9236" width="26.109375" style="2842" customWidth="1"/>
    <col min="9237" max="9472" width="8.88671875" style="2842"/>
    <col min="9473" max="9473" width="9.44140625" style="2842" customWidth="1"/>
    <col min="9474" max="9474" width="8.88671875" style="2842"/>
    <col min="9475" max="9477" width="12.88671875" style="2842" customWidth="1"/>
    <col min="9478" max="9478" width="47.44140625" style="2842" customWidth="1"/>
    <col min="9479" max="9479" width="13" style="2842" customWidth="1"/>
    <col min="9480" max="9481" width="8.88671875" style="2842"/>
    <col min="9482" max="9482" width="5.77734375" style="2842" customWidth="1"/>
    <col min="9483" max="9483" width="11.77734375" style="2842" customWidth="1"/>
    <col min="9484" max="9485" width="10.77734375" style="2842" customWidth="1"/>
    <col min="9486" max="9486" width="10" style="2842" customWidth="1"/>
    <col min="9487" max="9488" width="10.44140625" style="2842" bestFit="1" customWidth="1"/>
    <col min="9489" max="9489" width="10" style="2842" customWidth="1"/>
    <col min="9490" max="9490" width="10.109375" style="2842" customWidth="1"/>
    <col min="9491" max="9491" width="10" style="2842" customWidth="1"/>
    <col min="9492" max="9492" width="26.109375" style="2842" customWidth="1"/>
    <col min="9493" max="9728" width="8.88671875" style="2842"/>
    <col min="9729" max="9729" width="9.44140625" style="2842" customWidth="1"/>
    <col min="9730" max="9730" width="8.88671875" style="2842"/>
    <col min="9731" max="9733" width="12.88671875" style="2842" customWidth="1"/>
    <col min="9734" max="9734" width="47.44140625" style="2842" customWidth="1"/>
    <col min="9735" max="9735" width="13" style="2842" customWidth="1"/>
    <col min="9736" max="9737" width="8.88671875" style="2842"/>
    <col min="9738" max="9738" width="5.77734375" style="2842" customWidth="1"/>
    <col min="9739" max="9739" width="11.77734375" style="2842" customWidth="1"/>
    <col min="9740" max="9741" width="10.77734375" style="2842" customWidth="1"/>
    <col min="9742" max="9742" width="10" style="2842" customWidth="1"/>
    <col min="9743" max="9744" width="10.44140625" style="2842" bestFit="1" customWidth="1"/>
    <col min="9745" max="9745" width="10" style="2842" customWidth="1"/>
    <col min="9746" max="9746" width="10.109375" style="2842" customWidth="1"/>
    <col min="9747" max="9747" width="10" style="2842" customWidth="1"/>
    <col min="9748" max="9748" width="26.109375" style="2842" customWidth="1"/>
    <col min="9749" max="9984" width="8.88671875" style="2842"/>
    <col min="9985" max="9985" width="9.44140625" style="2842" customWidth="1"/>
    <col min="9986" max="9986" width="8.88671875" style="2842"/>
    <col min="9987" max="9989" width="12.88671875" style="2842" customWidth="1"/>
    <col min="9990" max="9990" width="47.44140625" style="2842" customWidth="1"/>
    <col min="9991" max="9991" width="13" style="2842" customWidth="1"/>
    <col min="9992" max="9993" width="8.88671875" style="2842"/>
    <col min="9994" max="9994" width="5.77734375" style="2842" customWidth="1"/>
    <col min="9995" max="9995" width="11.77734375" style="2842" customWidth="1"/>
    <col min="9996" max="9997" width="10.77734375" style="2842" customWidth="1"/>
    <col min="9998" max="9998" width="10" style="2842" customWidth="1"/>
    <col min="9999" max="10000" width="10.44140625" style="2842" bestFit="1" customWidth="1"/>
    <col min="10001" max="10001" width="10" style="2842" customWidth="1"/>
    <col min="10002" max="10002" width="10.109375" style="2842" customWidth="1"/>
    <col min="10003" max="10003" width="10" style="2842" customWidth="1"/>
    <col min="10004" max="10004" width="26.109375" style="2842" customWidth="1"/>
    <col min="10005" max="10240" width="8.88671875" style="2842"/>
    <col min="10241" max="10241" width="9.44140625" style="2842" customWidth="1"/>
    <col min="10242" max="10242" width="8.88671875" style="2842"/>
    <col min="10243" max="10245" width="12.88671875" style="2842" customWidth="1"/>
    <col min="10246" max="10246" width="47.44140625" style="2842" customWidth="1"/>
    <col min="10247" max="10247" width="13" style="2842" customWidth="1"/>
    <col min="10248" max="10249" width="8.88671875" style="2842"/>
    <col min="10250" max="10250" width="5.77734375" style="2842" customWidth="1"/>
    <col min="10251" max="10251" width="11.77734375" style="2842" customWidth="1"/>
    <col min="10252" max="10253" width="10.77734375" style="2842" customWidth="1"/>
    <col min="10254" max="10254" width="10" style="2842" customWidth="1"/>
    <col min="10255" max="10256" width="10.44140625" style="2842" bestFit="1" customWidth="1"/>
    <col min="10257" max="10257" width="10" style="2842" customWidth="1"/>
    <col min="10258" max="10258" width="10.109375" style="2842" customWidth="1"/>
    <col min="10259" max="10259" width="10" style="2842" customWidth="1"/>
    <col min="10260" max="10260" width="26.109375" style="2842" customWidth="1"/>
    <col min="10261" max="10496" width="8.88671875" style="2842"/>
    <col min="10497" max="10497" width="9.44140625" style="2842" customWidth="1"/>
    <col min="10498" max="10498" width="8.88671875" style="2842"/>
    <col min="10499" max="10501" width="12.88671875" style="2842" customWidth="1"/>
    <col min="10502" max="10502" width="47.44140625" style="2842" customWidth="1"/>
    <col min="10503" max="10503" width="13" style="2842" customWidth="1"/>
    <col min="10504" max="10505" width="8.88671875" style="2842"/>
    <col min="10506" max="10506" width="5.77734375" style="2842" customWidth="1"/>
    <col min="10507" max="10507" width="11.77734375" style="2842" customWidth="1"/>
    <col min="10508" max="10509" width="10.77734375" style="2842" customWidth="1"/>
    <col min="10510" max="10510" width="10" style="2842" customWidth="1"/>
    <col min="10511" max="10512" width="10.44140625" style="2842" bestFit="1" customWidth="1"/>
    <col min="10513" max="10513" width="10" style="2842" customWidth="1"/>
    <col min="10514" max="10514" width="10.109375" style="2842" customWidth="1"/>
    <col min="10515" max="10515" width="10" style="2842" customWidth="1"/>
    <col min="10516" max="10516" width="26.109375" style="2842" customWidth="1"/>
    <col min="10517" max="10752" width="8.88671875" style="2842"/>
    <col min="10753" max="10753" width="9.44140625" style="2842" customWidth="1"/>
    <col min="10754" max="10754" width="8.88671875" style="2842"/>
    <col min="10755" max="10757" width="12.88671875" style="2842" customWidth="1"/>
    <col min="10758" max="10758" width="47.44140625" style="2842" customWidth="1"/>
    <col min="10759" max="10759" width="13" style="2842" customWidth="1"/>
    <col min="10760" max="10761" width="8.88671875" style="2842"/>
    <col min="10762" max="10762" width="5.77734375" style="2842" customWidth="1"/>
    <col min="10763" max="10763" width="11.77734375" style="2842" customWidth="1"/>
    <col min="10764" max="10765" width="10.77734375" style="2842" customWidth="1"/>
    <col min="10766" max="10766" width="10" style="2842" customWidth="1"/>
    <col min="10767" max="10768" width="10.44140625" style="2842" bestFit="1" customWidth="1"/>
    <col min="10769" max="10769" width="10" style="2842" customWidth="1"/>
    <col min="10770" max="10770" width="10.109375" style="2842" customWidth="1"/>
    <col min="10771" max="10771" width="10" style="2842" customWidth="1"/>
    <col min="10772" max="10772" width="26.109375" style="2842" customWidth="1"/>
    <col min="10773" max="11008" width="8.88671875" style="2842"/>
    <col min="11009" max="11009" width="9.44140625" style="2842" customWidth="1"/>
    <col min="11010" max="11010" width="8.88671875" style="2842"/>
    <col min="11011" max="11013" width="12.88671875" style="2842" customWidth="1"/>
    <col min="11014" max="11014" width="47.44140625" style="2842" customWidth="1"/>
    <col min="11015" max="11015" width="13" style="2842" customWidth="1"/>
    <col min="11016" max="11017" width="8.88671875" style="2842"/>
    <col min="11018" max="11018" width="5.77734375" style="2842" customWidth="1"/>
    <col min="11019" max="11019" width="11.77734375" style="2842" customWidth="1"/>
    <col min="11020" max="11021" width="10.77734375" style="2842" customWidth="1"/>
    <col min="11022" max="11022" width="10" style="2842" customWidth="1"/>
    <col min="11023" max="11024" width="10.44140625" style="2842" bestFit="1" customWidth="1"/>
    <col min="11025" max="11025" width="10" style="2842" customWidth="1"/>
    <col min="11026" max="11026" width="10.109375" style="2842" customWidth="1"/>
    <col min="11027" max="11027" width="10" style="2842" customWidth="1"/>
    <col min="11028" max="11028" width="26.109375" style="2842" customWidth="1"/>
    <col min="11029" max="11264" width="8.88671875" style="2842"/>
    <col min="11265" max="11265" width="9.44140625" style="2842" customWidth="1"/>
    <col min="11266" max="11266" width="8.88671875" style="2842"/>
    <col min="11267" max="11269" width="12.88671875" style="2842" customWidth="1"/>
    <col min="11270" max="11270" width="47.44140625" style="2842" customWidth="1"/>
    <col min="11271" max="11271" width="13" style="2842" customWidth="1"/>
    <col min="11272" max="11273" width="8.88671875" style="2842"/>
    <col min="11274" max="11274" width="5.77734375" style="2842" customWidth="1"/>
    <col min="11275" max="11275" width="11.77734375" style="2842" customWidth="1"/>
    <col min="11276" max="11277" width="10.77734375" style="2842" customWidth="1"/>
    <col min="11278" max="11278" width="10" style="2842" customWidth="1"/>
    <col min="11279" max="11280" width="10.44140625" style="2842" bestFit="1" customWidth="1"/>
    <col min="11281" max="11281" width="10" style="2842" customWidth="1"/>
    <col min="11282" max="11282" width="10.109375" style="2842" customWidth="1"/>
    <col min="11283" max="11283" width="10" style="2842" customWidth="1"/>
    <col min="11284" max="11284" width="26.109375" style="2842" customWidth="1"/>
    <col min="11285" max="11520" width="8.88671875" style="2842"/>
    <col min="11521" max="11521" width="9.44140625" style="2842" customWidth="1"/>
    <col min="11522" max="11522" width="8.88671875" style="2842"/>
    <col min="11523" max="11525" width="12.88671875" style="2842" customWidth="1"/>
    <col min="11526" max="11526" width="47.44140625" style="2842" customWidth="1"/>
    <col min="11527" max="11527" width="13" style="2842" customWidth="1"/>
    <col min="11528" max="11529" width="8.88671875" style="2842"/>
    <col min="11530" max="11530" width="5.77734375" style="2842" customWidth="1"/>
    <col min="11531" max="11531" width="11.77734375" style="2842" customWidth="1"/>
    <col min="11532" max="11533" width="10.77734375" style="2842" customWidth="1"/>
    <col min="11534" max="11534" width="10" style="2842" customWidth="1"/>
    <col min="11535" max="11536" width="10.44140625" style="2842" bestFit="1" customWidth="1"/>
    <col min="11537" max="11537" width="10" style="2842" customWidth="1"/>
    <col min="11538" max="11538" width="10.109375" style="2842" customWidth="1"/>
    <col min="11539" max="11539" width="10" style="2842" customWidth="1"/>
    <col min="11540" max="11540" width="26.109375" style="2842" customWidth="1"/>
    <col min="11541" max="11776" width="8.88671875" style="2842"/>
    <col min="11777" max="11777" width="9.44140625" style="2842" customWidth="1"/>
    <col min="11778" max="11778" width="8.88671875" style="2842"/>
    <col min="11779" max="11781" width="12.88671875" style="2842" customWidth="1"/>
    <col min="11782" max="11782" width="47.44140625" style="2842" customWidth="1"/>
    <col min="11783" max="11783" width="13" style="2842" customWidth="1"/>
    <col min="11784" max="11785" width="8.88671875" style="2842"/>
    <col min="11786" max="11786" width="5.77734375" style="2842" customWidth="1"/>
    <col min="11787" max="11787" width="11.77734375" style="2842" customWidth="1"/>
    <col min="11788" max="11789" width="10.77734375" style="2842" customWidth="1"/>
    <col min="11790" max="11790" width="10" style="2842" customWidth="1"/>
    <col min="11791" max="11792" width="10.44140625" style="2842" bestFit="1" customWidth="1"/>
    <col min="11793" max="11793" width="10" style="2842" customWidth="1"/>
    <col min="11794" max="11794" width="10.109375" style="2842" customWidth="1"/>
    <col min="11795" max="11795" width="10" style="2842" customWidth="1"/>
    <col min="11796" max="11796" width="26.109375" style="2842" customWidth="1"/>
    <col min="11797" max="12032" width="8.88671875" style="2842"/>
    <col min="12033" max="12033" width="9.44140625" style="2842" customWidth="1"/>
    <col min="12034" max="12034" width="8.88671875" style="2842"/>
    <col min="12035" max="12037" width="12.88671875" style="2842" customWidth="1"/>
    <col min="12038" max="12038" width="47.44140625" style="2842" customWidth="1"/>
    <col min="12039" max="12039" width="13" style="2842" customWidth="1"/>
    <col min="12040" max="12041" width="8.88671875" style="2842"/>
    <col min="12042" max="12042" width="5.77734375" style="2842" customWidth="1"/>
    <col min="12043" max="12043" width="11.77734375" style="2842" customWidth="1"/>
    <col min="12044" max="12045" width="10.77734375" style="2842" customWidth="1"/>
    <col min="12046" max="12046" width="10" style="2842" customWidth="1"/>
    <col min="12047" max="12048" width="10.44140625" style="2842" bestFit="1" customWidth="1"/>
    <col min="12049" max="12049" width="10" style="2842" customWidth="1"/>
    <col min="12050" max="12050" width="10.109375" style="2842" customWidth="1"/>
    <col min="12051" max="12051" width="10" style="2842" customWidth="1"/>
    <col min="12052" max="12052" width="26.109375" style="2842" customWidth="1"/>
    <col min="12053" max="12288" width="8.88671875" style="2842"/>
    <col min="12289" max="12289" width="9.44140625" style="2842" customWidth="1"/>
    <col min="12290" max="12290" width="8.88671875" style="2842"/>
    <col min="12291" max="12293" width="12.88671875" style="2842" customWidth="1"/>
    <col min="12294" max="12294" width="47.44140625" style="2842" customWidth="1"/>
    <col min="12295" max="12295" width="13" style="2842" customWidth="1"/>
    <col min="12296" max="12297" width="8.88671875" style="2842"/>
    <col min="12298" max="12298" width="5.77734375" style="2842" customWidth="1"/>
    <col min="12299" max="12299" width="11.77734375" style="2842" customWidth="1"/>
    <col min="12300" max="12301" width="10.77734375" style="2842" customWidth="1"/>
    <col min="12302" max="12302" width="10" style="2842" customWidth="1"/>
    <col min="12303" max="12304" width="10.44140625" style="2842" bestFit="1" customWidth="1"/>
    <col min="12305" max="12305" width="10" style="2842" customWidth="1"/>
    <col min="12306" max="12306" width="10.109375" style="2842" customWidth="1"/>
    <col min="12307" max="12307" width="10" style="2842" customWidth="1"/>
    <col min="12308" max="12308" width="26.109375" style="2842" customWidth="1"/>
    <col min="12309" max="12544" width="8.88671875" style="2842"/>
    <col min="12545" max="12545" width="9.44140625" style="2842" customWidth="1"/>
    <col min="12546" max="12546" width="8.88671875" style="2842"/>
    <col min="12547" max="12549" width="12.88671875" style="2842" customWidth="1"/>
    <col min="12550" max="12550" width="47.44140625" style="2842" customWidth="1"/>
    <col min="12551" max="12551" width="13" style="2842" customWidth="1"/>
    <col min="12552" max="12553" width="8.88671875" style="2842"/>
    <col min="12554" max="12554" width="5.77734375" style="2842" customWidth="1"/>
    <col min="12555" max="12555" width="11.77734375" style="2842" customWidth="1"/>
    <col min="12556" max="12557" width="10.77734375" style="2842" customWidth="1"/>
    <col min="12558" max="12558" width="10" style="2842" customWidth="1"/>
    <col min="12559" max="12560" width="10.44140625" style="2842" bestFit="1" customWidth="1"/>
    <col min="12561" max="12561" width="10" style="2842" customWidth="1"/>
    <col min="12562" max="12562" width="10.109375" style="2842" customWidth="1"/>
    <col min="12563" max="12563" width="10" style="2842" customWidth="1"/>
    <col min="12564" max="12564" width="26.109375" style="2842" customWidth="1"/>
    <col min="12565" max="12800" width="8.88671875" style="2842"/>
    <col min="12801" max="12801" width="9.44140625" style="2842" customWidth="1"/>
    <col min="12802" max="12802" width="8.88671875" style="2842"/>
    <col min="12803" max="12805" width="12.88671875" style="2842" customWidth="1"/>
    <col min="12806" max="12806" width="47.44140625" style="2842" customWidth="1"/>
    <col min="12807" max="12807" width="13" style="2842" customWidth="1"/>
    <col min="12808" max="12809" width="8.88671875" style="2842"/>
    <col min="12810" max="12810" width="5.77734375" style="2842" customWidth="1"/>
    <col min="12811" max="12811" width="11.77734375" style="2842" customWidth="1"/>
    <col min="12812" max="12813" width="10.77734375" style="2842" customWidth="1"/>
    <col min="12814" max="12814" width="10" style="2842" customWidth="1"/>
    <col min="12815" max="12816" width="10.44140625" style="2842" bestFit="1" customWidth="1"/>
    <col min="12817" max="12817" width="10" style="2842" customWidth="1"/>
    <col min="12818" max="12818" width="10.109375" style="2842" customWidth="1"/>
    <col min="12819" max="12819" width="10" style="2842" customWidth="1"/>
    <col min="12820" max="12820" width="26.109375" style="2842" customWidth="1"/>
    <col min="12821" max="13056" width="8.88671875" style="2842"/>
    <col min="13057" max="13057" width="9.44140625" style="2842" customWidth="1"/>
    <col min="13058" max="13058" width="8.88671875" style="2842"/>
    <col min="13059" max="13061" width="12.88671875" style="2842" customWidth="1"/>
    <col min="13062" max="13062" width="47.44140625" style="2842" customWidth="1"/>
    <col min="13063" max="13063" width="13" style="2842" customWidth="1"/>
    <col min="13064" max="13065" width="8.88671875" style="2842"/>
    <col min="13066" max="13066" width="5.77734375" style="2842" customWidth="1"/>
    <col min="13067" max="13067" width="11.77734375" style="2842" customWidth="1"/>
    <col min="13068" max="13069" width="10.77734375" style="2842" customWidth="1"/>
    <col min="13070" max="13070" width="10" style="2842" customWidth="1"/>
    <col min="13071" max="13072" width="10.44140625" style="2842" bestFit="1" customWidth="1"/>
    <col min="13073" max="13073" width="10" style="2842" customWidth="1"/>
    <col min="13074" max="13074" width="10.109375" style="2842" customWidth="1"/>
    <col min="13075" max="13075" width="10" style="2842" customWidth="1"/>
    <col min="13076" max="13076" width="26.109375" style="2842" customWidth="1"/>
    <col min="13077" max="13312" width="8.88671875" style="2842"/>
    <col min="13313" max="13313" width="9.44140625" style="2842" customWidth="1"/>
    <col min="13314" max="13314" width="8.88671875" style="2842"/>
    <col min="13315" max="13317" width="12.88671875" style="2842" customWidth="1"/>
    <col min="13318" max="13318" width="47.44140625" style="2842" customWidth="1"/>
    <col min="13319" max="13319" width="13" style="2842" customWidth="1"/>
    <col min="13320" max="13321" width="8.88671875" style="2842"/>
    <col min="13322" max="13322" width="5.77734375" style="2842" customWidth="1"/>
    <col min="13323" max="13323" width="11.77734375" style="2842" customWidth="1"/>
    <col min="13324" max="13325" width="10.77734375" style="2842" customWidth="1"/>
    <col min="13326" max="13326" width="10" style="2842" customWidth="1"/>
    <col min="13327" max="13328" width="10.44140625" style="2842" bestFit="1" customWidth="1"/>
    <col min="13329" max="13329" width="10" style="2842" customWidth="1"/>
    <col min="13330" max="13330" width="10.109375" style="2842" customWidth="1"/>
    <col min="13331" max="13331" width="10" style="2842" customWidth="1"/>
    <col min="13332" max="13332" width="26.109375" style="2842" customWidth="1"/>
    <col min="13333" max="13568" width="8.88671875" style="2842"/>
    <col min="13569" max="13569" width="9.44140625" style="2842" customWidth="1"/>
    <col min="13570" max="13570" width="8.88671875" style="2842"/>
    <col min="13571" max="13573" width="12.88671875" style="2842" customWidth="1"/>
    <col min="13574" max="13574" width="47.44140625" style="2842" customWidth="1"/>
    <col min="13575" max="13575" width="13" style="2842" customWidth="1"/>
    <col min="13576" max="13577" width="8.88671875" style="2842"/>
    <col min="13578" max="13578" width="5.77734375" style="2842" customWidth="1"/>
    <col min="13579" max="13579" width="11.77734375" style="2842" customWidth="1"/>
    <col min="13580" max="13581" width="10.77734375" style="2842" customWidth="1"/>
    <col min="13582" max="13582" width="10" style="2842" customWidth="1"/>
    <col min="13583" max="13584" width="10.44140625" style="2842" bestFit="1" customWidth="1"/>
    <col min="13585" max="13585" width="10" style="2842" customWidth="1"/>
    <col min="13586" max="13586" width="10.109375" style="2842" customWidth="1"/>
    <col min="13587" max="13587" width="10" style="2842" customWidth="1"/>
    <col min="13588" max="13588" width="26.109375" style="2842" customWidth="1"/>
    <col min="13589" max="13824" width="8.88671875" style="2842"/>
    <col min="13825" max="13825" width="9.44140625" style="2842" customWidth="1"/>
    <col min="13826" max="13826" width="8.88671875" style="2842"/>
    <col min="13827" max="13829" width="12.88671875" style="2842" customWidth="1"/>
    <col min="13830" max="13830" width="47.44140625" style="2842" customWidth="1"/>
    <col min="13831" max="13831" width="13" style="2842" customWidth="1"/>
    <col min="13832" max="13833" width="8.88671875" style="2842"/>
    <col min="13834" max="13834" width="5.77734375" style="2842" customWidth="1"/>
    <col min="13835" max="13835" width="11.77734375" style="2842" customWidth="1"/>
    <col min="13836" max="13837" width="10.77734375" style="2842" customWidth="1"/>
    <col min="13838" max="13838" width="10" style="2842" customWidth="1"/>
    <col min="13839" max="13840" width="10.44140625" style="2842" bestFit="1" customWidth="1"/>
    <col min="13841" max="13841" width="10" style="2842" customWidth="1"/>
    <col min="13842" max="13842" width="10.109375" style="2842" customWidth="1"/>
    <col min="13843" max="13843" width="10" style="2842" customWidth="1"/>
    <col min="13844" max="13844" width="26.109375" style="2842" customWidth="1"/>
    <col min="13845" max="14080" width="8.88671875" style="2842"/>
    <col min="14081" max="14081" width="9.44140625" style="2842" customWidth="1"/>
    <col min="14082" max="14082" width="8.88671875" style="2842"/>
    <col min="14083" max="14085" width="12.88671875" style="2842" customWidth="1"/>
    <col min="14086" max="14086" width="47.44140625" style="2842" customWidth="1"/>
    <col min="14087" max="14087" width="13" style="2842" customWidth="1"/>
    <col min="14088" max="14089" width="8.88671875" style="2842"/>
    <col min="14090" max="14090" width="5.77734375" style="2842" customWidth="1"/>
    <col min="14091" max="14091" width="11.77734375" style="2842" customWidth="1"/>
    <col min="14092" max="14093" width="10.77734375" style="2842" customWidth="1"/>
    <col min="14094" max="14094" width="10" style="2842" customWidth="1"/>
    <col min="14095" max="14096" width="10.44140625" style="2842" bestFit="1" customWidth="1"/>
    <col min="14097" max="14097" width="10" style="2842" customWidth="1"/>
    <col min="14098" max="14098" width="10.109375" style="2842" customWidth="1"/>
    <col min="14099" max="14099" width="10" style="2842" customWidth="1"/>
    <col min="14100" max="14100" width="26.109375" style="2842" customWidth="1"/>
    <col min="14101" max="14336" width="8.88671875" style="2842"/>
    <col min="14337" max="14337" width="9.44140625" style="2842" customWidth="1"/>
    <col min="14338" max="14338" width="8.88671875" style="2842"/>
    <col min="14339" max="14341" width="12.88671875" style="2842" customWidth="1"/>
    <col min="14342" max="14342" width="47.44140625" style="2842" customWidth="1"/>
    <col min="14343" max="14343" width="13" style="2842" customWidth="1"/>
    <col min="14344" max="14345" width="8.88671875" style="2842"/>
    <col min="14346" max="14346" width="5.77734375" style="2842" customWidth="1"/>
    <col min="14347" max="14347" width="11.77734375" style="2842" customWidth="1"/>
    <col min="14348" max="14349" width="10.77734375" style="2842" customWidth="1"/>
    <col min="14350" max="14350" width="10" style="2842" customWidth="1"/>
    <col min="14351" max="14352" width="10.44140625" style="2842" bestFit="1" customWidth="1"/>
    <col min="14353" max="14353" width="10" style="2842" customWidth="1"/>
    <col min="14354" max="14354" width="10.109375" style="2842" customWidth="1"/>
    <col min="14355" max="14355" width="10" style="2842" customWidth="1"/>
    <col min="14356" max="14356" width="26.109375" style="2842" customWidth="1"/>
    <col min="14357" max="14592" width="8.88671875" style="2842"/>
    <col min="14593" max="14593" width="9.44140625" style="2842" customWidth="1"/>
    <col min="14594" max="14594" width="8.88671875" style="2842"/>
    <col min="14595" max="14597" width="12.88671875" style="2842" customWidth="1"/>
    <col min="14598" max="14598" width="47.44140625" style="2842" customWidth="1"/>
    <col min="14599" max="14599" width="13" style="2842" customWidth="1"/>
    <col min="14600" max="14601" width="8.88671875" style="2842"/>
    <col min="14602" max="14602" width="5.77734375" style="2842" customWidth="1"/>
    <col min="14603" max="14603" width="11.77734375" style="2842" customWidth="1"/>
    <col min="14604" max="14605" width="10.77734375" style="2842" customWidth="1"/>
    <col min="14606" max="14606" width="10" style="2842" customWidth="1"/>
    <col min="14607" max="14608" width="10.44140625" style="2842" bestFit="1" customWidth="1"/>
    <col min="14609" max="14609" width="10" style="2842" customWidth="1"/>
    <col min="14610" max="14610" width="10.109375" style="2842" customWidth="1"/>
    <col min="14611" max="14611" width="10" style="2842" customWidth="1"/>
    <col min="14612" max="14612" width="26.109375" style="2842" customWidth="1"/>
    <col min="14613" max="14848" width="8.88671875" style="2842"/>
    <col min="14849" max="14849" width="9.44140625" style="2842" customWidth="1"/>
    <col min="14850" max="14850" width="8.88671875" style="2842"/>
    <col min="14851" max="14853" width="12.88671875" style="2842" customWidth="1"/>
    <col min="14854" max="14854" width="47.44140625" style="2842" customWidth="1"/>
    <col min="14855" max="14855" width="13" style="2842" customWidth="1"/>
    <col min="14856" max="14857" width="8.88671875" style="2842"/>
    <col min="14858" max="14858" width="5.77734375" style="2842" customWidth="1"/>
    <col min="14859" max="14859" width="11.77734375" style="2842" customWidth="1"/>
    <col min="14860" max="14861" width="10.77734375" style="2842" customWidth="1"/>
    <col min="14862" max="14862" width="10" style="2842" customWidth="1"/>
    <col min="14863" max="14864" width="10.44140625" style="2842" bestFit="1" customWidth="1"/>
    <col min="14865" max="14865" width="10" style="2842" customWidth="1"/>
    <col min="14866" max="14866" width="10.109375" style="2842" customWidth="1"/>
    <col min="14867" max="14867" width="10" style="2842" customWidth="1"/>
    <col min="14868" max="14868" width="26.109375" style="2842" customWidth="1"/>
    <col min="14869" max="15104" width="8.88671875" style="2842"/>
    <col min="15105" max="15105" width="9.44140625" style="2842" customWidth="1"/>
    <col min="15106" max="15106" width="8.88671875" style="2842"/>
    <col min="15107" max="15109" width="12.88671875" style="2842" customWidth="1"/>
    <col min="15110" max="15110" width="47.44140625" style="2842" customWidth="1"/>
    <col min="15111" max="15111" width="13" style="2842" customWidth="1"/>
    <col min="15112" max="15113" width="8.88671875" style="2842"/>
    <col min="15114" max="15114" width="5.77734375" style="2842" customWidth="1"/>
    <col min="15115" max="15115" width="11.77734375" style="2842" customWidth="1"/>
    <col min="15116" max="15117" width="10.77734375" style="2842" customWidth="1"/>
    <col min="15118" max="15118" width="10" style="2842" customWidth="1"/>
    <col min="15119" max="15120" width="10.44140625" style="2842" bestFit="1" customWidth="1"/>
    <col min="15121" max="15121" width="10" style="2842" customWidth="1"/>
    <col min="15122" max="15122" width="10.109375" style="2842" customWidth="1"/>
    <col min="15123" max="15123" width="10" style="2842" customWidth="1"/>
    <col min="15124" max="15124" width="26.109375" style="2842" customWidth="1"/>
    <col min="15125" max="15360" width="8.88671875" style="2842"/>
    <col min="15361" max="15361" width="9.44140625" style="2842" customWidth="1"/>
    <col min="15362" max="15362" width="8.88671875" style="2842"/>
    <col min="15363" max="15365" width="12.88671875" style="2842" customWidth="1"/>
    <col min="15366" max="15366" width="47.44140625" style="2842" customWidth="1"/>
    <col min="15367" max="15367" width="13" style="2842" customWidth="1"/>
    <col min="15368" max="15369" width="8.88671875" style="2842"/>
    <col min="15370" max="15370" width="5.77734375" style="2842" customWidth="1"/>
    <col min="15371" max="15371" width="11.77734375" style="2842" customWidth="1"/>
    <col min="15372" max="15373" width="10.77734375" style="2842" customWidth="1"/>
    <col min="15374" max="15374" width="10" style="2842" customWidth="1"/>
    <col min="15375" max="15376" width="10.44140625" style="2842" bestFit="1" customWidth="1"/>
    <col min="15377" max="15377" width="10" style="2842" customWidth="1"/>
    <col min="15378" max="15378" width="10.109375" style="2842" customWidth="1"/>
    <col min="15379" max="15379" width="10" style="2842" customWidth="1"/>
    <col min="15380" max="15380" width="26.109375" style="2842" customWidth="1"/>
    <col min="15381" max="15616" width="8.88671875" style="2842"/>
    <col min="15617" max="15617" width="9.44140625" style="2842" customWidth="1"/>
    <col min="15618" max="15618" width="8.88671875" style="2842"/>
    <col min="15619" max="15621" width="12.88671875" style="2842" customWidth="1"/>
    <col min="15622" max="15622" width="47.44140625" style="2842" customWidth="1"/>
    <col min="15623" max="15623" width="13" style="2842" customWidth="1"/>
    <col min="15624" max="15625" width="8.88671875" style="2842"/>
    <col min="15626" max="15626" width="5.77734375" style="2842" customWidth="1"/>
    <col min="15627" max="15627" width="11.77734375" style="2842" customWidth="1"/>
    <col min="15628" max="15629" width="10.77734375" style="2842" customWidth="1"/>
    <col min="15630" max="15630" width="10" style="2842" customWidth="1"/>
    <col min="15631" max="15632" width="10.44140625" style="2842" bestFit="1" customWidth="1"/>
    <col min="15633" max="15633" width="10" style="2842" customWidth="1"/>
    <col min="15634" max="15634" width="10.109375" style="2842" customWidth="1"/>
    <col min="15635" max="15635" width="10" style="2842" customWidth="1"/>
    <col min="15636" max="15636" width="26.109375" style="2842" customWidth="1"/>
    <col min="15637" max="15872" width="8.88671875" style="2842"/>
    <col min="15873" max="15873" width="9.44140625" style="2842" customWidth="1"/>
    <col min="15874" max="15874" width="8.88671875" style="2842"/>
    <col min="15875" max="15877" width="12.88671875" style="2842" customWidth="1"/>
    <col min="15878" max="15878" width="47.44140625" style="2842" customWidth="1"/>
    <col min="15879" max="15879" width="13" style="2842" customWidth="1"/>
    <col min="15880" max="15881" width="8.88671875" style="2842"/>
    <col min="15882" max="15882" width="5.77734375" style="2842" customWidth="1"/>
    <col min="15883" max="15883" width="11.77734375" style="2842" customWidth="1"/>
    <col min="15884" max="15885" width="10.77734375" style="2842" customWidth="1"/>
    <col min="15886" max="15886" width="10" style="2842" customWidth="1"/>
    <col min="15887" max="15888" width="10.44140625" style="2842" bestFit="1" customWidth="1"/>
    <col min="15889" max="15889" width="10" style="2842" customWidth="1"/>
    <col min="15890" max="15890" width="10.109375" style="2842" customWidth="1"/>
    <col min="15891" max="15891" width="10" style="2842" customWidth="1"/>
    <col min="15892" max="15892" width="26.109375" style="2842" customWidth="1"/>
    <col min="15893" max="16128" width="8.88671875" style="2842"/>
    <col min="16129" max="16129" width="9.44140625" style="2842" customWidth="1"/>
    <col min="16130" max="16130" width="8.88671875" style="2842"/>
    <col min="16131" max="16133" width="12.88671875" style="2842" customWidth="1"/>
    <col min="16134" max="16134" width="47.44140625" style="2842" customWidth="1"/>
    <col min="16135" max="16135" width="13" style="2842" customWidth="1"/>
    <col min="16136" max="16137" width="8.88671875" style="2842"/>
    <col min="16138" max="16138" width="5.77734375" style="2842" customWidth="1"/>
    <col min="16139" max="16139" width="11.77734375" style="2842" customWidth="1"/>
    <col min="16140" max="16141" width="10.77734375" style="2842" customWidth="1"/>
    <col min="16142" max="16142" width="10" style="2842" customWidth="1"/>
    <col min="16143" max="16144" width="10.44140625" style="2842" bestFit="1" customWidth="1"/>
    <col min="16145" max="16145" width="10" style="2842" customWidth="1"/>
    <col min="16146" max="16146" width="10.109375" style="2842" customWidth="1"/>
    <col min="16147" max="16147" width="10" style="2842" customWidth="1"/>
    <col min="16148" max="16148" width="26.109375" style="2842" customWidth="1"/>
    <col min="16149" max="16384" width="8.88671875" style="2842"/>
  </cols>
  <sheetData>
    <row r="1" spans="1:22" ht="21" customHeight="1">
      <c r="A1" s="2831" t="s">
        <v>2439</v>
      </c>
      <c r="B1" s="2832"/>
      <c r="C1" s="2844"/>
      <c r="D1" s="2844"/>
      <c r="E1" s="2833"/>
      <c r="F1" s="2834"/>
      <c r="G1" s="2835"/>
      <c r="J1" s="2838" t="s">
        <v>2318</v>
      </c>
      <c r="K1" s="2839"/>
      <c r="L1" s="2839"/>
      <c r="M1" s="2839"/>
      <c r="N1" s="2839"/>
      <c r="O1" s="2839"/>
      <c r="P1" s="2839"/>
      <c r="Q1" s="2839"/>
      <c r="R1" s="2840"/>
      <c r="S1" s="2841"/>
      <c r="T1" s="2841"/>
      <c r="U1" s="2841"/>
    </row>
    <row r="2" spans="1:22" s="2853" customFormat="1" ht="13.2" customHeight="1">
      <c r="A2" s="1385" t="s">
        <v>2319</v>
      </c>
      <c r="B2" s="2843" t="e">
        <f>IF(D2="——",C40,C40+E2)</f>
        <v>#DIV/0!</v>
      </c>
      <c r="C2" s="2844" t="s">
        <v>2320</v>
      </c>
      <c r="D2" s="3443" t="s">
        <v>3363</v>
      </c>
      <c r="E2" s="3444"/>
      <c r="F2" s="2846"/>
      <c r="G2" s="2847"/>
      <c r="H2" s="2848"/>
      <c r="I2" s="2849"/>
      <c r="J2" s="3911" t="s">
        <v>2321</v>
      </c>
      <c r="K2" s="3912"/>
      <c r="L2" s="2850" t="s">
        <v>2322</v>
      </c>
      <c r="M2" s="2850" t="s">
        <v>2323</v>
      </c>
      <c r="N2" s="2850" t="s">
        <v>2324</v>
      </c>
      <c r="O2" s="2850" t="s">
        <v>2325</v>
      </c>
      <c r="P2" s="2850" t="s">
        <v>2326</v>
      </c>
      <c r="Q2" s="2851" t="s">
        <v>2327</v>
      </c>
      <c r="R2" s="2852" t="s">
        <v>2328</v>
      </c>
      <c r="S2" s="2841"/>
      <c r="T2" s="2841"/>
      <c r="U2" s="2841"/>
      <c r="V2" s="2849"/>
    </row>
    <row r="3" spans="1:22" s="2853" customFormat="1" ht="13.2" customHeight="1">
      <c r="A3" s="2854" t="s">
        <v>2329</v>
      </c>
      <c r="B3" s="2855" t="e">
        <f>ROUND(B2*10000/B4,0)</f>
        <v>#DIV/0!</v>
      </c>
      <c r="C3" s="2844" t="s">
        <v>2330</v>
      </c>
      <c r="D3" s="2844"/>
      <c r="E3" s="2845"/>
      <c r="F3" s="2846"/>
      <c r="G3" s="2847"/>
      <c r="H3" s="2848"/>
      <c r="I3" s="2849"/>
      <c r="J3" s="3913" t="s">
        <v>2331</v>
      </c>
      <c r="K3" s="3914"/>
      <c r="L3" s="2856"/>
      <c r="M3" s="2856"/>
      <c r="N3" s="2856"/>
      <c r="O3" s="2856"/>
      <c r="P3" s="2856"/>
      <c r="Q3" s="2857"/>
      <c r="R3" s="2858">
        <f>SUM(L3:Q3)</f>
        <v>0</v>
      </c>
      <c r="S3" s="2841"/>
      <c r="T3" s="2841"/>
      <c r="U3" s="2841"/>
      <c r="V3" s="2849"/>
    </row>
    <row r="4" spans="1:22" s="2853" customFormat="1" ht="13.2" customHeight="1">
      <c r="A4" s="2859" t="s">
        <v>2332</v>
      </c>
      <c r="B4" s="2860"/>
      <c r="C4" s="2844"/>
      <c r="D4" s="2844"/>
      <c r="E4" s="2845"/>
      <c r="F4" s="2846"/>
      <c r="G4" s="2847"/>
      <c r="H4" s="2848"/>
      <c r="I4" s="2849"/>
      <c r="J4" s="3913" t="s">
        <v>2333</v>
      </c>
      <c r="K4" s="3914"/>
      <c r="L4" s="2861"/>
      <c r="M4" s="2861"/>
      <c r="N4" s="2861"/>
      <c r="O4" s="2861"/>
      <c r="P4" s="2861"/>
      <c r="Q4" s="2862"/>
      <c r="R4" s="2863">
        <f>SUM(L4:Q4)</f>
        <v>0</v>
      </c>
      <c r="S4" s="2841"/>
      <c r="T4" s="2841"/>
      <c r="U4" s="2841"/>
      <c r="V4" s="2849"/>
    </row>
    <row r="5" spans="1:22" s="2853" customFormat="1" ht="13.2" customHeight="1" thickBot="1">
      <c r="A5" s="2864" t="s">
        <v>2334</v>
      </c>
      <c r="B5" s="2865"/>
      <c r="C5" s="2844"/>
      <c r="D5" s="2866"/>
      <c r="E5" s="2846"/>
      <c r="F5" s="2846"/>
      <c r="G5" s="2847"/>
      <c r="H5" s="2848"/>
      <c r="I5" s="2849"/>
      <c r="J5" s="2867" t="s">
        <v>2335</v>
      </c>
      <c r="K5" s="2868"/>
      <c r="L5" s="2868"/>
      <c r="M5" s="2869"/>
      <c r="N5" s="2869"/>
      <c r="O5" s="2869"/>
      <c r="P5" s="2869"/>
      <c r="Q5" s="2869"/>
      <c r="R5" s="2852">
        <f>SUM(R14,R19,R24,R25,R27,R28)</f>
        <v>0</v>
      </c>
      <c r="S5" s="2841"/>
      <c r="T5" s="2841" t="s">
        <v>2336</v>
      </c>
      <c r="U5" s="2841" t="e">
        <f>ROUND(R5*10000/365/R3,1)</f>
        <v>#DIV/0!</v>
      </c>
      <c r="V5" s="2849"/>
    </row>
    <row r="6" spans="1:22" s="2853" customFormat="1" ht="13.2" customHeight="1" thickBot="1">
      <c r="A6" s="3919" t="s">
        <v>2337</v>
      </c>
      <c r="B6" s="3920"/>
      <c r="C6" s="3921"/>
      <c r="D6" s="2870"/>
      <c r="E6" s="2871"/>
      <c r="F6" s="2872"/>
      <c r="G6" s="2873"/>
      <c r="H6" s="2848"/>
      <c r="I6" s="2849"/>
      <c r="J6" s="3905">
        <v>1</v>
      </c>
      <c r="K6" s="3906" t="s">
        <v>2338</v>
      </c>
      <c r="L6" s="2874" t="s">
        <v>2339</v>
      </c>
      <c r="M6" s="2875" t="s">
        <v>2340</v>
      </c>
      <c r="N6" s="2875" t="s">
        <v>2341</v>
      </c>
      <c r="O6" s="2875" t="s">
        <v>2342</v>
      </c>
      <c r="P6" s="2875" t="s">
        <v>2343</v>
      </c>
      <c r="Q6" s="2875" t="s">
        <v>2344</v>
      </c>
      <c r="R6" s="2858" t="s">
        <v>2345</v>
      </c>
      <c r="S6" s="2841"/>
      <c r="T6" s="2841" t="s">
        <v>2346</v>
      </c>
      <c r="U6" s="2841"/>
      <c r="V6" s="2849"/>
    </row>
    <row r="7" spans="1:22" s="2853" customFormat="1" ht="13.2" customHeight="1">
      <c r="A7" s="2876" t="s">
        <v>2347</v>
      </c>
      <c r="B7" s="2877"/>
      <c r="C7" s="2878"/>
      <c r="D7" s="2879">
        <f>SUM(D9,D10,D11,D17,0)</f>
        <v>0</v>
      </c>
      <c r="E7" s="2880" t="e">
        <f>E9+E10+E11+E17</f>
        <v>#DIV/0!</v>
      </c>
      <c r="F7" s="2881"/>
      <c r="G7" s="2882"/>
      <c r="H7" s="2848"/>
      <c r="I7" s="2849"/>
      <c r="J7" s="3905"/>
      <c r="K7" s="3907"/>
      <c r="L7" s="2883" t="s">
        <v>2348</v>
      </c>
      <c r="M7" s="2884"/>
      <c r="N7" s="2860"/>
      <c r="O7" s="2885"/>
      <c r="P7" s="2885"/>
      <c r="Q7" s="2886">
        <v>365</v>
      </c>
      <c r="R7" s="2887">
        <f>ROUND(M7*N7*O7*P7*Q7/10000,0)</f>
        <v>0</v>
      </c>
      <c r="S7" s="2841"/>
      <c r="T7" s="2841" t="s">
        <v>2349</v>
      </c>
      <c r="U7" s="2841"/>
      <c r="V7" s="2849"/>
    </row>
    <row r="8" spans="1:22" s="2853" customFormat="1" ht="13.2" customHeight="1">
      <c r="A8" s="2888" t="s">
        <v>2350</v>
      </c>
      <c r="B8" s="3922" t="s">
        <v>2351</v>
      </c>
      <c r="C8" s="3923"/>
      <c r="D8" s="2889" t="s">
        <v>2352</v>
      </c>
      <c r="E8" s="2890" t="s">
        <v>2353</v>
      </c>
      <c r="F8" s="2891" t="s">
        <v>2354</v>
      </c>
      <c r="G8" s="2892"/>
      <c r="H8" s="2848"/>
      <c r="I8" s="2849"/>
      <c r="J8" s="3905"/>
      <c r="K8" s="3907"/>
      <c r="L8" s="2883" t="s">
        <v>2355</v>
      </c>
      <c r="M8" s="2884"/>
      <c r="N8" s="2860"/>
      <c r="O8" s="2885"/>
      <c r="P8" s="2885"/>
      <c r="Q8" s="2886">
        <v>365</v>
      </c>
      <c r="R8" s="2887">
        <f t="shared" ref="R8:R13" si="0">ROUND(M8*N8*O8*P8*Q8/10000,0)</f>
        <v>0</v>
      </c>
      <c r="S8" s="2841"/>
      <c r="T8" s="2841" t="s">
        <v>2356</v>
      </c>
      <c r="U8" s="2841"/>
      <c r="V8" s="2849"/>
    </row>
    <row r="9" spans="1:22" s="2853" customFormat="1" ht="13.2" customHeight="1">
      <c r="A9" s="2888">
        <v>1</v>
      </c>
      <c r="B9" s="3922" t="s">
        <v>2357</v>
      </c>
      <c r="C9" s="3923"/>
      <c r="D9" s="2889">
        <f>ROUND(D6*E9,0)</f>
        <v>0</v>
      </c>
      <c r="E9" s="2893"/>
      <c r="F9" s="2894" t="s">
        <v>2358</v>
      </c>
      <c r="G9" s="2873"/>
      <c r="H9" s="2848"/>
      <c r="I9" s="2849"/>
      <c r="J9" s="3905"/>
      <c r="K9" s="3907"/>
      <c r="L9" s="2883" t="s">
        <v>2359</v>
      </c>
      <c r="M9" s="2884"/>
      <c r="N9" s="2860"/>
      <c r="O9" s="2885"/>
      <c r="P9" s="2885"/>
      <c r="Q9" s="2886">
        <v>365</v>
      </c>
      <c r="R9" s="2887">
        <f t="shared" si="0"/>
        <v>0</v>
      </c>
      <c r="S9" s="2841"/>
      <c r="T9" s="2841"/>
      <c r="U9" s="2841"/>
      <c r="V9" s="2849"/>
    </row>
    <row r="10" spans="1:22" s="2853" customFormat="1" ht="13.2" customHeight="1">
      <c r="A10" s="2888">
        <v>2</v>
      </c>
      <c r="B10" s="3922" t="s">
        <v>2360</v>
      </c>
      <c r="C10" s="3923"/>
      <c r="D10" s="2889">
        <f>ROUND(D6*E10,0)</f>
        <v>0</v>
      </c>
      <c r="E10" s="2893"/>
      <c r="F10" s="2894" t="s">
        <v>2361</v>
      </c>
      <c r="G10" s="2873"/>
      <c r="H10" s="2848"/>
      <c r="I10" s="2849"/>
      <c r="J10" s="3905"/>
      <c r="K10" s="3907"/>
      <c r="L10" s="2883" t="s">
        <v>2362</v>
      </c>
      <c r="M10" s="2884"/>
      <c r="N10" s="2860"/>
      <c r="O10" s="2885"/>
      <c r="P10" s="2885"/>
      <c r="Q10" s="2886">
        <v>365</v>
      </c>
      <c r="R10" s="2887">
        <f t="shared" si="0"/>
        <v>0</v>
      </c>
      <c r="S10" s="2841"/>
      <c r="T10" s="2841"/>
      <c r="U10" s="2841"/>
      <c r="V10" s="2849"/>
    </row>
    <row r="11" spans="1:22" s="2853" customFormat="1" ht="13.2" customHeight="1">
      <c r="A11" s="2888">
        <v>3</v>
      </c>
      <c r="B11" s="3922" t="s">
        <v>2363</v>
      </c>
      <c r="C11" s="3923"/>
      <c r="D11" s="2889">
        <f>D12+D14+D15+D16</f>
        <v>0</v>
      </c>
      <c r="E11" s="2895" t="e">
        <f>D11/D6</f>
        <v>#DIV/0!</v>
      </c>
      <c r="F11" s="2891"/>
      <c r="G11" s="2892"/>
      <c r="H11" s="2848"/>
      <c r="I11" s="2849"/>
      <c r="J11" s="3905"/>
      <c r="K11" s="3907"/>
      <c r="L11" s="2883" t="s">
        <v>2364</v>
      </c>
      <c r="M11" s="2884"/>
      <c r="N11" s="2860"/>
      <c r="O11" s="2885"/>
      <c r="P11" s="2885"/>
      <c r="Q11" s="2886">
        <v>365</v>
      </c>
      <c r="R11" s="2887">
        <f t="shared" si="0"/>
        <v>0</v>
      </c>
      <c r="S11" s="2841"/>
      <c r="T11" s="2841"/>
      <c r="U11" s="2841"/>
      <c r="V11" s="2849"/>
    </row>
    <row r="12" spans="1:22" s="2853" customFormat="1" ht="13.2" customHeight="1">
      <c r="A12" s="2896" t="s">
        <v>2365</v>
      </c>
      <c r="B12" s="3915" t="s">
        <v>2366</v>
      </c>
      <c r="C12" s="3916"/>
      <c r="D12" s="2897">
        <f>ROUND(D13*1.2%*(1-30%),0)</f>
        <v>0</v>
      </c>
      <c r="E12" s="2898">
        <v>1.2E-2</v>
      </c>
      <c r="F12" s="2891" t="s">
        <v>2367</v>
      </c>
      <c r="G12" s="2892"/>
      <c r="H12" s="2848"/>
      <c r="I12" s="2849"/>
      <c r="J12" s="3905"/>
      <c r="K12" s="3907"/>
      <c r="L12" s="2883" t="s">
        <v>2368</v>
      </c>
      <c r="M12" s="2884"/>
      <c r="N12" s="2860"/>
      <c r="O12" s="2885"/>
      <c r="P12" s="2885"/>
      <c r="Q12" s="2886">
        <v>365</v>
      </c>
      <c r="R12" s="2887">
        <f t="shared" si="0"/>
        <v>0</v>
      </c>
      <c r="S12" s="2841"/>
      <c r="T12" s="2841"/>
      <c r="U12" s="2841"/>
      <c r="V12" s="2849"/>
    </row>
    <row r="13" spans="1:22" s="2853" customFormat="1" ht="13.2" customHeight="1">
      <c r="A13" s="2896"/>
      <c r="B13" s="2899"/>
      <c r="C13" s="2900" t="s">
        <v>2369</v>
      </c>
      <c r="D13" s="2901"/>
      <c r="E13" s="2902"/>
      <c r="F13" s="2891"/>
      <c r="G13" s="2892"/>
      <c r="H13" s="2848"/>
      <c r="I13" s="2849"/>
      <c r="J13" s="3905"/>
      <c r="K13" s="3907"/>
      <c r="L13" s="2883" t="s">
        <v>2370</v>
      </c>
      <c r="M13" s="2884"/>
      <c r="N13" s="2860"/>
      <c r="O13" s="2885"/>
      <c r="P13" s="2885"/>
      <c r="Q13" s="2886">
        <v>365</v>
      </c>
      <c r="R13" s="2887">
        <f t="shared" si="0"/>
        <v>0</v>
      </c>
      <c r="S13" s="2841"/>
      <c r="T13" s="2841"/>
      <c r="U13" s="2841"/>
      <c r="V13" s="2849"/>
    </row>
    <row r="14" spans="1:22" s="2853" customFormat="1" ht="13.2" customHeight="1">
      <c r="A14" s="2896" t="s">
        <v>2371</v>
      </c>
      <c r="B14" s="3915" t="s">
        <v>2372</v>
      </c>
      <c r="C14" s="3916"/>
      <c r="D14" s="2897">
        <f>ROUND(E14*B5/10000,0)</f>
        <v>0</v>
      </c>
      <c r="E14" s="2886"/>
      <c r="F14" s="2891" t="s">
        <v>2373</v>
      </c>
      <c r="G14" s="2892"/>
      <c r="H14" s="2848"/>
      <c r="I14" s="2849"/>
      <c r="J14" s="3905"/>
      <c r="K14" s="3908"/>
      <c r="L14" s="2903" t="s">
        <v>2374</v>
      </c>
      <c r="M14" s="2904">
        <f>SUM(M7:M13)</f>
        <v>0</v>
      </c>
      <c r="N14" s="2904" t="e">
        <f>ROUND((N7*M7+N8*M8+N9*M9+N10*M10+N11*M11+N12*M12+N13*M13)/M14,0)</f>
        <v>#DIV/0!</v>
      </c>
      <c r="O14" s="2905"/>
      <c r="P14" s="2905"/>
      <c r="Q14" s="2906"/>
      <c r="R14" s="2852">
        <f>SUM(R7:R13)</f>
        <v>0</v>
      </c>
      <c r="S14" s="2841"/>
      <c r="T14" s="2841"/>
      <c r="U14" s="2841"/>
      <c r="V14" s="2849"/>
    </row>
    <row r="15" spans="1:22" s="2853" customFormat="1" ht="13.2" customHeight="1">
      <c r="A15" s="2896" t="s">
        <v>2375</v>
      </c>
      <c r="B15" s="3915" t="s">
        <v>2376</v>
      </c>
      <c r="C15" s="3916"/>
      <c r="D15" s="2897">
        <f>ROUND(D6*E15,0)</f>
        <v>0</v>
      </c>
      <c r="E15" s="2898">
        <v>5.5E-2</v>
      </c>
      <c r="F15" s="2891" t="s">
        <v>2377</v>
      </c>
      <c r="G15" s="2873"/>
      <c r="H15" s="2848"/>
      <c r="I15" s="2849"/>
      <c r="J15" s="3905">
        <v>2</v>
      </c>
      <c r="K15" s="3906" t="s">
        <v>2378</v>
      </c>
      <c r="L15" s="2883" t="s">
        <v>2379</v>
      </c>
      <c r="M15" s="2884" t="s">
        <v>2380</v>
      </c>
      <c r="N15" s="2884" t="s">
        <v>2381</v>
      </c>
      <c r="O15" s="2885" t="s">
        <v>2382</v>
      </c>
      <c r="P15" s="2885" t="s">
        <v>2344</v>
      </c>
      <c r="Q15" s="2860" t="s">
        <v>2383</v>
      </c>
      <c r="R15" s="2907" t="s">
        <v>2345</v>
      </c>
      <c r="S15" s="2841"/>
      <c r="T15" s="2841"/>
      <c r="U15" s="2841"/>
      <c r="V15" s="2849"/>
    </row>
    <row r="16" spans="1:22" s="2853" customFormat="1" ht="13.2" customHeight="1">
      <c r="A16" s="2896" t="s">
        <v>2384</v>
      </c>
      <c r="B16" s="3915" t="s">
        <v>2385</v>
      </c>
      <c r="C16" s="3916"/>
      <c r="D16" s="2908">
        <f>D6*E16</f>
        <v>0</v>
      </c>
      <c r="E16" s="2909"/>
      <c r="F16" s="2894" t="s">
        <v>2386</v>
      </c>
      <c r="G16" s="2873"/>
      <c r="H16" s="2848"/>
      <c r="I16" s="2849"/>
      <c r="J16" s="3905"/>
      <c r="K16" s="3907"/>
      <c r="L16" s="2883" t="s">
        <v>2387</v>
      </c>
      <c r="M16" s="2884"/>
      <c r="N16" s="2884"/>
      <c r="O16" s="2885"/>
      <c r="P16" s="2886">
        <v>365</v>
      </c>
      <c r="Q16" s="2860"/>
      <c r="R16" s="2907">
        <f>ROUND(M16*N16*O16*P16/10000,0)</f>
        <v>0</v>
      </c>
      <c r="S16" s="2841"/>
      <c r="T16" s="2841"/>
      <c r="U16" s="2841"/>
      <c r="V16" s="2849"/>
    </row>
    <row r="17" spans="1:22" s="2853" customFormat="1" ht="13.2" customHeight="1" thickBot="1">
      <c r="A17" s="2910">
        <v>4</v>
      </c>
      <c r="B17" s="3917" t="s">
        <v>2388</v>
      </c>
      <c r="C17" s="3918"/>
      <c r="D17" s="2911">
        <f>ROUND(D6*E17,0)</f>
        <v>0</v>
      </c>
      <c r="E17" s="2912"/>
      <c r="F17" s="2913" t="s">
        <v>2389</v>
      </c>
      <c r="G17" s="2873"/>
      <c r="H17" s="2848"/>
      <c r="I17" s="2849"/>
      <c r="J17" s="3905"/>
      <c r="K17" s="3907"/>
      <c r="L17" s="2883" t="s">
        <v>2390</v>
      </c>
      <c r="M17" s="2884"/>
      <c r="N17" s="2884"/>
      <c r="O17" s="2885"/>
      <c r="P17" s="2886">
        <v>365</v>
      </c>
      <c r="Q17" s="2860"/>
      <c r="R17" s="2907">
        <f>ROUND(M17*N17*O17*P17/10000,0)</f>
        <v>0</v>
      </c>
      <c r="S17" s="2841"/>
      <c r="T17" s="2841"/>
      <c r="U17" s="2841"/>
      <c r="V17" s="2849"/>
    </row>
    <row r="18" spans="1:22" s="2853" customFormat="1" ht="13.2" customHeight="1" thickBot="1">
      <c r="A18" s="2876" t="s">
        <v>2391</v>
      </c>
      <c r="B18" s="2877"/>
      <c r="C18" s="2877"/>
      <c r="D18" s="2914">
        <f>ROUND(D6*E18,0)</f>
        <v>0</v>
      </c>
      <c r="E18" s="2915"/>
      <c r="F18" s="2916" t="s">
        <v>2392</v>
      </c>
      <c r="G18" s="2873"/>
      <c r="H18" s="2848"/>
      <c r="I18" s="2849"/>
      <c r="J18" s="3905"/>
      <c r="K18" s="3907"/>
      <c r="L18" s="2883" t="s">
        <v>2393</v>
      </c>
      <c r="M18" s="2884"/>
      <c r="N18" s="2884"/>
      <c r="O18" s="2885"/>
      <c r="P18" s="2886">
        <v>365</v>
      </c>
      <c r="Q18" s="2860"/>
      <c r="R18" s="2907">
        <f>ROUND(M18*N18*O18*P18/10000,0)</f>
        <v>0</v>
      </c>
      <c r="S18" s="2841"/>
      <c r="T18" s="2841"/>
      <c r="U18" s="2841"/>
      <c r="V18" s="2849"/>
    </row>
    <row r="19" spans="1:22" s="2853" customFormat="1" ht="13.2" customHeight="1" thickBot="1">
      <c r="A19" s="2917" t="s">
        <v>2394</v>
      </c>
      <c r="B19" s="2871"/>
      <c r="C19" s="2871"/>
      <c r="D19" s="2871"/>
      <c r="E19" s="2871"/>
      <c r="F19" s="2872"/>
      <c r="G19" s="2892"/>
      <c r="H19" s="2848"/>
      <c r="I19" s="2849"/>
      <c r="J19" s="3905"/>
      <c r="K19" s="3908"/>
      <c r="L19" s="2903" t="s">
        <v>2374</v>
      </c>
      <c r="M19" s="2904"/>
      <c r="N19" s="2904">
        <f>SUM(N16:N18)</f>
        <v>0</v>
      </c>
      <c r="O19" s="2905"/>
      <c r="P19" s="2918" t="s">
        <v>2438</v>
      </c>
      <c r="Q19" s="2885">
        <v>0</v>
      </c>
      <c r="R19" s="2919">
        <f>ROUND(IF(P19="按比例",R14*Q19,SUM(R16:R18)),0)</f>
        <v>0</v>
      </c>
      <c r="S19" s="2841"/>
      <c r="T19" s="2841"/>
      <c r="U19" s="2841"/>
      <c r="V19" s="2849"/>
    </row>
    <row r="20" spans="1:22" s="2853" customFormat="1" ht="13.2" customHeight="1">
      <c r="A20" s="2876"/>
      <c r="B20" s="2877"/>
      <c r="C20" s="2877"/>
      <c r="D20" s="2877"/>
      <c r="E20" s="2877"/>
      <c r="F20" s="2920"/>
      <c r="G20" s="2892"/>
      <c r="H20" s="2848"/>
      <c r="I20" s="2849"/>
      <c r="J20" s="3905">
        <v>3</v>
      </c>
      <c r="K20" s="3906" t="s">
        <v>2395</v>
      </c>
      <c r="L20" s="2883" t="s">
        <v>2396</v>
      </c>
      <c r="M20" s="2884" t="s">
        <v>2397</v>
      </c>
      <c r="N20" s="2921" t="s">
        <v>2398</v>
      </c>
      <c r="O20" s="2885" t="s">
        <v>2399</v>
      </c>
      <c r="P20" s="2886" t="s">
        <v>2400</v>
      </c>
      <c r="Q20" s="2860" t="s">
        <v>2401</v>
      </c>
      <c r="R20" s="2907" t="s">
        <v>2402</v>
      </c>
      <c r="S20" s="2922"/>
      <c r="T20" s="2922"/>
      <c r="U20" s="2922"/>
      <c r="V20" s="2849"/>
    </row>
    <row r="21" spans="1:22" s="2853" customFormat="1" ht="13.2" customHeight="1">
      <c r="A21" s="2876"/>
      <c r="B21" s="2877"/>
      <c r="C21" s="2923" t="s">
        <v>2403</v>
      </c>
      <c r="D21" s="2924" t="s">
        <v>2404</v>
      </c>
      <c r="E21" s="2925" t="s">
        <v>2405</v>
      </c>
      <c r="F21" s="2920"/>
      <c r="G21" s="2892"/>
      <c r="H21" s="2848"/>
      <c r="I21" s="2849"/>
      <c r="J21" s="3905"/>
      <c r="K21" s="3907"/>
      <c r="L21" s="2883" t="s">
        <v>2406</v>
      </c>
      <c r="M21" s="2884"/>
      <c r="N21" s="2884"/>
      <c r="O21" s="2885"/>
      <c r="P21" s="2886">
        <v>365</v>
      </c>
      <c r="Q21" s="2860"/>
      <c r="R21" s="2926">
        <f>ROUND(M21*N21*O21*P21/10000,0)</f>
        <v>0</v>
      </c>
      <c r="S21" s="2922"/>
      <c r="T21" s="2922"/>
      <c r="U21" s="2922"/>
      <c r="V21" s="2849"/>
    </row>
    <row r="22" spans="1:22" s="2853" customFormat="1" ht="13.2" customHeight="1">
      <c r="A22" s="2876"/>
      <c r="B22" s="2877"/>
      <c r="C22" s="2927" t="s">
        <v>2407</v>
      </c>
      <c r="D22" s="2928" t="s">
        <v>2408</v>
      </c>
      <c r="E22" s="2929" t="s">
        <v>2409</v>
      </c>
      <c r="F22" s="2920"/>
      <c r="G22" s="2930"/>
      <c r="H22" s="2848"/>
      <c r="I22" s="2849"/>
      <c r="J22" s="3905"/>
      <c r="K22" s="3907"/>
      <c r="L22" s="2883" t="s">
        <v>2410</v>
      </c>
      <c r="M22" s="2884"/>
      <c r="N22" s="2884"/>
      <c r="O22" s="2885"/>
      <c r="P22" s="2886">
        <v>365</v>
      </c>
      <c r="Q22" s="2860"/>
      <c r="R22" s="2926">
        <f>ROUND(M22*N22*O22*P22/10000,0)</f>
        <v>0</v>
      </c>
      <c r="S22" s="2922"/>
      <c r="T22" s="2922"/>
      <c r="U22" s="2922"/>
      <c r="V22" s="2849"/>
    </row>
    <row r="23" spans="1:22" s="2853" customFormat="1" ht="13.2" customHeight="1">
      <c r="A23" s="2931">
        <v>1</v>
      </c>
      <c r="B23" s="2932" t="s">
        <v>2411</v>
      </c>
      <c r="C23" s="2933">
        <f>D6</f>
        <v>0</v>
      </c>
      <c r="D23" s="2934">
        <f>C23*(1+D24)</f>
        <v>0</v>
      </c>
      <c r="E23" s="2935">
        <f>D23*(1+E24)</f>
        <v>0</v>
      </c>
      <c r="F23" s="2936"/>
      <c r="G23" s="2937"/>
      <c r="H23" s="2848"/>
      <c r="I23" s="2849"/>
      <c r="J23" s="3905"/>
      <c r="K23" s="3907"/>
      <c r="L23" s="2883" t="s">
        <v>2412</v>
      </c>
      <c r="M23" s="2884"/>
      <c r="N23" s="2884"/>
      <c r="O23" s="2885"/>
      <c r="P23" s="2886">
        <v>365</v>
      </c>
      <c r="Q23" s="2860"/>
      <c r="R23" s="2926">
        <f>ROUND(M23*N23*O23*P23/10000,0)</f>
        <v>0</v>
      </c>
      <c r="S23" s="2841"/>
      <c r="T23" s="2841"/>
      <c r="U23" s="2841"/>
      <c r="V23" s="2849"/>
    </row>
    <row r="24" spans="1:22" s="2853" customFormat="1" ht="13.2" customHeight="1">
      <c r="A24" s="2938"/>
      <c r="B24" s="2939" t="s">
        <v>2413</v>
      </c>
      <c r="C24" s="2940"/>
      <c r="D24" s="2941"/>
      <c r="E24" s="2942"/>
      <c r="F24" s="2943"/>
      <c r="G24" s="2937"/>
      <c r="H24" s="2848"/>
      <c r="I24" s="2849"/>
      <c r="J24" s="3905"/>
      <c r="K24" s="3908"/>
      <c r="L24" s="2903" t="s">
        <v>2374</v>
      </c>
      <c r="M24" s="2904">
        <f>SUM(M21:M23)</f>
        <v>0</v>
      </c>
      <c r="N24" s="2904"/>
      <c r="O24" s="2905"/>
      <c r="P24" s="2918" t="s">
        <v>2438</v>
      </c>
      <c r="Q24" s="2885">
        <v>0</v>
      </c>
      <c r="R24" s="2919">
        <f>ROUND(IF(P24="按比例",R14*Q24,SUM(R21:R23)),0)</f>
        <v>0</v>
      </c>
      <c r="S24" s="2841"/>
      <c r="T24" s="2841"/>
      <c r="U24" s="2841"/>
      <c r="V24" s="2849"/>
    </row>
    <row r="25" spans="1:22" s="2950" customFormat="1" ht="13.2" customHeight="1">
      <c r="A25" s="2938"/>
      <c r="B25" s="2939"/>
      <c r="C25" s="2940"/>
      <c r="D25" s="2941"/>
      <c r="E25" s="2942"/>
      <c r="F25" s="2943"/>
      <c r="G25" s="2930"/>
      <c r="H25" s="2848"/>
      <c r="I25" s="2849"/>
      <c r="J25" s="2944">
        <v>4</v>
      </c>
      <c r="K25" s="2945" t="s">
        <v>2414</v>
      </c>
      <c r="L25" s="2946"/>
      <c r="M25" s="2946"/>
      <c r="N25" s="2946"/>
      <c r="O25" s="2946"/>
      <c r="P25" s="2947"/>
      <c r="Q25" s="2948">
        <v>0</v>
      </c>
      <c r="R25" s="2919">
        <f>ROUND(R14*Q25,0)</f>
        <v>0</v>
      </c>
      <c r="S25" s="2841"/>
      <c r="T25" s="2841"/>
      <c r="U25" s="2841"/>
      <c r="V25" s="2949"/>
    </row>
    <row r="26" spans="1:22" s="2950" customFormat="1" ht="13.2" customHeight="1">
      <c r="A26" s="2931">
        <v>2</v>
      </c>
      <c r="B26" s="2932" t="s">
        <v>2415</v>
      </c>
      <c r="C26" s="2933">
        <f>D7</f>
        <v>0</v>
      </c>
      <c r="D26" s="2934">
        <f>D23*D27</f>
        <v>0</v>
      </c>
      <c r="E26" s="2935">
        <f>E23*E27</f>
        <v>0</v>
      </c>
      <c r="F26" s="2936"/>
      <c r="G26" s="2937"/>
      <c r="H26" s="2848"/>
      <c r="I26" s="2849"/>
      <c r="J26" s="3909">
        <v>5</v>
      </c>
      <c r="K26" s="2951" t="s">
        <v>2416</v>
      </c>
      <c r="L26" s="2952"/>
      <c r="M26" s="2953"/>
      <c r="N26" s="2954" t="s">
        <v>2417</v>
      </c>
      <c r="O26" s="2954" t="s">
        <v>2418</v>
      </c>
      <c r="P26" s="2955" t="s">
        <v>2419</v>
      </c>
      <c r="Q26" s="2955" t="s">
        <v>2420</v>
      </c>
      <c r="R26" s="2858" t="s">
        <v>2345</v>
      </c>
      <c r="S26" s="2956"/>
      <c r="T26" s="2956"/>
      <c r="U26" s="2956"/>
      <c r="V26" s="2949"/>
    </row>
    <row r="27" spans="1:22" s="2853" customFormat="1" ht="13.2" customHeight="1">
      <c r="A27" s="2938"/>
      <c r="B27" s="2939" t="s">
        <v>2421</v>
      </c>
      <c r="C27" s="2957" t="e">
        <f>E7</f>
        <v>#DIV/0!</v>
      </c>
      <c r="D27" s="2941"/>
      <c r="E27" s="2942"/>
      <c r="F27" s="2943"/>
      <c r="G27" s="2937"/>
      <c r="H27" s="2958"/>
      <c r="I27" s="2949"/>
      <c r="J27" s="3910"/>
      <c r="K27" s="2959"/>
      <c r="L27" s="2960"/>
      <c r="M27" s="2961"/>
      <c r="N27" s="2962"/>
      <c r="O27" s="2962"/>
      <c r="P27" s="2962"/>
      <c r="Q27" s="2963"/>
      <c r="R27" s="2919">
        <f>ROUND(O27*N27*P27*(1-Q27)/10000,0)</f>
        <v>0</v>
      </c>
      <c r="S27" s="2841"/>
      <c r="T27" s="2841"/>
      <c r="U27" s="2841"/>
      <c r="V27" s="2849"/>
    </row>
    <row r="28" spans="1:22" s="2950" customFormat="1" ht="13.2" customHeight="1" thickBot="1">
      <c r="A28" s="2938"/>
      <c r="B28" s="2939"/>
      <c r="C28" s="2957"/>
      <c r="D28" s="2941"/>
      <c r="E28" s="2942" t="s">
        <v>2422</v>
      </c>
      <c r="F28" s="2943"/>
      <c r="G28" s="2930"/>
      <c r="H28" s="2958"/>
      <c r="I28" s="2949"/>
      <c r="J28" s="2964">
        <v>6</v>
      </c>
      <c r="K28" s="2965" t="s">
        <v>2423</v>
      </c>
      <c r="L28" s="2966" t="s">
        <v>2424</v>
      </c>
      <c r="M28" s="2967"/>
      <c r="N28" s="2966" t="s">
        <v>2425</v>
      </c>
      <c r="O28" s="2968"/>
      <c r="P28" s="2966" t="s">
        <v>2426</v>
      </c>
      <c r="Q28" s="2969">
        <v>1.4999999999999999E-2</v>
      </c>
      <c r="R28" s="2970"/>
      <c r="S28" s="2922"/>
      <c r="T28" s="2922"/>
      <c r="U28" s="2922"/>
      <c r="V28" s="2949"/>
    </row>
    <row r="29" spans="1:22" s="2950" customFormat="1" ht="13.2" customHeight="1">
      <c r="A29" s="2931">
        <v>3</v>
      </c>
      <c r="B29" s="2932" t="s">
        <v>2427</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2" customHeight="1" thickBot="1">
      <c r="A30" s="2938"/>
      <c r="B30" s="2939" t="s">
        <v>2421</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2" customHeight="1">
      <c r="A31" s="2938"/>
      <c r="B31" s="2939"/>
      <c r="C31" s="2972"/>
      <c r="D31" s="2971"/>
      <c r="E31" s="2902"/>
      <c r="F31" s="2943"/>
      <c r="G31" s="2930"/>
      <c r="H31" s="2958"/>
      <c r="I31" s="2949"/>
      <c r="J31" s="2838" t="s">
        <v>2428</v>
      </c>
      <c r="K31" s="2839"/>
      <c r="L31" s="2839"/>
      <c r="M31" s="2839"/>
      <c r="N31" s="2839"/>
      <c r="O31" s="2839"/>
      <c r="P31" s="2839"/>
      <c r="Q31" s="2839"/>
      <c r="R31" s="2840"/>
      <c r="S31" s="2922"/>
      <c r="T31" s="2841"/>
      <c r="U31" s="2841"/>
      <c r="V31" s="2949"/>
    </row>
    <row r="32" spans="1:22" s="2950" customFormat="1" ht="13.2" customHeight="1">
      <c r="A32" s="2931">
        <v>4</v>
      </c>
      <c r="B32" s="2932" t="s">
        <v>2429</v>
      </c>
      <c r="C32" s="2933">
        <f>C23-C26-C29</f>
        <v>0</v>
      </c>
      <c r="D32" s="2934">
        <f>D23-D26-D29</f>
        <v>0</v>
      </c>
      <c r="E32" s="2935">
        <f>E23-E26-E29</f>
        <v>0</v>
      </c>
      <c r="F32" s="2936"/>
      <c r="G32" s="2930"/>
      <c r="H32" s="2848"/>
      <c r="I32" s="2849"/>
      <c r="J32" s="3911" t="s">
        <v>2321</v>
      </c>
      <c r="K32" s="3912"/>
      <c r="L32" s="2850" t="s">
        <v>2322</v>
      </c>
      <c r="M32" s="2850" t="s">
        <v>2323</v>
      </c>
      <c r="N32" s="2850" t="s">
        <v>2324</v>
      </c>
      <c r="O32" s="2850" t="s">
        <v>2325</v>
      </c>
      <c r="P32" s="2850" t="s">
        <v>2326</v>
      </c>
      <c r="Q32" s="2851" t="s">
        <v>2327</v>
      </c>
      <c r="R32" s="2973" t="s">
        <v>2328</v>
      </c>
      <c r="S32" s="2922"/>
      <c r="T32" s="2841"/>
      <c r="U32" s="2841"/>
      <c r="V32" s="2949"/>
    </row>
    <row r="33" spans="1:23" s="2853" customFormat="1" ht="13.2" customHeight="1">
      <c r="A33" s="2931"/>
      <c r="B33" s="2932"/>
      <c r="C33" s="2933"/>
      <c r="D33" s="2974"/>
      <c r="E33" s="2975"/>
      <c r="F33" s="2936"/>
      <c r="G33" s="2930"/>
      <c r="H33" s="2958"/>
      <c r="I33" s="2949"/>
      <c r="J33" s="3913" t="s">
        <v>2331</v>
      </c>
      <c r="K33" s="3914"/>
      <c r="L33" s="2856"/>
      <c r="M33" s="2856"/>
      <c r="N33" s="2856"/>
      <c r="O33" s="2856"/>
      <c r="P33" s="2856"/>
      <c r="Q33" s="2857"/>
      <c r="R33" s="2976">
        <f>SUM(L33:Q33)</f>
        <v>0</v>
      </c>
      <c r="S33" s="2922"/>
      <c r="T33" s="2841"/>
      <c r="U33" s="2841"/>
      <c r="V33" s="2849"/>
    </row>
    <row r="34" spans="1:23" s="2853" customFormat="1" ht="13.2" customHeight="1">
      <c r="A34" s="2931">
        <v>5</v>
      </c>
      <c r="B34" s="2932" t="s">
        <v>2430</v>
      </c>
      <c r="C34" s="2977"/>
      <c r="D34" s="2978"/>
      <c r="E34" s="2979"/>
      <c r="F34" s="2936"/>
      <c r="G34" s="2930"/>
      <c r="H34" s="2958"/>
      <c r="I34" s="2949"/>
      <c r="J34" s="3913" t="s">
        <v>2333</v>
      </c>
      <c r="K34" s="3914"/>
      <c r="L34" s="2861"/>
      <c r="M34" s="2861"/>
      <c r="N34" s="2861"/>
      <c r="O34" s="2861"/>
      <c r="P34" s="2861"/>
      <c r="Q34" s="2862"/>
      <c r="R34" s="2980">
        <f>SUM(L34:Q34)</f>
        <v>0</v>
      </c>
      <c r="S34" s="2922"/>
      <c r="T34" s="2841"/>
      <c r="U34" s="2841" t="e">
        <f>ROUND(R35*10000/365/R33,1)</f>
        <v>#DIV/0!</v>
      </c>
      <c r="V34" s="2849"/>
    </row>
    <row r="35" spans="1:23" s="2853" customFormat="1" ht="13.2" customHeight="1">
      <c r="A35" s="2931">
        <v>6</v>
      </c>
      <c r="B35" s="2932" t="s">
        <v>2431</v>
      </c>
      <c r="C35" s="2981"/>
      <c r="D35" s="2982"/>
      <c r="E35" s="2983"/>
      <c r="F35" s="2936"/>
      <c r="G35" s="2984"/>
      <c r="H35" s="2848"/>
      <c r="I35" s="2949"/>
      <c r="J35" s="2867" t="s">
        <v>2335</v>
      </c>
      <c r="K35" s="2868"/>
      <c r="L35" s="2868"/>
      <c r="M35" s="2869"/>
      <c r="N35" s="2869"/>
      <c r="O35" s="2869"/>
      <c r="P35" s="2869"/>
      <c r="Q35" s="2869"/>
      <c r="R35" s="2985">
        <f>R40+R41+R43</f>
        <v>0</v>
      </c>
      <c r="S35" s="2922"/>
      <c r="T35" s="2841" t="s">
        <v>2336</v>
      </c>
      <c r="U35" s="2841"/>
      <c r="V35" s="2849"/>
    </row>
    <row r="36" spans="1:23" s="2853" customFormat="1" ht="13.2" customHeight="1" thickBot="1">
      <c r="A36" s="2931">
        <v>7</v>
      </c>
      <c r="B36" s="2986" t="s">
        <v>2432</v>
      </c>
      <c r="C36" s="2987"/>
      <c r="D36" s="2988"/>
      <c r="E36" s="2989"/>
      <c r="F36" s="2990">
        <f>C36+D36+E36</f>
        <v>0</v>
      </c>
      <c r="G36" s="2930"/>
      <c r="H36" s="2848"/>
      <c r="I36" s="2849"/>
      <c r="J36" s="3905">
        <v>1</v>
      </c>
      <c r="K36" s="3906" t="s">
        <v>2433</v>
      </c>
      <c r="L36" s="2874"/>
      <c r="M36" s="2875"/>
      <c r="N36" s="2875"/>
      <c r="O36" s="2875"/>
      <c r="P36" s="2875"/>
      <c r="Q36" s="2875"/>
      <c r="R36" s="2858" t="s">
        <v>2345</v>
      </c>
      <c r="S36" s="2922"/>
      <c r="T36" s="2841" t="s">
        <v>2346</v>
      </c>
      <c r="U36" s="2841"/>
      <c r="V36" s="2849"/>
    </row>
    <row r="37" spans="1:23" s="2853" customFormat="1" ht="13.2" customHeight="1">
      <c r="A37" s="2931"/>
      <c r="B37" s="2932"/>
      <c r="C37" s="2932"/>
      <c r="D37" s="2932"/>
      <c r="E37" s="2932"/>
      <c r="F37" s="2936"/>
      <c r="G37" s="2930"/>
      <c r="H37" s="2848"/>
      <c r="I37" s="2849"/>
      <c r="J37" s="3905"/>
      <c r="K37" s="3907"/>
      <c r="L37" s="2883"/>
      <c r="M37" s="2884"/>
      <c r="N37" s="2860"/>
      <c r="O37" s="2885"/>
      <c r="P37" s="2885"/>
      <c r="Q37" s="2886"/>
      <c r="R37" s="2887"/>
      <c r="S37" s="2922"/>
      <c r="T37" s="2841" t="s">
        <v>2349</v>
      </c>
      <c r="U37" s="2841"/>
      <c r="V37" s="2849"/>
    </row>
    <row r="38" spans="1:23" s="2853" customFormat="1" ht="13.2" customHeight="1">
      <c r="A38" s="2931">
        <v>8</v>
      </c>
      <c r="B38" s="2932"/>
      <c r="C38" s="2889" t="e">
        <f>ROUND(C32*(1-((1+C35)/(1+C34))^C36)/(C34-C35),0)</f>
        <v>#DIV/0!</v>
      </c>
      <c r="D38" s="2889">
        <f>IF(D23=0,0,ROUND(D32*(1-((1+D35)/(1+D34))^D36)/(D34-D35),0))</f>
        <v>0</v>
      </c>
      <c r="E38" s="2889">
        <f>IF(E23=0,0,ROUND(E32*(1-((1+E35)/(1+E34))^E36)/(E34-E35),0))</f>
        <v>0</v>
      </c>
      <c r="F38" s="2936"/>
      <c r="G38" s="2930"/>
      <c r="H38" s="2848"/>
      <c r="I38" s="2849"/>
      <c r="J38" s="3905"/>
      <c r="K38" s="3907"/>
      <c r="L38" s="2883"/>
      <c r="M38" s="2884"/>
      <c r="N38" s="2860"/>
      <c r="O38" s="2885"/>
      <c r="P38" s="2885"/>
      <c r="Q38" s="2886"/>
      <c r="R38" s="2887"/>
      <c r="S38" s="2922"/>
      <c r="T38" s="2841" t="s">
        <v>2356</v>
      </c>
      <c r="U38" s="2841"/>
      <c r="V38" s="2849"/>
    </row>
    <row r="39" spans="1:23" s="2853" customFormat="1" ht="13.2" customHeight="1">
      <c r="A39" s="2931">
        <v>9</v>
      </c>
      <c r="B39" s="2932" t="s">
        <v>2434</v>
      </c>
      <c r="C39" s="2897" t="e">
        <f>C38</f>
        <v>#DIV/0!</v>
      </c>
      <c r="D39" s="2932">
        <f>D38/(1+D34)^C36</f>
        <v>0</v>
      </c>
      <c r="E39" s="2932">
        <f>E38/(1+E34)^(C36+D36)</f>
        <v>0</v>
      </c>
      <c r="F39" s="2936"/>
      <c r="G39" s="2991"/>
      <c r="H39" s="2848"/>
      <c r="I39" s="2849"/>
      <c r="J39" s="3905"/>
      <c r="K39" s="3907"/>
      <c r="L39" s="2883"/>
      <c r="M39" s="2884"/>
      <c r="N39" s="2860"/>
      <c r="O39" s="2885"/>
      <c r="P39" s="2885"/>
      <c r="Q39" s="2886"/>
      <c r="R39" s="2887"/>
      <c r="S39" s="2922"/>
      <c r="T39" s="2841"/>
      <c r="U39" s="2841"/>
      <c r="V39" s="2849"/>
    </row>
    <row r="40" spans="1:23" s="2853" customFormat="1" ht="13.2" customHeight="1">
      <c r="A40" s="2992">
        <v>10</v>
      </c>
      <c r="B40" s="2932" t="s">
        <v>2435</v>
      </c>
      <c r="C40" s="2993" t="e">
        <f>C39+D39+E39</f>
        <v>#DIV/0!</v>
      </c>
      <c r="D40" s="2994"/>
      <c r="E40" s="2994"/>
      <c r="F40" s="2995"/>
      <c r="G40" s="2930"/>
      <c r="H40" s="2848"/>
      <c r="I40" s="2849"/>
      <c r="J40" s="3905"/>
      <c r="K40" s="3908"/>
      <c r="L40" s="2903" t="s">
        <v>2374</v>
      </c>
      <c r="M40" s="2904"/>
      <c r="N40" s="2904"/>
      <c r="O40" s="2905"/>
      <c r="P40" s="2905"/>
      <c r="Q40" s="2906"/>
      <c r="R40" s="2852">
        <f>SUM(R37:R39)</f>
        <v>0</v>
      </c>
      <c r="S40" s="2922"/>
      <c r="T40" s="2841"/>
      <c r="U40" s="2841"/>
      <c r="V40" s="2849"/>
    </row>
    <row r="41" spans="1:23" s="2853" customFormat="1" ht="13.2" customHeight="1" thickBot="1">
      <c r="A41" s="2996">
        <v>11</v>
      </c>
      <c r="B41" s="2997" t="s">
        <v>2436</v>
      </c>
      <c r="C41" s="2997" t="e">
        <f>ROUND(C40*10000/B4,0)</f>
        <v>#DIV/0!</v>
      </c>
      <c r="D41" s="2998"/>
      <c r="E41" s="2998"/>
      <c r="F41" s="2999"/>
      <c r="G41" s="3000"/>
      <c r="H41" s="2848"/>
      <c r="I41" s="2849"/>
      <c r="J41" s="2944">
        <v>2</v>
      </c>
      <c r="K41" s="2945" t="s">
        <v>2414</v>
      </c>
      <c r="L41" s="2946"/>
      <c r="M41" s="2946"/>
      <c r="N41" s="2946"/>
      <c r="O41" s="2946"/>
      <c r="P41" s="2947"/>
      <c r="Q41" s="2948"/>
      <c r="R41" s="2919">
        <f>ROUND(R40*Q41,0)</f>
        <v>0</v>
      </c>
      <c r="S41" s="2922"/>
      <c r="T41" s="2841"/>
      <c r="U41" s="2956"/>
      <c r="V41" s="2849"/>
    </row>
    <row r="42" spans="1:23" s="2853" customFormat="1" ht="13.2" customHeight="1">
      <c r="G42" s="3000"/>
      <c r="H42" s="2848"/>
      <c r="I42" s="2849"/>
      <c r="J42" s="3909">
        <v>3</v>
      </c>
      <c r="K42" s="2951" t="s">
        <v>2416</v>
      </c>
      <c r="L42" s="2952"/>
      <c r="M42" s="2953"/>
      <c r="N42" s="2954" t="s">
        <v>2417</v>
      </c>
      <c r="O42" s="2954" t="s">
        <v>2418</v>
      </c>
      <c r="P42" s="2955" t="s">
        <v>2419</v>
      </c>
      <c r="Q42" s="2955" t="s">
        <v>2420</v>
      </c>
      <c r="R42" s="2858" t="s">
        <v>2345</v>
      </c>
      <c r="S42" s="2956"/>
      <c r="T42" s="2956"/>
      <c r="U42" s="2841"/>
      <c r="V42" s="2849"/>
    </row>
    <row r="43" spans="1:23" ht="13.2" customHeight="1">
      <c r="A43" s="2853"/>
      <c r="B43" s="2853"/>
      <c r="C43" s="2853"/>
      <c r="D43" s="2853"/>
      <c r="E43" s="2853"/>
      <c r="F43" s="2853"/>
      <c r="I43" s="2836"/>
      <c r="J43" s="3910"/>
      <c r="K43" s="2959"/>
      <c r="L43" s="2960"/>
      <c r="M43" s="2961"/>
      <c r="N43" s="2884"/>
      <c r="O43" s="2884"/>
      <c r="P43" s="2884"/>
      <c r="Q43" s="2948"/>
      <c r="R43" s="2919">
        <f>ROUND(O43*N43*P43*(1-Q43)/10000,0)</f>
        <v>0</v>
      </c>
      <c r="S43" s="2922"/>
      <c r="T43" s="2841"/>
      <c r="V43" s="3002"/>
      <c r="W43" s="3003"/>
    </row>
    <row r="44" spans="1:23" ht="13.2" customHeight="1" thickBot="1">
      <c r="J44" s="2964">
        <v>6</v>
      </c>
      <c r="K44" s="2965" t="s">
        <v>2423</v>
      </c>
      <c r="L44" s="3004" t="s">
        <v>2424</v>
      </c>
      <c r="M44" s="2967"/>
      <c r="N44" s="3004" t="s">
        <v>2425</v>
      </c>
      <c r="O44" s="2967"/>
      <c r="P44" s="3004" t="s">
        <v>2426</v>
      </c>
      <c r="Q44" s="2969">
        <v>1.4999999999999999E-2</v>
      </c>
      <c r="R44" s="2970"/>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3.8"/>
  <cols>
    <col min="1" max="1" width="23.6640625" style="1477" customWidth="1"/>
    <col min="2" max="2" width="12" style="1477" customWidth="1"/>
    <col min="3" max="3" width="9" style="1477"/>
    <col min="4" max="4" width="14.109375" style="1477" customWidth="1"/>
    <col min="5" max="5" width="9" style="1477"/>
    <col min="6" max="6" width="12.88671875" style="1477" customWidth="1"/>
    <col min="7" max="16384" width="9" style="1477"/>
  </cols>
  <sheetData>
    <row r="1" spans="1:22" ht="21.6">
      <c r="A1" s="1867" t="s">
        <v>1658</v>
      </c>
      <c r="B1" s="1868"/>
      <c r="C1" s="1868"/>
      <c r="D1" s="1868"/>
      <c r="E1" s="1869"/>
      <c r="F1" s="2707"/>
      <c r="G1" s="1489"/>
      <c r="H1" s="1489"/>
      <c r="I1" s="1489"/>
      <c r="J1" s="1489"/>
      <c r="K1" s="1489"/>
      <c r="L1" s="1489"/>
      <c r="M1" s="1489"/>
      <c r="N1" s="1489"/>
      <c r="O1" s="1489"/>
      <c r="P1" s="1489"/>
      <c r="Q1" s="1489"/>
      <c r="R1" s="1489"/>
      <c r="S1" s="1489"/>
    </row>
    <row r="2" spans="1:22" ht="15.6">
      <c r="A2" s="1870" t="s">
        <v>1462</v>
      </c>
      <c r="B2" s="1871">
        <f ca="1">SUMIF(B6:B13,"&lt;&gt;#ref!",B6:B13)</f>
        <v>0</v>
      </c>
      <c r="C2" s="1872" t="s">
        <v>1651</v>
      </c>
      <c r="D2" s="1873" t="s">
        <v>1652</v>
      </c>
      <c r="E2" s="2607">
        <f>SUM(E6:E13)</f>
        <v>0</v>
      </c>
      <c r="F2" s="2707"/>
      <c r="G2" s="1489"/>
      <c r="H2" s="1489"/>
      <c r="I2" s="1489"/>
      <c r="J2" s="1489"/>
      <c r="K2" s="1489"/>
      <c r="L2" s="1489"/>
      <c r="M2" s="1489"/>
      <c r="N2" s="1489"/>
      <c r="O2" s="1489"/>
      <c r="P2" s="1489"/>
      <c r="Q2" s="1489"/>
      <c r="R2" s="1489"/>
      <c r="S2" s="1489"/>
    </row>
    <row r="3" spans="1:22" ht="15.6">
      <c r="A3" s="1870" t="s">
        <v>686</v>
      </c>
      <c r="B3" s="2601" t="e">
        <f ca="1">ROUND(B2*10000/E2,0)</f>
        <v>#DIV/0!</v>
      </c>
      <c r="C3" s="1872" t="s">
        <v>1659</v>
      </c>
      <c r="D3" s="2709"/>
      <c r="E3" s="2711"/>
      <c r="F3" s="2707"/>
      <c r="G3" s="1489"/>
      <c r="H3" s="1489"/>
      <c r="I3" s="1489"/>
      <c r="J3" s="1489"/>
      <c r="K3" s="1489"/>
      <c r="L3" s="1489"/>
      <c r="M3" s="1489"/>
      <c r="N3" s="1489"/>
      <c r="O3" s="1489"/>
      <c r="P3" s="1489"/>
      <c r="Q3" s="1489"/>
      <c r="R3" s="1489"/>
      <c r="S3" s="1489"/>
    </row>
    <row r="4" spans="1:22" ht="15.6">
      <c r="A4" s="2712"/>
      <c r="B4" s="2709"/>
      <c r="C4" s="2709"/>
      <c r="D4" s="2709"/>
      <c r="E4" s="2711"/>
      <c r="F4" s="2707"/>
      <c r="G4" s="1489"/>
      <c r="H4" s="1489"/>
      <c r="I4" s="1489"/>
      <c r="J4" s="1489"/>
      <c r="K4" s="1489"/>
      <c r="L4" s="1489"/>
      <c r="M4" s="1489"/>
      <c r="N4" s="1489"/>
      <c r="O4" s="1489"/>
      <c r="P4" s="1489"/>
      <c r="Q4" s="1489"/>
      <c r="R4" s="1489"/>
      <c r="S4" s="1489"/>
    </row>
    <row r="5" spans="1:22" ht="14.4">
      <c r="A5" s="2603" t="s">
        <v>1653</v>
      </c>
      <c r="B5" s="3924" t="s">
        <v>1654</v>
      </c>
      <c r="C5" s="3925"/>
      <c r="D5" s="2708"/>
      <c r="E5" s="1874" t="s">
        <v>1655</v>
      </c>
      <c r="F5" s="1875" t="s">
        <v>1656</v>
      </c>
      <c r="G5" s="1489"/>
      <c r="H5" s="1489"/>
      <c r="I5" s="1489"/>
      <c r="J5" s="1489"/>
      <c r="K5" s="1489"/>
      <c r="L5" s="1489"/>
      <c r="M5" s="1489"/>
      <c r="N5" s="1489"/>
      <c r="O5" s="1489"/>
      <c r="P5" s="1489"/>
      <c r="Q5" s="1489"/>
      <c r="R5" s="1489"/>
      <c r="S5" s="1489"/>
    </row>
    <row r="6" spans="1:22" ht="14.4">
      <c r="A6" s="2604">
        <f>'数据-取费表'!AN6</f>
        <v>0</v>
      </c>
      <c r="B6" s="2602" t="e">
        <f ca="1">IF(F6="是",'数据-取费表'!AO6,0)</f>
        <v>#REF!</v>
      </c>
      <c r="C6" s="1872" t="s">
        <v>1651</v>
      </c>
      <c r="D6" s="2709"/>
      <c r="E6" s="2606">
        <f>IF(OR(A6=0,F6="否"),0,'数据-取费表'!K6+'数据-取费表'!S6)</f>
        <v>0</v>
      </c>
      <c r="F6" s="1876" t="s">
        <v>1657</v>
      </c>
      <c r="G6" s="1489"/>
      <c r="H6" s="1489"/>
      <c r="I6" s="1489"/>
      <c r="J6" s="1489"/>
      <c r="K6" s="1489"/>
      <c r="L6" s="1489"/>
      <c r="M6" s="1489"/>
      <c r="N6" s="1489"/>
      <c r="O6" s="1489"/>
      <c r="P6" s="1489"/>
      <c r="Q6" s="1489"/>
      <c r="R6" s="1489"/>
      <c r="S6" s="1489"/>
    </row>
    <row r="7" spans="1:22" ht="14.4">
      <c r="A7" s="2604">
        <f>'数据-取费表'!AN7</f>
        <v>0</v>
      </c>
      <c r="B7" s="2602" t="e">
        <f ca="1">IF(F7="是",'数据-取费表'!AO7,0)</f>
        <v>#REF!</v>
      </c>
      <c r="C7" s="1872" t="s">
        <v>1651</v>
      </c>
      <c r="D7" s="2709"/>
      <c r="E7" s="2606">
        <f>IF(OR(A7=0,F7="否"),0,'数据-取费表'!K7+'数据-取费表'!S7)</f>
        <v>0</v>
      </c>
      <c r="F7" s="1876" t="s">
        <v>1657</v>
      </c>
      <c r="G7" s="1489"/>
      <c r="H7" s="1489"/>
      <c r="I7" s="1489"/>
      <c r="J7" s="1489"/>
      <c r="K7" s="1489"/>
      <c r="L7" s="1489"/>
      <c r="M7" s="1489"/>
      <c r="N7" s="1489"/>
      <c r="O7" s="1489"/>
      <c r="P7" s="1489"/>
      <c r="Q7" s="1489"/>
      <c r="R7" s="1489"/>
      <c r="S7" s="1489"/>
    </row>
    <row r="8" spans="1:22" ht="14.4">
      <c r="A8" s="2604">
        <f>'数据-取费表'!AN8</f>
        <v>0</v>
      </c>
      <c r="B8" s="2602" t="e">
        <f ca="1">IF(F8="是",'数据-取费表'!AO8,0)</f>
        <v>#REF!</v>
      </c>
      <c r="C8" s="1872" t="s">
        <v>1651</v>
      </c>
      <c r="D8" s="2709"/>
      <c r="E8" s="2606">
        <f>IF(OR(A8=0,F8="否"),0,'数据-取费表'!K8+'数据-取费表'!S8)</f>
        <v>0</v>
      </c>
      <c r="F8" s="1876" t="s">
        <v>1657</v>
      </c>
      <c r="G8" s="1489"/>
      <c r="H8" s="1489"/>
      <c r="I8" s="1489"/>
      <c r="J8" s="1489"/>
      <c r="K8" s="1489"/>
      <c r="L8" s="1489"/>
      <c r="M8" s="1489"/>
      <c r="N8" s="1489"/>
      <c r="O8" s="1489"/>
      <c r="P8" s="1489"/>
      <c r="Q8" s="1489"/>
      <c r="R8" s="1489"/>
      <c r="S8" s="1489"/>
    </row>
    <row r="9" spans="1:22" ht="14.4">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ht="14.4">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ht="14.4">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ht="14.4">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3.8"/>
  <cols>
    <col min="1" max="1" width="10.44140625" style="357" customWidth="1"/>
    <col min="2" max="3" width="15.77734375" style="357" customWidth="1"/>
    <col min="4" max="4" width="12.21875" style="357" customWidth="1"/>
    <col min="5" max="5" width="17.109375" style="357" customWidth="1"/>
    <col min="6" max="6" width="12.21875" style="357" customWidth="1"/>
    <col min="7" max="7" width="16.44140625" style="357" customWidth="1"/>
    <col min="8" max="8" width="12.21875" style="357" customWidth="1"/>
    <col min="9" max="9" width="15.6640625" style="357" customWidth="1"/>
    <col min="10" max="10" width="12.21875" style="357" customWidth="1"/>
    <col min="11" max="11" width="12.21875" style="444" customWidth="1"/>
    <col min="12" max="12" width="12.21875" style="445" customWidth="1"/>
    <col min="13" max="15" width="12.21875" style="357" customWidth="1"/>
    <col min="16" max="16" width="4.77734375" style="1916"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3" customFormat="1" ht="28.5" customHeight="1" thickBot="1">
      <c r="A1" s="1222" t="s">
        <v>1660</v>
      </c>
      <c r="B1" s="1878" t="s">
        <v>1661</v>
      </c>
      <c r="C1" s="1238" t="s">
        <v>1662</v>
      </c>
      <c r="D1" s="1225"/>
      <c r="E1" s="3426"/>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2414.4300000000003</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4.4">
      <c r="A4" s="355" t="s">
        <v>1666</v>
      </c>
      <c r="B4" s="356"/>
      <c r="C4" s="3853" t="s">
        <v>1667</v>
      </c>
      <c r="D4" s="3854"/>
      <c r="E4" s="3855" t="s">
        <v>1668</v>
      </c>
      <c r="F4" s="3856"/>
      <c r="G4" s="3853" t="s">
        <v>1669</v>
      </c>
      <c r="H4" s="3854"/>
      <c r="I4" s="3853" t="s">
        <v>1670</v>
      </c>
      <c r="J4" s="3854"/>
      <c r="K4" s="1889" t="s">
        <v>1671</v>
      </c>
      <c r="L4" s="2715"/>
      <c r="M4" s="2716"/>
      <c r="N4" s="2716"/>
      <c r="O4" s="2716"/>
      <c r="P4" s="3857" t="s">
        <v>1672</v>
      </c>
      <c r="Q4" s="3858"/>
      <c r="R4" s="3863" t="s">
        <v>1668</v>
      </c>
      <c r="S4" s="3864"/>
      <c r="T4" s="3863" t="s">
        <v>1669</v>
      </c>
      <c r="U4" s="3864"/>
      <c r="V4" s="3877" t="s">
        <v>1670</v>
      </c>
      <c r="W4" s="3877"/>
      <c r="X4" s="1355"/>
      <c r="Y4" s="3863" t="s">
        <v>1672</v>
      </c>
      <c r="Z4" s="3864"/>
      <c r="AA4" s="3850" t="s">
        <v>1668</v>
      </c>
      <c r="AB4" s="3850" t="s">
        <v>1669</v>
      </c>
      <c r="AC4" s="3850" t="s">
        <v>1670</v>
      </c>
    </row>
    <row r="5" spans="1:29">
      <c r="A5" s="358"/>
      <c r="B5" s="359"/>
      <c r="C5" s="3896" t="s">
        <v>1673</v>
      </c>
      <c r="D5" s="3868"/>
      <c r="E5" s="3926" t="s">
        <v>1674</v>
      </c>
      <c r="F5" s="3870"/>
      <c r="G5" s="3896" t="s">
        <v>1675</v>
      </c>
      <c r="H5" s="3868"/>
      <c r="I5" s="3896" t="s">
        <v>1676</v>
      </c>
      <c r="J5" s="3868"/>
      <c r="K5" s="1890"/>
      <c r="L5" s="2715"/>
      <c r="M5" s="2716"/>
      <c r="N5" s="2716"/>
      <c r="O5" s="2716"/>
      <c r="P5" s="3859"/>
      <c r="Q5" s="3860"/>
      <c r="R5" s="3865"/>
      <c r="S5" s="3866"/>
      <c r="T5" s="3865"/>
      <c r="U5" s="3866"/>
      <c r="V5" s="3877"/>
      <c r="W5" s="3877"/>
      <c r="X5" s="1355"/>
      <c r="Y5" s="3865"/>
      <c r="Z5" s="3866"/>
      <c r="AA5" s="3851"/>
      <c r="AB5" s="3851"/>
      <c r="AC5" s="3851"/>
    </row>
    <row r="6" spans="1:29" ht="15" thickBot="1">
      <c r="A6" s="360"/>
      <c r="B6" s="361"/>
      <c r="C6" s="3871" t="s">
        <v>1677</v>
      </c>
      <c r="D6" s="3872"/>
      <c r="E6" s="3873" t="s">
        <v>1677</v>
      </c>
      <c r="F6" s="3874"/>
      <c r="G6" s="3871" t="s">
        <v>1677</v>
      </c>
      <c r="H6" s="3872"/>
      <c r="I6" s="3871" t="s">
        <v>1677</v>
      </c>
      <c r="J6" s="3872"/>
      <c r="K6" s="1890" t="s">
        <v>1678</v>
      </c>
      <c r="L6" s="2715"/>
      <c r="M6" s="2716"/>
      <c r="N6" s="2716"/>
      <c r="O6" s="2716"/>
      <c r="P6" s="3861"/>
      <c r="Q6" s="3862"/>
      <c r="R6" s="3865"/>
      <c r="S6" s="3866"/>
      <c r="T6" s="3875"/>
      <c r="U6" s="3876"/>
      <c r="V6" s="3877"/>
      <c r="W6" s="3877"/>
      <c r="X6" s="1355"/>
      <c r="Y6" s="3875"/>
      <c r="Z6" s="3876"/>
      <c r="AA6" s="3852"/>
      <c r="AB6" s="3852"/>
      <c r="AC6" s="3852"/>
    </row>
    <row r="7" spans="1:29" s="108" customFormat="1" ht="15" thickBot="1">
      <c r="A7" s="362" t="s">
        <v>1679</v>
      </c>
      <c r="B7" s="363"/>
      <c r="C7" s="364">
        <f>'数据-取费表'!B2</f>
        <v>45478</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878" t="s">
        <v>1680</v>
      </c>
      <c r="Q7" s="3879"/>
      <c r="R7" s="701" t="s">
        <v>20</v>
      </c>
      <c r="S7" s="702">
        <f t="shared" ref="S7:S15" si="0">F7</f>
        <v>0</v>
      </c>
      <c r="T7" s="701" t="s">
        <v>20</v>
      </c>
      <c r="U7" s="702">
        <f t="shared" ref="U7:U15" si="1">H7</f>
        <v>0</v>
      </c>
      <c r="V7" s="701" t="s">
        <v>20</v>
      </c>
      <c r="W7" s="702">
        <f t="shared" ref="W7:W15" si="2">J7</f>
        <v>0</v>
      </c>
      <c r="X7" s="703"/>
      <c r="Y7" s="3878" t="s">
        <v>1680</v>
      </c>
      <c r="Z7" s="3880"/>
      <c r="AA7" s="704" t="e">
        <f>D7/F7</f>
        <v>#DIV/0!</v>
      </c>
      <c r="AB7" s="704" t="e">
        <f>D7/H7</f>
        <v>#DIV/0!</v>
      </c>
      <c r="AC7" s="704" t="e">
        <f>D7/J7</f>
        <v>#DIV/0!</v>
      </c>
    </row>
    <row r="8" spans="1:29" s="108" customFormat="1" ht="1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878" t="s">
        <v>1683</v>
      </c>
      <c r="Q8" s="3880"/>
      <c r="R8" s="701" t="s">
        <v>20</v>
      </c>
      <c r="S8" s="702">
        <f t="shared" si="0"/>
        <v>100</v>
      </c>
      <c r="T8" s="701" t="s">
        <v>20</v>
      </c>
      <c r="U8" s="702">
        <f t="shared" si="1"/>
        <v>100</v>
      </c>
      <c r="V8" s="701" t="s">
        <v>20</v>
      </c>
      <c r="W8" s="702">
        <f t="shared" si="2"/>
        <v>100</v>
      </c>
      <c r="X8" s="703"/>
      <c r="Y8" s="3878" t="s">
        <v>1683</v>
      </c>
      <c r="Z8" s="3880"/>
      <c r="AA8" s="704">
        <f t="shared" ref="AA8:AA19" si="3">D8/F8</f>
        <v>1</v>
      </c>
      <c r="AB8" s="704">
        <f t="shared" ref="AB8:AB19" si="4">D8/H8</f>
        <v>1</v>
      </c>
      <c r="AC8" s="704">
        <f t="shared" ref="AC8:AC19" si="5">D8/J8</f>
        <v>1</v>
      </c>
    </row>
    <row r="9" spans="1:29" s="108" customFormat="1" ht="14.4">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881" t="s">
        <v>1686</v>
      </c>
      <c r="Q9" s="1343" t="str">
        <f t="shared" ref="Q9:Q15" si="6">B9</f>
        <v>用途</v>
      </c>
      <c r="R9" s="701" t="s">
        <v>14</v>
      </c>
      <c r="S9" s="702">
        <f t="shared" si="0"/>
        <v>100</v>
      </c>
      <c r="T9" s="701" t="s">
        <v>14</v>
      </c>
      <c r="U9" s="702">
        <f t="shared" si="1"/>
        <v>100</v>
      </c>
      <c r="V9" s="701" t="s">
        <v>14</v>
      </c>
      <c r="W9" s="702">
        <f t="shared" si="2"/>
        <v>100</v>
      </c>
      <c r="X9" s="703"/>
      <c r="Y9" s="3706" t="s">
        <v>1687</v>
      </c>
      <c r="Z9" s="52" t="str">
        <f t="shared" ref="Z9:Z15" si="7">Q9</f>
        <v>用途</v>
      </c>
      <c r="AA9" s="704">
        <f t="shared" si="3"/>
        <v>1</v>
      </c>
      <c r="AB9" s="704">
        <f t="shared" si="4"/>
        <v>1</v>
      </c>
      <c r="AC9" s="704">
        <f t="shared" si="5"/>
        <v>1</v>
      </c>
    </row>
    <row r="10" spans="1:29" s="378" customFormat="1" ht="28.8">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881"/>
      <c r="Q10" s="1343" t="str">
        <f t="shared" si="6"/>
        <v>土地使用年限（年）</v>
      </c>
      <c r="R10" s="701" t="s">
        <v>14</v>
      </c>
      <c r="S10" s="702">
        <f t="shared" si="0"/>
        <v>100</v>
      </c>
      <c r="T10" s="701" t="s">
        <v>14</v>
      </c>
      <c r="U10" s="702">
        <f t="shared" si="1"/>
        <v>100</v>
      </c>
      <c r="V10" s="701" t="s">
        <v>14</v>
      </c>
      <c r="W10" s="702">
        <f t="shared" si="2"/>
        <v>100</v>
      </c>
      <c r="X10" s="703"/>
      <c r="Y10" s="3706"/>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881"/>
      <c r="Q11" s="1343" t="str">
        <f t="shared" si="6"/>
        <v>容积率</v>
      </c>
      <c r="R11" s="701" t="s">
        <v>18</v>
      </c>
      <c r="S11" s="702" t="e">
        <f t="shared" si="0"/>
        <v>#N/A</v>
      </c>
      <c r="T11" s="701" t="s">
        <v>18</v>
      </c>
      <c r="U11" s="702" t="e">
        <f t="shared" si="1"/>
        <v>#N/A</v>
      </c>
      <c r="V11" s="701" t="s">
        <v>18</v>
      </c>
      <c r="W11" s="702" t="e">
        <f t="shared" si="2"/>
        <v>#N/A</v>
      </c>
      <c r="X11" s="703"/>
      <c r="Y11" s="3706"/>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881"/>
      <c r="Q12" s="1343">
        <f t="shared" si="6"/>
        <v>111</v>
      </c>
      <c r="R12" s="701" t="s">
        <v>18</v>
      </c>
      <c r="S12" s="702">
        <f t="shared" si="0"/>
        <v>100</v>
      </c>
      <c r="T12" s="701" t="s">
        <v>18</v>
      </c>
      <c r="U12" s="702">
        <f t="shared" si="1"/>
        <v>100</v>
      </c>
      <c r="V12" s="701" t="s">
        <v>18</v>
      </c>
      <c r="W12" s="702">
        <f t="shared" si="2"/>
        <v>100</v>
      </c>
      <c r="X12" s="703"/>
      <c r="Y12" s="3706"/>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881"/>
      <c r="Q13" s="1343">
        <f t="shared" si="6"/>
        <v>111</v>
      </c>
      <c r="R13" s="701" t="s">
        <v>18</v>
      </c>
      <c r="S13" s="702">
        <f t="shared" si="0"/>
        <v>100</v>
      </c>
      <c r="T13" s="701" t="s">
        <v>18</v>
      </c>
      <c r="U13" s="702">
        <f t="shared" si="1"/>
        <v>100</v>
      </c>
      <c r="V13" s="701" t="s">
        <v>18</v>
      </c>
      <c r="W13" s="702">
        <f t="shared" si="2"/>
        <v>100</v>
      </c>
      <c r="X13" s="703"/>
      <c r="Y13" s="3706"/>
      <c r="Z13" s="52">
        <f t="shared" si="7"/>
        <v>111</v>
      </c>
      <c r="AA13" s="704">
        <f t="shared" si="3"/>
        <v>1</v>
      </c>
      <c r="AB13" s="704">
        <f t="shared" si="4"/>
        <v>1</v>
      </c>
      <c r="AC13" s="704">
        <f t="shared" si="5"/>
        <v>1</v>
      </c>
    </row>
    <row r="14" spans="1:29" ht="15.6"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881"/>
      <c r="Q14" s="1343">
        <f t="shared" si="6"/>
        <v>111</v>
      </c>
      <c r="R14" s="701" t="s">
        <v>18</v>
      </c>
      <c r="S14" s="702">
        <f t="shared" si="0"/>
        <v>100</v>
      </c>
      <c r="T14" s="701" t="s">
        <v>18</v>
      </c>
      <c r="U14" s="702">
        <f t="shared" si="1"/>
        <v>100</v>
      </c>
      <c r="V14" s="701" t="s">
        <v>18</v>
      </c>
      <c r="W14" s="702">
        <f t="shared" si="2"/>
        <v>100</v>
      </c>
      <c r="X14" s="703"/>
      <c r="Y14" s="3706"/>
      <c r="Z14" s="52">
        <f t="shared" si="7"/>
        <v>111</v>
      </c>
      <c r="AA14" s="704">
        <f t="shared" si="3"/>
        <v>1</v>
      </c>
      <c r="AB14" s="704">
        <f t="shared" si="4"/>
        <v>1</v>
      </c>
      <c r="AC14" s="704">
        <f t="shared" si="5"/>
        <v>1</v>
      </c>
    </row>
    <row r="15" spans="1:29" ht="96.6">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882" t="s">
        <v>1691</v>
      </c>
      <c r="Q15" s="1352" t="str">
        <f t="shared" si="6"/>
        <v>居住社区成熟度</v>
      </c>
      <c r="R15" s="705" t="s">
        <v>18</v>
      </c>
      <c r="S15" s="706">
        <f t="shared" si="0"/>
        <v>100</v>
      </c>
      <c r="T15" s="705" t="s">
        <v>18</v>
      </c>
      <c r="U15" s="706">
        <f t="shared" si="1"/>
        <v>100</v>
      </c>
      <c r="V15" s="705" t="s">
        <v>18</v>
      </c>
      <c r="W15" s="706">
        <f t="shared" si="2"/>
        <v>100</v>
      </c>
      <c r="X15" s="1355"/>
      <c r="Y15" s="3884"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883"/>
      <c r="Q16" s="1352"/>
      <c r="R16" s="705"/>
      <c r="S16" s="706"/>
      <c r="T16" s="705"/>
      <c r="U16" s="706"/>
      <c r="V16" s="705"/>
      <c r="W16" s="706"/>
      <c r="X16" s="1355"/>
      <c r="Y16" s="3885"/>
      <c r="Z16" s="1356"/>
      <c r="AA16" s="1353">
        <v>1</v>
      </c>
      <c r="AB16" s="1353">
        <v>1</v>
      </c>
      <c r="AC16" s="1353">
        <v>1</v>
      </c>
    </row>
    <row r="17" spans="1:29" ht="82.8">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883"/>
      <c r="Q17" s="1352" t="str">
        <f>B17</f>
        <v>交通便捷度</v>
      </c>
      <c r="R17" s="705" t="s">
        <v>18</v>
      </c>
      <c r="S17" s="706">
        <f>F17</f>
        <v>100</v>
      </c>
      <c r="T17" s="705" t="s">
        <v>18</v>
      </c>
      <c r="U17" s="706">
        <f>H17</f>
        <v>100</v>
      </c>
      <c r="V17" s="705" t="s">
        <v>18</v>
      </c>
      <c r="W17" s="706">
        <f>J17</f>
        <v>100</v>
      </c>
      <c r="X17" s="1355"/>
      <c r="Y17" s="3885"/>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883"/>
      <c r="Q18" s="1352"/>
      <c r="R18" s="705"/>
      <c r="S18" s="706"/>
      <c r="T18" s="705"/>
      <c r="U18" s="706"/>
      <c r="V18" s="705"/>
      <c r="W18" s="706"/>
      <c r="X18" s="1355"/>
      <c r="Y18" s="3885"/>
      <c r="Z18" s="1356"/>
      <c r="AA18" s="1353">
        <v>1</v>
      </c>
      <c r="AB18" s="1353">
        <v>1</v>
      </c>
      <c r="AC18" s="1353">
        <v>1</v>
      </c>
    </row>
    <row r="19" spans="1:29" ht="41.4">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883"/>
      <c r="Q19" s="1352" t="str">
        <f>B19</f>
        <v>公共配套设施</v>
      </c>
      <c r="R19" s="705" t="s">
        <v>18</v>
      </c>
      <c r="S19" s="706">
        <f>F19</f>
        <v>100</v>
      </c>
      <c r="T19" s="705" t="s">
        <v>18</v>
      </c>
      <c r="U19" s="706">
        <f>H19</f>
        <v>100</v>
      </c>
      <c r="V19" s="705" t="s">
        <v>18</v>
      </c>
      <c r="W19" s="706">
        <f>J19</f>
        <v>100</v>
      </c>
      <c r="X19" s="1355"/>
      <c r="Y19" s="3885"/>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883"/>
      <c r="Q20" s="1352"/>
      <c r="R20" s="705"/>
      <c r="S20" s="706"/>
      <c r="T20" s="705"/>
      <c r="U20" s="706"/>
      <c r="V20" s="705"/>
      <c r="W20" s="706"/>
      <c r="X20" s="1355"/>
      <c r="Y20" s="3885"/>
      <c r="Z20" s="1356"/>
      <c r="AA20" s="1353">
        <v>1</v>
      </c>
      <c r="AB20" s="1353">
        <v>1</v>
      </c>
      <c r="AC20" s="1353">
        <v>1</v>
      </c>
    </row>
    <row r="21" spans="1:29" ht="27.6">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883"/>
      <c r="Q21" s="1352" t="str">
        <f>B21</f>
        <v>基础设施水平</v>
      </c>
      <c r="R21" s="705" t="s">
        <v>14</v>
      </c>
      <c r="S21" s="706">
        <f>F21</f>
        <v>100</v>
      </c>
      <c r="T21" s="705" t="s">
        <v>14</v>
      </c>
      <c r="U21" s="706">
        <f>H21</f>
        <v>100</v>
      </c>
      <c r="V21" s="705" t="s">
        <v>14</v>
      </c>
      <c r="W21" s="706">
        <f>J21</f>
        <v>100</v>
      </c>
      <c r="X21" s="1355"/>
      <c r="Y21" s="3885"/>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883"/>
      <c r="Q22" s="1352"/>
      <c r="R22" s="705"/>
      <c r="S22" s="706"/>
      <c r="T22" s="705"/>
      <c r="U22" s="706"/>
      <c r="V22" s="705"/>
      <c r="W22" s="706"/>
      <c r="X22" s="1355"/>
      <c r="Y22" s="3885"/>
      <c r="Z22" s="1356"/>
      <c r="AA22" s="1353">
        <v>1</v>
      </c>
      <c r="AB22" s="1353">
        <v>1</v>
      </c>
      <c r="AC22" s="1353">
        <v>1</v>
      </c>
    </row>
    <row r="23" spans="1:29" ht="55.2">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883"/>
      <c r="Q23" s="1352" t="str">
        <f>B23</f>
        <v>自然及人文环境</v>
      </c>
      <c r="R23" s="705" t="s">
        <v>18</v>
      </c>
      <c r="S23" s="706">
        <f>F23</f>
        <v>100</v>
      </c>
      <c r="T23" s="705" t="s">
        <v>18</v>
      </c>
      <c r="U23" s="706">
        <f>H23</f>
        <v>100</v>
      </c>
      <c r="V23" s="705" t="s">
        <v>18</v>
      </c>
      <c r="W23" s="706">
        <f>J23</f>
        <v>100</v>
      </c>
      <c r="X23" s="1355"/>
      <c r="Y23" s="3885"/>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883"/>
      <c r="Q24" s="1352"/>
      <c r="R24" s="705"/>
      <c r="S24" s="706"/>
      <c r="T24" s="705"/>
      <c r="U24" s="706"/>
      <c r="V24" s="705"/>
      <c r="W24" s="706"/>
      <c r="X24" s="1355"/>
      <c r="Y24" s="3885"/>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883"/>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885"/>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883"/>
      <c r="Q26" s="1352" t="str">
        <f t="shared" si="11"/>
        <v>朝向</v>
      </c>
      <c r="R26" s="705" t="s">
        <v>18</v>
      </c>
      <c r="S26" s="706">
        <f t="shared" si="12"/>
        <v>100</v>
      </c>
      <c r="T26" s="705" t="s">
        <v>18</v>
      </c>
      <c r="U26" s="706">
        <f t="shared" si="13"/>
        <v>100</v>
      </c>
      <c r="V26" s="705" t="s">
        <v>18</v>
      </c>
      <c r="W26" s="706">
        <f t="shared" si="14"/>
        <v>100</v>
      </c>
      <c r="X26" s="1355"/>
      <c r="Y26" s="3885"/>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883"/>
      <c r="Q27" s="1343">
        <f t="shared" si="11"/>
        <v>111</v>
      </c>
      <c r="R27" s="701" t="s">
        <v>18</v>
      </c>
      <c r="S27" s="702">
        <f t="shared" si="12"/>
        <v>100</v>
      </c>
      <c r="T27" s="701" t="s">
        <v>18</v>
      </c>
      <c r="U27" s="702">
        <f t="shared" si="13"/>
        <v>100</v>
      </c>
      <c r="V27" s="701" t="s">
        <v>18</v>
      </c>
      <c r="W27" s="702">
        <f t="shared" si="14"/>
        <v>100</v>
      </c>
      <c r="X27" s="703"/>
      <c r="Y27" s="3885"/>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883"/>
      <c r="Q28" s="1352">
        <f t="shared" si="11"/>
        <v>111</v>
      </c>
      <c r="R28" s="705" t="s">
        <v>18</v>
      </c>
      <c r="S28" s="706">
        <f t="shared" si="12"/>
        <v>100</v>
      </c>
      <c r="T28" s="705" t="s">
        <v>18</v>
      </c>
      <c r="U28" s="706">
        <f t="shared" si="13"/>
        <v>100</v>
      </c>
      <c r="V28" s="705" t="s">
        <v>18</v>
      </c>
      <c r="W28" s="706">
        <f t="shared" si="14"/>
        <v>100</v>
      </c>
      <c r="X28" s="1355"/>
      <c r="Y28" s="3885"/>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883"/>
      <c r="Q29" s="1352">
        <f t="shared" si="11"/>
        <v>111</v>
      </c>
      <c r="R29" s="705" t="s">
        <v>18</v>
      </c>
      <c r="S29" s="706">
        <f t="shared" si="12"/>
        <v>100</v>
      </c>
      <c r="T29" s="705" t="s">
        <v>18</v>
      </c>
      <c r="U29" s="706">
        <f t="shared" si="13"/>
        <v>100</v>
      </c>
      <c r="V29" s="705" t="s">
        <v>18</v>
      </c>
      <c r="W29" s="706">
        <f t="shared" si="14"/>
        <v>100</v>
      </c>
      <c r="X29" s="1355"/>
      <c r="Y29" s="3885"/>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883"/>
      <c r="Q30" s="1352">
        <f t="shared" si="11"/>
        <v>111</v>
      </c>
      <c r="R30" s="705" t="s">
        <v>18</v>
      </c>
      <c r="S30" s="706">
        <f t="shared" si="12"/>
        <v>100</v>
      </c>
      <c r="T30" s="705" t="s">
        <v>18</v>
      </c>
      <c r="U30" s="706">
        <f t="shared" si="13"/>
        <v>100</v>
      </c>
      <c r="V30" s="705" t="s">
        <v>18</v>
      </c>
      <c r="W30" s="706">
        <f t="shared" si="14"/>
        <v>100</v>
      </c>
      <c r="X30" s="1355"/>
      <c r="Y30" s="3885"/>
      <c r="Z30" s="1356">
        <f t="shared" si="18"/>
        <v>111</v>
      </c>
      <c r="AA30" s="1353">
        <f t="shared" si="15"/>
        <v>1</v>
      </c>
      <c r="AB30" s="1353">
        <f t="shared" si="16"/>
        <v>1</v>
      </c>
      <c r="AC30" s="1353">
        <f t="shared" si="17"/>
        <v>1</v>
      </c>
    </row>
    <row r="31" spans="1:29" ht="15.6"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883"/>
      <c r="Q31" s="1352">
        <f t="shared" si="11"/>
        <v>111</v>
      </c>
      <c r="R31" s="705" t="s">
        <v>18</v>
      </c>
      <c r="S31" s="706">
        <f t="shared" si="12"/>
        <v>100</v>
      </c>
      <c r="T31" s="705" t="s">
        <v>18</v>
      </c>
      <c r="U31" s="706">
        <f t="shared" si="13"/>
        <v>100</v>
      </c>
      <c r="V31" s="705" t="s">
        <v>18</v>
      </c>
      <c r="W31" s="706">
        <f t="shared" si="14"/>
        <v>100</v>
      </c>
      <c r="X31" s="1355"/>
      <c r="Y31" s="3885"/>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886" t="s">
        <v>1696</v>
      </c>
      <c r="Q32" s="1352" t="str">
        <f t="shared" si="11"/>
        <v>建筑类型</v>
      </c>
      <c r="R32" s="705" t="s">
        <v>18</v>
      </c>
      <c r="S32" s="706">
        <f t="shared" si="12"/>
        <v>100</v>
      </c>
      <c r="T32" s="705" t="s">
        <v>18</v>
      </c>
      <c r="U32" s="706">
        <f t="shared" si="13"/>
        <v>100</v>
      </c>
      <c r="V32" s="705" t="s">
        <v>18</v>
      </c>
      <c r="W32" s="706">
        <f t="shared" si="14"/>
        <v>100</v>
      </c>
      <c r="X32" s="1355"/>
      <c r="Y32" s="3889"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887"/>
      <c r="Q33" s="707" t="str">
        <f t="shared" si="11"/>
        <v>项目建筑规模</v>
      </c>
      <c r="R33" s="708" t="s">
        <v>18</v>
      </c>
      <c r="S33" s="709" t="e">
        <f t="shared" si="12"/>
        <v>#N/A</v>
      </c>
      <c r="T33" s="708" t="s">
        <v>18</v>
      </c>
      <c r="U33" s="709" t="e">
        <f t="shared" si="13"/>
        <v>#N/A</v>
      </c>
      <c r="V33" s="708" t="s">
        <v>18</v>
      </c>
      <c r="W33" s="709" t="e">
        <f t="shared" si="14"/>
        <v>#N/A</v>
      </c>
      <c r="X33" s="710"/>
      <c r="Y33" s="3889"/>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887"/>
      <c r="Q34" s="1352" t="str">
        <f t="shared" si="11"/>
        <v>建筑结构</v>
      </c>
      <c r="R34" s="705" t="s">
        <v>18</v>
      </c>
      <c r="S34" s="706">
        <f t="shared" si="12"/>
        <v>100</v>
      </c>
      <c r="T34" s="705" t="s">
        <v>18</v>
      </c>
      <c r="U34" s="706">
        <f t="shared" si="13"/>
        <v>100</v>
      </c>
      <c r="V34" s="705" t="s">
        <v>18</v>
      </c>
      <c r="W34" s="706">
        <f t="shared" si="14"/>
        <v>100</v>
      </c>
      <c r="X34" s="1355"/>
      <c r="Y34" s="3889"/>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887"/>
      <c r="Q35" s="1352" t="str">
        <f t="shared" si="11"/>
        <v>建筑品质</v>
      </c>
      <c r="R35" s="705" t="s">
        <v>18</v>
      </c>
      <c r="S35" s="706">
        <f t="shared" si="12"/>
        <v>100</v>
      </c>
      <c r="T35" s="705" t="s">
        <v>18</v>
      </c>
      <c r="U35" s="706">
        <f t="shared" si="13"/>
        <v>100</v>
      </c>
      <c r="V35" s="705" t="s">
        <v>18</v>
      </c>
      <c r="W35" s="706">
        <f t="shared" si="14"/>
        <v>100</v>
      </c>
      <c r="X35" s="1355"/>
      <c r="Y35" s="3889"/>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887"/>
      <c r="Q36" s="1352" t="str">
        <f t="shared" si="11"/>
        <v>公共部分装修</v>
      </c>
      <c r="R36" s="705" t="s">
        <v>18</v>
      </c>
      <c r="S36" s="706">
        <f t="shared" si="12"/>
        <v>100</v>
      </c>
      <c r="T36" s="705" t="s">
        <v>18</v>
      </c>
      <c r="U36" s="706">
        <f t="shared" si="13"/>
        <v>100</v>
      </c>
      <c r="V36" s="705" t="s">
        <v>18</v>
      </c>
      <c r="W36" s="706">
        <f t="shared" si="14"/>
        <v>100</v>
      </c>
      <c r="X36" s="1355"/>
      <c r="Y36" s="3889"/>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887"/>
      <c r="Q37" s="1343" t="str">
        <f t="shared" si="11"/>
        <v>成新度</v>
      </c>
      <c r="R37" s="701" t="s">
        <v>18</v>
      </c>
      <c r="S37" s="702" t="e">
        <f t="shared" si="12"/>
        <v>#N/A</v>
      </c>
      <c r="T37" s="701" t="s">
        <v>18</v>
      </c>
      <c r="U37" s="702" t="e">
        <f t="shared" si="13"/>
        <v>#N/A</v>
      </c>
      <c r="V37" s="701" t="s">
        <v>18</v>
      </c>
      <c r="W37" s="702" t="e">
        <f t="shared" si="14"/>
        <v>#N/A</v>
      </c>
      <c r="X37" s="703"/>
      <c r="Y37" s="3889"/>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887" t="s">
        <v>1696</v>
      </c>
      <c r="Q38" s="1352" t="str">
        <f t="shared" si="11"/>
        <v>物业管理</v>
      </c>
      <c r="R38" s="705" t="s">
        <v>18</v>
      </c>
      <c r="S38" s="706">
        <f t="shared" si="12"/>
        <v>100</v>
      </c>
      <c r="T38" s="705" t="s">
        <v>18</v>
      </c>
      <c r="U38" s="706">
        <f t="shared" si="13"/>
        <v>100</v>
      </c>
      <c r="V38" s="705" t="s">
        <v>18</v>
      </c>
      <c r="W38" s="706">
        <f t="shared" si="14"/>
        <v>100</v>
      </c>
      <c r="X38" s="1355"/>
      <c r="Y38" s="3889"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887"/>
      <c r="Q39" s="1352" t="str">
        <f t="shared" si="11"/>
        <v>市政基础设施</v>
      </c>
      <c r="R39" s="705" t="s">
        <v>18</v>
      </c>
      <c r="S39" s="706">
        <f t="shared" si="12"/>
        <v>100</v>
      </c>
      <c r="T39" s="705" t="s">
        <v>18</v>
      </c>
      <c r="U39" s="706">
        <f t="shared" si="13"/>
        <v>100</v>
      </c>
      <c r="V39" s="705" t="s">
        <v>18</v>
      </c>
      <c r="W39" s="706">
        <f t="shared" si="14"/>
        <v>100</v>
      </c>
      <c r="X39" s="1355"/>
      <c r="Y39" s="3889"/>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887"/>
      <c r="Q40" s="1352" t="str">
        <f t="shared" si="11"/>
        <v>房型</v>
      </c>
      <c r="R40" s="705" t="s">
        <v>18</v>
      </c>
      <c r="S40" s="706">
        <f t="shared" si="12"/>
        <v>100</v>
      </c>
      <c r="T40" s="705" t="s">
        <v>18</v>
      </c>
      <c r="U40" s="706">
        <f t="shared" si="13"/>
        <v>100</v>
      </c>
      <c r="V40" s="705" t="s">
        <v>18</v>
      </c>
      <c r="W40" s="706">
        <f t="shared" si="14"/>
        <v>100</v>
      </c>
      <c r="X40" s="1355"/>
      <c r="Y40" s="3889"/>
      <c r="Z40" s="1356" t="str">
        <f t="shared" si="18"/>
        <v>房型</v>
      </c>
      <c r="AA40" s="1353">
        <f t="shared" si="15"/>
        <v>1</v>
      </c>
      <c r="AB40" s="1353">
        <f t="shared" si="16"/>
        <v>1</v>
      </c>
      <c r="AC40" s="1353">
        <f t="shared" si="17"/>
        <v>1</v>
      </c>
    </row>
    <row r="41" spans="1:29" s="422" customFormat="1" ht="28.8">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887"/>
      <c r="Q41" s="707" t="str">
        <f t="shared" si="11"/>
        <v>单套/主力户型建筑面积</v>
      </c>
      <c r="R41" s="708" t="s">
        <v>18</v>
      </c>
      <c r="S41" s="709">
        <f t="shared" si="12"/>
        <v>100</v>
      </c>
      <c r="T41" s="708" t="s">
        <v>18</v>
      </c>
      <c r="U41" s="709">
        <f t="shared" si="13"/>
        <v>100</v>
      </c>
      <c r="V41" s="708" t="s">
        <v>18</v>
      </c>
      <c r="W41" s="709">
        <f t="shared" si="14"/>
        <v>100</v>
      </c>
      <c r="X41" s="710"/>
      <c r="Y41" s="3889"/>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887"/>
      <c r="Q42" s="1352" t="str">
        <f t="shared" si="11"/>
        <v>内部装修</v>
      </c>
      <c r="R42" s="705" t="s">
        <v>18</v>
      </c>
      <c r="S42" s="706">
        <f t="shared" si="12"/>
        <v>100</v>
      </c>
      <c r="T42" s="705" t="s">
        <v>18</v>
      </c>
      <c r="U42" s="706">
        <f t="shared" si="13"/>
        <v>100</v>
      </c>
      <c r="V42" s="705" t="s">
        <v>18</v>
      </c>
      <c r="W42" s="706">
        <f t="shared" si="14"/>
        <v>100</v>
      </c>
      <c r="X42" s="1355"/>
      <c r="Y42" s="3889"/>
      <c r="Z42" s="1356" t="str">
        <f t="shared" si="18"/>
        <v>内部装修</v>
      </c>
      <c r="AA42" s="1353">
        <f t="shared" si="15"/>
        <v>1</v>
      </c>
      <c r="AB42" s="1353">
        <f t="shared" si="16"/>
        <v>1</v>
      </c>
      <c r="AC42" s="1353">
        <f t="shared" si="17"/>
        <v>1</v>
      </c>
    </row>
    <row r="43" spans="1:29" ht="28.8">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887"/>
      <c r="Q43" s="1352" t="str">
        <f t="shared" si="11"/>
        <v>内部装修维护情况</v>
      </c>
      <c r="R43" s="705" t="s">
        <v>18</v>
      </c>
      <c r="S43" s="706">
        <f t="shared" si="12"/>
        <v>100</v>
      </c>
      <c r="T43" s="705" t="s">
        <v>18</v>
      </c>
      <c r="U43" s="706">
        <f t="shared" si="13"/>
        <v>100</v>
      </c>
      <c r="V43" s="705" t="s">
        <v>18</v>
      </c>
      <c r="W43" s="706">
        <f t="shared" si="14"/>
        <v>100</v>
      </c>
      <c r="X43" s="1355"/>
      <c r="Y43" s="3889"/>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887"/>
      <c r="Q44" s="1343">
        <f t="shared" si="11"/>
        <v>111</v>
      </c>
      <c r="R44" s="701" t="s">
        <v>18</v>
      </c>
      <c r="S44" s="702">
        <f t="shared" si="12"/>
        <v>100</v>
      </c>
      <c r="T44" s="701" t="s">
        <v>18</v>
      </c>
      <c r="U44" s="702">
        <f t="shared" si="13"/>
        <v>100</v>
      </c>
      <c r="V44" s="701" t="s">
        <v>18</v>
      </c>
      <c r="W44" s="702">
        <f t="shared" si="14"/>
        <v>100</v>
      </c>
      <c r="X44" s="703"/>
      <c r="Y44" s="3889"/>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887"/>
      <c r="Q45" s="1352">
        <f t="shared" si="11"/>
        <v>111</v>
      </c>
      <c r="R45" s="705" t="s">
        <v>18</v>
      </c>
      <c r="S45" s="706">
        <f t="shared" si="12"/>
        <v>100</v>
      </c>
      <c r="T45" s="705" t="s">
        <v>18</v>
      </c>
      <c r="U45" s="706">
        <f t="shared" si="13"/>
        <v>100</v>
      </c>
      <c r="V45" s="705" t="s">
        <v>18</v>
      </c>
      <c r="W45" s="706">
        <f t="shared" si="14"/>
        <v>100</v>
      </c>
      <c r="X45" s="1355"/>
      <c r="Y45" s="3889"/>
      <c r="Z45" s="1356">
        <f t="shared" si="18"/>
        <v>111</v>
      </c>
      <c r="AA45" s="1353">
        <f t="shared" si="15"/>
        <v>1</v>
      </c>
      <c r="AB45" s="1353">
        <f t="shared" si="16"/>
        <v>1</v>
      </c>
      <c r="AC45" s="1353">
        <f t="shared" si="17"/>
        <v>1</v>
      </c>
    </row>
    <row r="46" spans="1:29" ht="15.6"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888"/>
      <c r="Q46" s="1352">
        <f t="shared" si="11"/>
        <v>111</v>
      </c>
      <c r="R46" s="705" t="s">
        <v>17</v>
      </c>
      <c r="S46" s="706">
        <f t="shared" si="12"/>
        <v>100</v>
      </c>
      <c r="T46" s="705" t="s">
        <v>17</v>
      </c>
      <c r="U46" s="706">
        <f t="shared" si="13"/>
        <v>100</v>
      </c>
      <c r="V46" s="705" t="s">
        <v>17</v>
      </c>
      <c r="W46" s="706">
        <f t="shared" si="14"/>
        <v>100</v>
      </c>
      <c r="X46" s="1355"/>
      <c r="Y46" s="3890"/>
      <c r="Z46" s="1356">
        <f t="shared" si="18"/>
        <v>111</v>
      </c>
      <c r="AA46" s="1353">
        <f t="shared" si="15"/>
        <v>1</v>
      </c>
      <c r="AB46" s="1353">
        <f t="shared" si="16"/>
        <v>1</v>
      </c>
      <c r="AC46" s="1353">
        <f t="shared" si="17"/>
        <v>1</v>
      </c>
    </row>
    <row r="47" spans="1:29" ht="14.4">
      <c r="A47" s="430" t="s">
        <v>1708</v>
      </c>
      <c r="B47" s="431"/>
      <c r="C47" s="1154" t="s">
        <v>16</v>
      </c>
      <c r="D47" s="1155"/>
      <c r="E47" s="1156"/>
      <c r="F47" s="1157"/>
      <c r="G47" s="1158"/>
      <c r="H47" s="1159"/>
      <c r="I47" s="1156"/>
      <c r="J47" s="1159"/>
      <c r="K47" s="1914"/>
      <c r="L47" s="2724"/>
      <c r="M47" s="2725"/>
      <c r="N47" s="2716"/>
      <c r="O47" s="2725"/>
      <c r="P47" s="3891" t="str">
        <f>A47</f>
        <v>成交单价（元/平方米）</v>
      </c>
      <c r="Q47" s="3891"/>
      <c r="R47" s="3892">
        <f>E47</f>
        <v>0</v>
      </c>
      <c r="S47" s="3892"/>
      <c r="T47" s="3892">
        <f>G47</f>
        <v>0</v>
      </c>
      <c r="U47" s="3892"/>
      <c r="V47" s="3892">
        <f>I47</f>
        <v>0</v>
      </c>
      <c r="W47" s="3892"/>
      <c r="X47" s="690"/>
      <c r="Y47" s="712"/>
      <c r="Z47" s="690"/>
      <c r="AA47" s="690"/>
      <c r="AB47" s="690"/>
      <c r="AC47" s="690"/>
    </row>
    <row r="48" spans="1:29" ht="15" thickBot="1">
      <c r="A48" s="437" t="s">
        <v>1709</v>
      </c>
      <c r="B48" s="438"/>
      <c r="C48" s="1160" t="e">
        <f>R49</f>
        <v>#DIV/0!</v>
      </c>
      <c r="D48" s="2317" t="s">
        <v>2138</v>
      </c>
      <c r="E48" s="1161" t="e">
        <f>R48</f>
        <v>#DIV/0!</v>
      </c>
      <c r="F48" s="2318"/>
      <c r="G48" s="1160" t="e">
        <f>T48</f>
        <v>#DIV/0!</v>
      </c>
      <c r="H48" s="2318"/>
      <c r="I48" s="1161" t="e">
        <f>V48</f>
        <v>#DIV/0!</v>
      </c>
      <c r="J48" s="2318"/>
      <c r="K48" s="2319">
        <f>F48+H48+J48</f>
        <v>0</v>
      </c>
      <c r="L48" s="2724"/>
      <c r="M48" s="2725"/>
      <c r="N48" s="2725"/>
      <c r="O48" s="2725"/>
      <c r="P48" s="3891" t="str">
        <f>A48</f>
        <v>比较价值（元/平方米）</v>
      </c>
      <c r="Q48" s="3891"/>
      <c r="R48" s="3892" t="e">
        <f>IF(F1="售价",ROUND(PRODUCT(R47,AA7:AA46),0),ROUND(PRODUCT(R47,AA7:AA46),1))</f>
        <v>#DIV/0!</v>
      </c>
      <c r="S48" s="3892"/>
      <c r="T48" s="3892" t="e">
        <f>IF(F1="售价",ROUND(PRODUCT(T47,AB7:AB46),0),ROUND(PRODUCT(T47,AB7:AB46),1))</f>
        <v>#DIV/0!</v>
      </c>
      <c r="U48" s="3892"/>
      <c r="V48" s="3892" t="e">
        <f>IF(F1="售价",ROUND(PRODUCT(V47,AC7:AC46),0),ROUND(PRODUCT(V47,AC7:AC46),1))</f>
        <v>#DIV/0!</v>
      </c>
      <c r="W48" s="3892"/>
      <c r="X48" s="690"/>
      <c r="Y48" s="690"/>
      <c r="Z48" s="690"/>
      <c r="AA48" s="690"/>
      <c r="AB48" s="690"/>
      <c r="AC48" s="690"/>
    </row>
    <row r="49" spans="1:29" ht="15" thickBot="1">
      <c r="A49" s="441" t="s">
        <v>1710</v>
      </c>
      <c r="B49" s="442"/>
      <c r="C49" s="1162" t="e">
        <f>R49</f>
        <v>#DIV/0!</v>
      </c>
      <c r="D49" s="1163"/>
      <c r="E49" s="1163"/>
      <c r="F49" s="1163"/>
      <c r="G49" s="1163"/>
      <c r="H49" s="1163"/>
      <c r="I49" s="1163"/>
      <c r="J49" s="1163"/>
      <c r="K49" s="1915"/>
      <c r="L49" s="2724"/>
      <c r="M49" s="2725"/>
      <c r="N49" s="2725"/>
      <c r="O49" s="2725"/>
      <c r="P49" s="3893" t="str">
        <f>A49</f>
        <v>估价对象XX用房的比较价值（楼面单价，元/平方米）</v>
      </c>
      <c r="Q49" s="3894"/>
      <c r="R49" s="3895" t="e">
        <f>IF(F1="售价",ROUND(IF(D48="简单平均",AVERAGE(R48:V48),R48*F48+T48*H48+V48*J48),0),ROUND(IF(D48="简单平均",AVERAGE(R48:V48),R48*F48+T48*H48+V48*J48),1))</f>
        <v>#DIV/0!</v>
      </c>
      <c r="S49" s="3895"/>
      <c r="T49" s="3895"/>
      <c r="U49" s="3895"/>
      <c r="V49" s="3895"/>
      <c r="W49" s="3895"/>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2.2" thickBot="1">
      <c r="A57" s="694" t="s">
        <v>1714</v>
      </c>
      <c r="B57" s="690"/>
      <c r="C57" s="695"/>
      <c r="D57" s="695"/>
      <c r="E57" s="695"/>
      <c r="F57" s="696"/>
      <c r="G57" s="696"/>
      <c r="H57" s="695"/>
      <c r="I57" s="695"/>
      <c r="J57" s="695"/>
      <c r="K57" s="941"/>
      <c r="L57" s="942"/>
      <c r="M57" s="940"/>
      <c r="N57" s="940"/>
      <c r="O57" s="940"/>
      <c r="P57" s="1918"/>
      <c r="Q57" s="453"/>
    </row>
    <row r="58" spans="1:29" s="457" customFormat="1" ht="14.4">
      <c r="A58" s="454" t="s">
        <v>1715</v>
      </c>
      <c r="B58" s="455"/>
      <c r="C58" s="1186" t="str">
        <f>YEAR(C7)&amp;"-"&amp;MONTH(C7)</f>
        <v>2024-7</v>
      </c>
      <c r="D58" s="1185">
        <f>EDATE(C58,-1)</f>
        <v>45444</v>
      </c>
      <c r="E58" s="1185">
        <f>EDATE(D58,-1)</f>
        <v>45413</v>
      </c>
      <c r="F58" s="1185">
        <f t="shared" ref="F58:O58" si="19">EDATE(E58,-1)</f>
        <v>45383</v>
      </c>
      <c r="G58" s="1185">
        <f t="shared" si="19"/>
        <v>45352</v>
      </c>
      <c r="H58" s="1185">
        <f t="shared" si="19"/>
        <v>45323</v>
      </c>
      <c r="I58" s="1185">
        <f t="shared" si="19"/>
        <v>45292</v>
      </c>
      <c r="J58" s="1185">
        <f t="shared" si="19"/>
        <v>45261</v>
      </c>
      <c r="K58" s="1185">
        <f t="shared" si="19"/>
        <v>45231</v>
      </c>
      <c r="L58" s="1185">
        <f t="shared" si="19"/>
        <v>45200</v>
      </c>
      <c r="M58" s="1185">
        <f t="shared" si="19"/>
        <v>45170</v>
      </c>
      <c r="N58" s="1185">
        <f t="shared" si="19"/>
        <v>45139</v>
      </c>
      <c r="O58" s="1185">
        <f t="shared" si="19"/>
        <v>45108</v>
      </c>
      <c r="P58" s="1181"/>
    </row>
    <row r="59" spans="1:29" s="108" customFormat="1">
      <c r="A59" s="458"/>
      <c r="B59" s="1919"/>
      <c r="C59" s="1183">
        <v>100</v>
      </c>
      <c r="D59" s="460"/>
      <c r="E59" s="461"/>
      <c r="F59" s="461"/>
      <c r="G59" s="461"/>
      <c r="H59" s="461"/>
      <c r="I59" s="461"/>
      <c r="J59" s="461"/>
      <c r="K59" s="461"/>
      <c r="L59" s="461"/>
      <c r="M59" s="462"/>
      <c r="N59" s="461"/>
      <c r="O59" s="462"/>
      <c r="P59" s="1920"/>
    </row>
    <row r="60" spans="1:29" s="108" customFormat="1" ht="15" thickBot="1">
      <c r="A60" s="464" t="s">
        <v>1716</v>
      </c>
      <c r="B60" s="465"/>
      <c r="C60" s="466"/>
      <c r="D60" s="467"/>
      <c r="E60" s="467"/>
      <c r="F60" s="467"/>
      <c r="G60" s="467"/>
      <c r="H60" s="467"/>
      <c r="I60" s="467"/>
      <c r="J60" s="467"/>
      <c r="K60" s="467"/>
      <c r="L60" s="467"/>
      <c r="M60" s="468"/>
      <c r="N60" s="467"/>
      <c r="O60" s="468"/>
      <c r="P60" s="1920"/>
      <c r="Q60" s="453"/>
    </row>
    <row r="61" spans="1:29" s="108" customFormat="1" ht="14.4">
      <c r="A61" s="470" t="s">
        <v>1717</v>
      </c>
      <c r="B61" s="459"/>
      <c r="C61" s="471" t="s">
        <v>1718</v>
      </c>
      <c r="D61" s="472"/>
      <c r="E61" s="472"/>
      <c r="F61" s="472"/>
      <c r="G61" s="472"/>
      <c r="H61" s="472"/>
      <c r="I61" s="472"/>
      <c r="J61" s="472"/>
      <c r="K61" s="472"/>
      <c r="L61" s="473"/>
      <c r="M61" s="474"/>
      <c r="N61" s="932"/>
      <c r="O61" s="932"/>
      <c r="P61" s="1921"/>
      <c r="Q61" s="453"/>
    </row>
    <row r="62" spans="1:29" s="108" customFormat="1" ht="14.4" thickBot="1">
      <c r="A62" s="470"/>
      <c r="B62" s="459"/>
      <c r="C62" s="460">
        <v>100</v>
      </c>
      <c r="D62" s="461"/>
      <c r="E62" s="461"/>
      <c r="F62" s="461"/>
      <c r="G62" s="461"/>
      <c r="H62" s="461"/>
      <c r="I62" s="461"/>
      <c r="J62" s="461"/>
      <c r="K62" s="461"/>
      <c r="L62" s="461"/>
      <c r="M62" s="463"/>
      <c r="N62" s="932"/>
      <c r="O62" s="932"/>
      <c r="P62" s="1920"/>
      <c r="Q62" s="453"/>
    </row>
    <row r="63" spans="1:29" ht="14.4">
      <c r="A63" s="476" t="s">
        <v>1719</v>
      </c>
      <c r="B63" s="477" t="s">
        <v>1685</v>
      </c>
      <c r="C63" s="478">
        <f>C9</f>
        <v>0</v>
      </c>
      <c r="D63" s="479"/>
      <c r="E63" s="479"/>
      <c r="F63" s="479"/>
      <c r="G63" s="479"/>
      <c r="H63" s="479"/>
      <c r="I63" s="479"/>
      <c r="J63" s="479"/>
      <c r="K63" s="480"/>
      <c r="L63" s="481"/>
      <c r="M63" s="482"/>
      <c r="N63" s="933"/>
      <c r="O63" s="933"/>
      <c r="P63" s="1922"/>
      <c r="Q63" s="453"/>
    </row>
    <row r="64" spans="1:29" ht="14.4" thickBot="1">
      <c r="A64" s="483"/>
      <c r="B64" s="484"/>
      <c r="C64" s="485">
        <v>100</v>
      </c>
      <c r="D64" s="485"/>
      <c r="E64" s="485"/>
      <c r="F64" s="485"/>
      <c r="G64" s="485"/>
      <c r="H64" s="485"/>
      <c r="I64" s="485"/>
      <c r="J64" s="485"/>
      <c r="K64" s="485"/>
      <c r="L64" s="485"/>
      <c r="M64" s="486"/>
      <c r="N64" s="934"/>
      <c r="O64" s="934"/>
      <c r="P64" s="1922"/>
      <c r="Q64" s="453"/>
    </row>
    <row r="65" spans="1:17" ht="29.4" thickTop="1">
      <c r="A65" s="483"/>
      <c r="B65" s="487" t="s">
        <v>1688</v>
      </c>
      <c r="C65" s="532"/>
      <c r="D65" s="532"/>
      <c r="E65" s="532"/>
      <c r="F65" s="532"/>
      <c r="G65" s="532"/>
      <c r="H65" s="532"/>
      <c r="I65" s="532"/>
      <c r="J65" s="532"/>
      <c r="K65" s="532"/>
      <c r="L65" s="532"/>
      <c r="M65" s="532"/>
      <c r="N65" s="934"/>
      <c r="O65" s="934"/>
      <c r="P65" s="1922"/>
      <c r="Q65" s="453"/>
    </row>
    <row r="66" spans="1:17" ht="14.4" thickBot="1">
      <c r="A66" s="483"/>
      <c r="B66" s="492"/>
      <c r="C66" s="485"/>
      <c r="D66" s="485"/>
      <c r="E66" s="485"/>
      <c r="F66" s="485"/>
      <c r="G66" s="485"/>
      <c r="H66" s="485"/>
      <c r="I66" s="485"/>
      <c r="J66" s="485"/>
      <c r="K66" s="485"/>
      <c r="L66" s="485"/>
      <c r="M66" s="486"/>
      <c r="N66" s="934"/>
      <c r="O66" s="934"/>
      <c r="P66" s="1922"/>
      <c r="Q66" s="453"/>
    </row>
    <row r="67" spans="1:17" ht="1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c r="A68" s="483"/>
      <c r="B68" s="497"/>
      <c r="C68" s="498"/>
      <c r="D68" s="498"/>
      <c r="E68" s="498"/>
      <c r="F68" s="498"/>
      <c r="G68" s="498"/>
      <c r="H68" s="498"/>
      <c r="I68" s="498"/>
      <c r="J68" s="498"/>
      <c r="K68" s="499"/>
      <c r="L68" s="500"/>
      <c r="M68" s="501"/>
      <c r="N68" s="933"/>
      <c r="O68" s="933"/>
      <c r="P68" s="1922"/>
      <c r="Q68" s="453"/>
    </row>
    <row r="69" spans="1:17" ht="14.4"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4.4" thickTop="1">
      <c r="A70" s="502"/>
      <c r="B70" s="487">
        <f>B12</f>
        <v>111</v>
      </c>
      <c r="C70" s="503"/>
      <c r="D70" s="503"/>
      <c r="E70" s="503"/>
      <c r="F70" s="503"/>
      <c r="G70" s="503"/>
      <c r="H70" s="504"/>
      <c r="I70" s="504"/>
      <c r="J70" s="504"/>
      <c r="K70" s="504"/>
      <c r="L70" s="505"/>
      <c r="M70" s="506"/>
      <c r="N70" s="935"/>
      <c r="O70" s="935"/>
      <c r="P70" s="1923"/>
      <c r="Q70" s="508"/>
    </row>
    <row r="71" spans="1:17" s="422" customFormat="1" ht="14.4" thickBot="1">
      <c r="A71" s="502"/>
      <c r="B71" s="492"/>
      <c r="C71" s="509"/>
      <c r="D71" s="485"/>
      <c r="E71" s="485"/>
      <c r="F71" s="485"/>
      <c r="G71" s="485"/>
      <c r="H71" s="485"/>
      <c r="I71" s="485"/>
      <c r="J71" s="485"/>
      <c r="K71" s="485"/>
      <c r="L71" s="485"/>
      <c r="M71" s="486"/>
      <c r="N71" s="934"/>
      <c r="O71" s="934"/>
      <c r="P71" s="1923"/>
      <c r="Q71" s="508"/>
    </row>
    <row r="72" spans="1:17" s="422" customFormat="1" ht="14.4" thickTop="1">
      <c r="A72" s="502"/>
      <c r="B72" s="487">
        <f>B13</f>
        <v>111</v>
      </c>
      <c r="C72" s="503"/>
      <c r="D72" s="503"/>
      <c r="E72" s="503"/>
      <c r="F72" s="503"/>
      <c r="G72" s="503"/>
      <c r="H72" s="504"/>
      <c r="I72" s="504"/>
      <c r="J72" s="504"/>
      <c r="K72" s="504"/>
      <c r="L72" s="505"/>
      <c r="M72" s="506"/>
      <c r="N72" s="935"/>
      <c r="O72" s="935"/>
      <c r="P72" s="1924"/>
      <c r="Q72" s="510"/>
    </row>
    <row r="73" spans="1:17" s="422" customFormat="1" ht="14.4" thickBot="1">
      <c r="A73" s="502"/>
      <c r="B73" s="492"/>
      <c r="C73" s="509"/>
      <c r="D73" s="509"/>
      <c r="E73" s="509"/>
      <c r="F73" s="509"/>
      <c r="G73" s="509"/>
      <c r="H73" s="511"/>
      <c r="I73" s="511"/>
      <c r="J73" s="511"/>
      <c r="K73" s="511"/>
      <c r="L73" s="511"/>
      <c r="M73" s="512"/>
      <c r="N73" s="935"/>
      <c r="O73" s="935"/>
      <c r="P73" s="1923"/>
      <c r="Q73" s="508"/>
    </row>
    <row r="74" spans="1:17" s="422" customFormat="1" ht="14.4" thickTop="1">
      <c r="A74" s="502"/>
      <c r="B74" s="495">
        <f>B14</f>
        <v>111</v>
      </c>
      <c r="C74" s="503"/>
      <c r="D74" s="503"/>
      <c r="E74" s="503"/>
      <c r="F74" s="503"/>
      <c r="G74" s="472"/>
      <c r="H74" s="513"/>
      <c r="I74" s="513"/>
      <c r="J74" s="513"/>
      <c r="K74" s="513"/>
      <c r="L74" s="514"/>
      <c r="M74" s="515"/>
      <c r="N74" s="935"/>
      <c r="O74" s="935"/>
      <c r="P74" s="1925"/>
      <c r="Q74" s="508"/>
    </row>
    <row r="75" spans="1:17" s="422" customFormat="1" ht="14.4" thickBot="1">
      <c r="A75" s="517"/>
      <c r="B75" s="518"/>
      <c r="C75" s="519"/>
      <c r="D75" s="519"/>
      <c r="E75" s="519"/>
      <c r="F75" s="519"/>
      <c r="G75" s="519"/>
      <c r="H75" s="520"/>
      <c r="I75" s="520"/>
      <c r="J75" s="520"/>
      <c r="K75" s="520"/>
      <c r="L75" s="520"/>
      <c r="M75" s="521"/>
      <c r="N75" s="935"/>
      <c r="O75" s="935"/>
      <c r="P75" s="1923"/>
      <c r="Q75" s="508"/>
    </row>
    <row r="76" spans="1:17" ht="14.4">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4.4"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4.4"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4.4"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4.4"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4.4"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 thickTop="1">
      <c r="A86" s="528"/>
      <c r="B86" s="487" t="s">
        <v>1734</v>
      </c>
      <c r="C86" s="503"/>
      <c r="D86" s="503"/>
      <c r="E86" s="503"/>
      <c r="F86" s="503"/>
      <c r="G86" s="503"/>
      <c r="H86" s="503"/>
      <c r="I86" s="503"/>
      <c r="J86" s="503"/>
      <c r="K86" s="503"/>
      <c r="L86" s="529"/>
      <c r="M86" s="530"/>
      <c r="N86" s="932"/>
      <c r="O86" s="932"/>
      <c r="P86" s="1922"/>
      <c r="Q86" s="453"/>
    </row>
    <row r="87" spans="1:17" s="108" customFormat="1" ht="14.4"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 thickTop="1">
      <c r="A88" s="528"/>
      <c r="B88" s="487" t="s">
        <v>1735</v>
      </c>
      <c r="C88" s="503"/>
      <c r="D88" s="503"/>
      <c r="E88" s="503"/>
      <c r="F88" s="1927"/>
      <c r="G88" s="503"/>
      <c r="H88" s="503"/>
      <c r="I88" s="503"/>
      <c r="J88" s="503"/>
      <c r="K88" s="503"/>
      <c r="L88" s="503"/>
      <c r="M88" s="530"/>
      <c r="N88" s="932"/>
      <c r="O88" s="932"/>
      <c r="P88" s="1922"/>
      <c r="Q88" s="453"/>
    </row>
    <row r="89" spans="1:17" s="108" customFormat="1" ht="14.4"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4.4" thickTop="1">
      <c r="A90" s="502"/>
      <c r="B90" s="487">
        <f>B27</f>
        <v>111</v>
      </c>
      <c r="C90" s="503"/>
      <c r="D90" s="503"/>
      <c r="E90" s="503"/>
      <c r="F90" s="503"/>
      <c r="G90" s="503"/>
      <c r="H90" s="504"/>
      <c r="I90" s="504"/>
      <c r="J90" s="504"/>
      <c r="K90" s="504"/>
      <c r="L90" s="505"/>
      <c r="M90" s="506"/>
      <c r="N90" s="935"/>
      <c r="O90" s="935"/>
      <c r="P90" s="1923"/>
      <c r="Q90" s="508"/>
    </row>
    <row r="91" spans="1:17" s="422" customFormat="1" ht="14.4" thickBot="1">
      <c r="A91" s="502"/>
      <c r="B91" s="492"/>
      <c r="C91" s="509"/>
      <c r="D91" s="509"/>
      <c r="E91" s="509"/>
      <c r="F91" s="509"/>
      <c r="G91" s="509"/>
      <c r="H91" s="511"/>
      <c r="I91" s="511"/>
      <c r="J91" s="511"/>
      <c r="K91" s="511"/>
      <c r="L91" s="511"/>
      <c r="M91" s="512"/>
      <c r="N91" s="935"/>
      <c r="O91" s="935"/>
      <c r="P91" s="1923"/>
      <c r="Q91" s="508"/>
    </row>
    <row r="92" spans="1:17" ht="14.4" thickTop="1">
      <c r="A92" s="483"/>
      <c r="B92" s="487">
        <f>B28</f>
        <v>111</v>
      </c>
      <c r="C92" s="503"/>
      <c r="D92" s="503"/>
      <c r="E92" s="503"/>
      <c r="F92" s="503"/>
      <c r="G92" s="532"/>
      <c r="H92" s="532"/>
      <c r="I92" s="532"/>
      <c r="J92" s="532"/>
      <c r="K92" s="533"/>
      <c r="L92" s="534"/>
      <c r="M92" s="535"/>
      <c r="N92" s="933"/>
      <c r="O92" s="933"/>
      <c r="P92" s="1922"/>
      <c r="Q92" s="453"/>
    </row>
    <row r="93" spans="1:17" ht="14.4" thickBot="1">
      <c r="A93" s="483"/>
      <c r="B93" s="492"/>
      <c r="C93" s="509"/>
      <c r="D93" s="485"/>
      <c r="E93" s="485"/>
      <c r="F93" s="485"/>
      <c r="G93" s="485"/>
      <c r="H93" s="485"/>
      <c r="I93" s="485"/>
      <c r="J93" s="485"/>
      <c r="K93" s="485"/>
      <c r="L93" s="485"/>
      <c r="M93" s="486"/>
      <c r="N93" s="934"/>
      <c r="O93" s="934"/>
      <c r="P93" s="1922"/>
      <c r="Q93" s="453"/>
    </row>
    <row r="94" spans="1:17" ht="14.4" thickTop="1">
      <c r="A94" s="483"/>
      <c r="B94" s="487">
        <f>B29</f>
        <v>111</v>
      </c>
      <c r="C94" s="503"/>
      <c r="D94" s="503"/>
      <c r="E94" s="503"/>
      <c r="F94" s="503"/>
      <c r="G94" s="532"/>
      <c r="H94" s="532"/>
      <c r="I94" s="532"/>
      <c r="J94" s="532"/>
      <c r="K94" s="533"/>
      <c r="L94" s="534"/>
      <c r="M94" s="535"/>
      <c r="N94" s="933"/>
      <c r="O94" s="933"/>
      <c r="P94" s="1922"/>
      <c r="Q94" s="453"/>
    </row>
    <row r="95" spans="1:17" ht="14.4" thickBot="1">
      <c r="A95" s="483"/>
      <c r="B95" s="492"/>
      <c r="C95" s="509"/>
      <c r="D95" s="509"/>
      <c r="E95" s="509"/>
      <c r="F95" s="509"/>
      <c r="G95" s="485"/>
      <c r="H95" s="485"/>
      <c r="I95" s="485"/>
      <c r="J95" s="485"/>
      <c r="K95" s="485"/>
      <c r="L95" s="485"/>
      <c r="M95" s="486"/>
      <c r="N95" s="934"/>
      <c r="O95" s="934"/>
      <c r="P95" s="1922"/>
      <c r="Q95" s="453"/>
    </row>
    <row r="96" spans="1:17" ht="14.4" thickTop="1">
      <c r="A96" s="483"/>
      <c r="B96" s="487">
        <f>B30</f>
        <v>111</v>
      </c>
      <c r="C96" s="503"/>
      <c r="D96" s="503"/>
      <c r="E96" s="503"/>
      <c r="F96" s="503"/>
      <c r="G96" s="532"/>
      <c r="H96" s="532"/>
      <c r="I96" s="532"/>
      <c r="J96" s="532"/>
      <c r="K96" s="533"/>
      <c r="L96" s="534"/>
      <c r="M96" s="535"/>
      <c r="N96" s="933"/>
      <c r="O96" s="933"/>
      <c r="P96" s="1922"/>
      <c r="Q96" s="453"/>
    </row>
    <row r="97" spans="1:17" ht="14.4" thickBot="1">
      <c r="A97" s="483"/>
      <c r="B97" s="492"/>
      <c r="C97" s="519"/>
      <c r="D97" s="519"/>
      <c r="E97" s="519"/>
      <c r="F97" s="519"/>
      <c r="G97" s="485"/>
      <c r="H97" s="485"/>
      <c r="I97" s="485"/>
      <c r="J97" s="485"/>
      <c r="K97" s="485"/>
      <c r="L97" s="485"/>
      <c r="M97" s="486"/>
      <c r="N97" s="934"/>
      <c r="O97" s="934"/>
      <c r="P97" s="1922"/>
      <c r="Q97" s="453"/>
    </row>
    <row r="98" spans="1:17" ht="14.4" thickTop="1">
      <c r="A98" s="483"/>
      <c r="B98" s="495">
        <f>B31</f>
        <v>111</v>
      </c>
      <c r="C98" s="536"/>
      <c r="D98" s="536"/>
      <c r="E98" s="536"/>
      <c r="F98" s="536"/>
      <c r="G98" s="536"/>
      <c r="H98" s="536"/>
      <c r="I98" s="536"/>
      <c r="J98" s="536"/>
      <c r="K98" s="537"/>
      <c r="L98" s="538"/>
      <c r="M98" s="539"/>
      <c r="N98" s="933"/>
      <c r="O98" s="933"/>
      <c r="P98" s="1922"/>
      <c r="Q98" s="453"/>
    </row>
    <row r="99" spans="1:17" ht="14.4" thickBot="1">
      <c r="A99" s="1928"/>
      <c r="B99" s="518"/>
      <c r="C99" s="540"/>
      <c r="D99" s="540"/>
      <c r="E99" s="540"/>
      <c r="F99" s="540"/>
      <c r="G99" s="540"/>
      <c r="H99" s="540"/>
      <c r="I99" s="540"/>
      <c r="J99" s="540"/>
      <c r="K99" s="540"/>
      <c r="L99" s="540"/>
      <c r="M99" s="541"/>
      <c r="N99" s="934"/>
      <c r="O99" s="934"/>
      <c r="P99" s="1922"/>
      <c r="Q99" s="453"/>
    </row>
    <row r="100" spans="1:17" ht="14.4">
      <c r="A100" s="476" t="s">
        <v>1694</v>
      </c>
      <c r="B100" s="477" t="s">
        <v>1736</v>
      </c>
      <c r="C100" s="479"/>
      <c r="D100" s="479"/>
      <c r="E100" s="479"/>
      <c r="F100" s="479"/>
      <c r="G100" s="479"/>
      <c r="H100" s="479"/>
      <c r="I100" s="479"/>
      <c r="J100" s="479"/>
      <c r="K100" s="480"/>
      <c r="L100" s="481"/>
      <c r="M100" s="482"/>
      <c r="N100" s="933"/>
      <c r="O100" s="933"/>
      <c r="P100" s="1922"/>
      <c r="Q100" s="453"/>
    </row>
    <row r="101" spans="1:17" ht="14.4"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4.4"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4.4"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4.4"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4.4"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4.4"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4.4"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4.4"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4.4"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9.4"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4.4"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4.4"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29.4"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4.4"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4.4"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4.4" thickBot="1">
      <c r="A127" s="502"/>
      <c r="B127" s="492"/>
      <c r="C127" s="509"/>
      <c r="D127" s="485"/>
      <c r="E127" s="485"/>
      <c r="F127" s="485"/>
      <c r="G127" s="509"/>
      <c r="H127" s="511"/>
      <c r="I127" s="511"/>
      <c r="J127" s="511"/>
      <c r="K127" s="511"/>
      <c r="L127" s="511"/>
      <c r="M127" s="512"/>
      <c r="N127" s="935"/>
      <c r="O127" s="935"/>
      <c r="P127" s="1923"/>
      <c r="Q127" s="508"/>
    </row>
    <row r="128" spans="1:17" ht="14.4" thickTop="1">
      <c r="A128" s="548"/>
      <c r="B128" s="487">
        <f>B45</f>
        <v>111</v>
      </c>
      <c r="C128" s="503"/>
      <c r="D128" s="503"/>
      <c r="E128" s="503"/>
      <c r="F128" s="503"/>
      <c r="G128" s="532"/>
      <c r="H128" s="532"/>
      <c r="I128" s="532"/>
      <c r="J128" s="532"/>
      <c r="K128" s="533"/>
      <c r="L128" s="534"/>
      <c r="M128" s="535"/>
      <c r="N128" s="933"/>
      <c r="O128" s="933"/>
      <c r="P128" s="1922"/>
      <c r="Q128" s="453"/>
    </row>
    <row r="129" spans="1:17" ht="14.4" thickBot="1">
      <c r="A129" s="483"/>
      <c r="B129" s="492"/>
      <c r="C129" s="509"/>
      <c r="D129" s="509"/>
      <c r="E129" s="509"/>
      <c r="F129" s="509"/>
      <c r="G129" s="485"/>
      <c r="H129" s="485"/>
      <c r="I129" s="485"/>
      <c r="J129" s="485"/>
      <c r="K129" s="485"/>
      <c r="L129" s="485"/>
      <c r="M129" s="486"/>
      <c r="N129" s="934"/>
      <c r="O129" s="934"/>
      <c r="P129" s="1922"/>
      <c r="Q129" s="453"/>
    </row>
    <row r="130" spans="1:17" ht="14.4" thickTop="1">
      <c r="A130" s="548"/>
      <c r="B130" s="495">
        <f>B46</f>
        <v>111</v>
      </c>
      <c r="C130" s="503"/>
      <c r="D130" s="503"/>
      <c r="E130" s="503"/>
      <c r="F130" s="503"/>
      <c r="G130" s="536"/>
      <c r="H130" s="536"/>
      <c r="I130" s="536"/>
      <c r="J130" s="536"/>
      <c r="K130" s="472"/>
      <c r="L130" s="473"/>
      <c r="M130" s="539"/>
      <c r="N130" s="933"/>
      <c r="O130" s="933"/>
      <c r="P130" s="1922"/>
      <c r="Q130" s="453"/>
    </row>
    <row r="131" spans="1:17" ht="14.4"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6.2"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ht="14.4">
      <c r="B147" s="1929" t="s">
        <v>1764</v>
      </c>
    </row>
    <row r="148" spans="2:11" ht="14.4">
      <c r="B148" s="1929"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56" priority="19" stopIfTrue="1" operator="containsText" text="超过">
      <formula>NOT(ISERROR(SEARCH("超过",F52)))</formula>
    </cfRule>
  </conditionalFormatting>
  <conditionalFormatting sqref="J54">
    <cfRule type="containsText" dxfId="155" priority="18" stopIfTrue="1" operator="containsText" text="超过">
      <formula>NOT(ISERROR(SEARCH("超过",J54)))</formula>
    </cfRule>
  </conditionalFormatting>
  <conditionalFormatting sqref="H54">
    <cfRule type="containsText" dxfId="154" priority="17" stopIfTrue="1" operator="containsText" text="超过">
      <formula>NOT(ISERROR(SEARCH("超过",H54)))</formula>
    </cfRule>
  </conditionalFormatting>
  <conditionalFormatting sqref="F54">
    <cfRule type="containsText" dxfId="153" priority="16" stopIfTrue="1" operator="containsText" text="超过">
      <formula>NOT(ISERROR(SEARCH("超过",F54)))</formula>
    </cfRule>
  </conditionalFormatting>
  <conditionalFormatting sqref="F53 H53 J53">
    <cfRule type="containsText" dxfId="152" priority="15" stopIfTrue="1" operator="containsText" text="超过">
      <formula>NOT(ISERROR(SEARCH("超过",F53)))</formula>
    </cfRule>
  </conditionalFormatting>
  <conditionalFormatting sqref="E52">
    <cfRule type="expression" dxfId="151" priority="14" stopIfTrue="1">
      <formula>$F$52="超过30%"</formula>
    </cfRule>
  </conditionalFormatting>
  <conditionalFormatting sqref="G54">
    <cfRule type="expression" dxfId="150" priority="12" stopIfTrue="1">
      <formula>$H$54="超过30%"</formula>
    </cfRule>
  </conditionalFormatting>
  <conditionalFormatting sqref="E53">
    <cfRule type="expression" dxfId="149" priority="11" stopIfTrue="1">
      <formula>$F$53="超过20%"</formula>
    </cfRule>
  </conditionalFormatting>
  <conditionalFormatting sqref="E54">
    <cfRule type="expression" dxfId="148" priority="10" stopIfTrue="1">
      <formula>$F$54="超过30%"</formula>
    </cfRule>
  </conditionalFormatting>
  <conditionalFormatting sqref="G52">
    <cfRule type="expression" dxfId="147" priority="9" stopIfTrue="1">
      <formula>$H$52="超过30%"</formula>
    </cfRule>
  </conditionalFormatting>
  <conditionalFormatting sqref="G53">
    <cfRule type="expression" dxfId="146" priority="8" stopIfTrue="1">
      <formula>$H$53="超过20%"</formula>
    </cfRule>
  </conditionalFormatting>
  <conditionalFormatting sqref="I52">
    <cfRule type="expression" dxfId="145" priority="7" stopIfTrue="1">
      <formula>$J$52="超过30%"</formula>
    </cfRule>
  </conditionalFormatting>
  <conditionalFormatting sqref="I53">
    <cfRule type="expression" dxfId="144" priority="6" stopIfTrue="1">
      <formula>$J$53="超过20%"</formula>
    </cfRule>
  </conditionalFormatting>
  <conditionalFormatting sqref="I54">
    <cfRule type="expression" dxfId="143" priority="5" stopIfTrue="1">
      <formula>$J$54="超过30%"</formula>
    </cfRule>
  </conditionalFormatting>
  <conditionalFormatting sqref="F48">
    <cfRule type="expression" dxfId="142" priority="4">
      <formula>$D$48="简单平均"</formula>
    </cfRule>
  </conditionalFormatting>
  <conditionalFormatting sqref="H48">
    <cfRule type="expression" dxfId="141" priority="3">
      <formula>$D$48="简单平均"</formula>
    </cfRule>
  </conditionalFormatting>
  <conditionalFormatting sqref="J48">
    <cfRule type="expression" dxfId="140" priority="2">
      <formula>$D$48="简单平均"</formula>
    </cfRule>
  </conditionalFormatting>
  <conditionalFormatting sqref="F7:F46 H7:H46 J7:J46">
    <cfRule type="cellIs" dxfId="13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tint="-0.249977111117893"/>
  </sheetPr>
  <dimension ref="A1:P47"/>
  <sheetViews>
    <sheetView view="pageBreakPreview" topLeftCell="A7" zoomScaleSheetLayoutView="100" workbookViewId="0">
      <selection activeCell="C7" sqref="C7:F7"/>
    </sheetView>
  </sheetViews>
  <sheetFormatPr defaultColWidth="9" defaultRowHeight="14.4"/>
  <cols>
    <col min="1" max="1" width="6.33203125" style="3463" customWidth="1"/>
    <col min="2" max="2" width="19.33203125" style="3506" customWidth="1"/>
    <col min="3" max="3" width="10.33203125" style="3463" customWidth="1"/>
    <col min="4" max="4" width="9" style="3463" customWidth="1"/>
    <col min="5" max="5" width="8.6640625" style="3463" customWidth="1"/>
    <col min="6" max="6" width="4.77734375" style="3463" customWidth="1"/>
    <col min="7" max="7" width="19.33203125" style="3507" customWidth="1"/>
    <col min="8" max="8" width="18" style="3463" customWidth="1"/>
    <col min="9" max="9" width="6.88671875" style="3463" customWidth="1"/>
    <col min="10" max="10" width="10.44140625" style="3459" customWidth="1"/>
    <col min="11" max="11" width="4.88671875" style="3459" customWidth="1"/>
    <col min="12" max="12" width="16.33203125" style="3459" customWidth="1"/>
    <col min="13" max="16" width="8.109375" style="3463" customWidth="1"/>
    <col min="17" max="16384" width="9" style="3463"/>
  </cols>
  <sheetData>
    <row r="1" spans="1:16">
      <c r="A1" s="3799" t="s">
        <v>3420</v>
      </c>
      <c r="B1" s="3799"/>
      <c r="C1" s="3799"/>
      <c r="D1" s="3799"/>
      <c r="E1" s="3799"/>
      <c r="F1" s="3799"/>
      <c r="G1" s="3799"/>
      <c r="H1" s="3799"/>
      <c r="I1" s="3799"/>
      <c r="K1" s="3800" t="s">
        <v>3421</v>
      </c>
      <c r="L1" s="3460" t="s">
        <v>3422</v>
      </c>
      <c r="M1" s="3461">
        <v>0</v>
      </c>
      <c r="N1" s="3462"/>
      <c r="O1" s="3462"/>
    </row>
    <row r="2" spans="1:16" ht="15.75" customHeight="1">
      <c r="A2" s="3464" t="s">
        <v>3423</v>
      </c>
      <c r="B2" s="3465" t="s">
        <v>3424</v>
      </c>
      <c r="C2" s="3801" t="s">
        <v>3425</v>
      </c>
      <c r="D2" s="3802"/>
      <c r="E2" s="3802"/>
      <c r="F2" s="3803"/>
      <c r="G2" s="3556" t="s">
        <v>3426</v>
      </c>
      <c r="H2" s="3804" t="s">
        <v>3427</v>
      </c>
      <c r="I2" s="3804"/>
      <c r="K2" s="3800"/>
      <c r="L2" s="3460" t="s">
        <v>3428</v>
      </c>
      <c r="M2" s="3467" t="s">
        <v>3429</v>
      </c>
      <c r="N2" s="3468"/>
      <c r="O2" s="3468"/>
    </row>
    <row r="3" spans="1:16" ht="28.8">
      <c r="A3" s="3556" t="s">
        <v>3430</v>
      </c>
      <c r="B3" s="3557" t="s">
        <v>3431</v>
      </c>
      <c r="C3" s="3805">
        <f>ROUND(35438*'售价比较法-办公 '!C34,0)</f>
        <v>50886487</v>
      </c>
      <c r="D3" s="3806"/>
      <c r="E3" s="3806"/>
      <c r="F3" s="3807"/>
      <c r="G3" s="3556" t="s">
        <v>3432</v>
      </c>
      <c r="H3" s="3557" t="s">
        <v>3433</v>
      </c>
      <c r="I3" s="3470">
        <f>'售价比较法-办公 '!C34</f>
        <v>1435.93</v>
      </c>
      <c r="K3" s="3800"/>
      <c r="L3" s="3460" t="s">
        <v>3434</v>
      </c>
      <c r="M3" s="3467" t="s">
        <v>3435</v>
      </c>
      <c r="N3" s="3468"/>
      <c r="O3" s="3468"/>
    </row>
    <row r="4" spans="1:16">
      <c r="A4" s="3804" t="s">
        <v>3436</v>
      </c>
      <c r="B4" s="3808" t="s">
        <v>3437</v>
      </c>
      <c r="C4" s="3809">
        <f>ROUND(C3*(I4-I6)/(1-((1+I6)/(1+I4))^I5),0)</f>
        <v>2820728</v>
      </c>
      <c r="D4" s="3810"/>
      <c r="E4" s="3810"/>
      <c r="F4" s="3811"/>
      <c r="G4" s="3804" t="s">
        <v>3438</v>
      </c>
      <c r="H4" s="3471" t="s">
        <v>3439</v>
      </c>
      <c r="I4" s="3472">
        <v>0.05</v>
      </c>
      <c r="K4" s="3800"/>
      <c r="L4" s="3460" t="s">
        <v>3440</v>
      </c>
      <c r="M4" s="3473">
        <f>ROUND(1-(1-M1)*M2/M3,2)</f>
        <v>0.55000000000000004</v>
      </c>
      <c r="N4" s="3468"/>
      <c r="O4" s="3468"/>
    </row>
    <row r="5" spans="1:16" s="3477" customFormat="1" ht="18" customHeight="1">
      <c r="A5" s="3804"/>
      <c r="B5" s="3808"/>
      <c r="C5" s="3812"/>
      <c r="D5" s="3813"/>
      <c r="E5" s="3813"/>
      <c r="F5" s="3814"/>
      <c r="G5" s="3804"/>
      <c r="H5" s="3557" t="s">
        <v>3441</v>
      </c>
      <c r="I5" s="3474">
        <f>项目基本情况!E15</f>
        <v>29.44</v>
      </c>
      <c r="J5" s="3475"/>
      <c r="K5" s="3800"/>
      <c r="L5" s="3460" t="s">
        <v>3442</v>
      </c>
      <c r="M5" s="3476">
        <v>0.5</v>
      </c>
      <c r="N5" s="3468"/>
      <c r="O5" s="3468"/>
    </row>
    <row r="6" spans="1:16" s="3477" customFormat="1" ht="18" customHeight="1">
      <c r="A6" s="3804"/>
      <c r="B6" s="3808"/>
      <c r="C6" s="3815"/>
      <c r="D6" s="3816"/>
      <c r="E6" s="3816"/>
      <c r="F6" s="3817"/>
      <c r="G6" s="3804"/>
      <c r="H6" s="3557" t="s">
        <v>3443</v>
      </c>
      <c r="I6" s="3478">
        <v>1.4999999999999999E-2</v>
      </c>
      <c r="J6" s="3479"/>
      <c r="K6" s="3804" t="s">
        <v>3444</v>
      </c>
      <c r="L6" s="3480" t="s">
        <v>3445</v>
      </c>
      <c r="M6" s="3562" t="s">
        <v>3446</v>
      </c>
      <c r="N6" s="3562" t="s">
        <v>3447</v>
      </c>
      <c r="O6" s="3562" t="s">
        <v>3448</v>
      </c>
      <c r="P6" s="3562" t="s">
        <v>3449</v>
      </c>
    </row>
    <row r="7" spans="1:16" s="3477" customFormat="1" ht="17.25" customHeight="1">
      <c r="A7" s="3556" t="s">
        <v>3450</v>
      </c>
      <c r="B7" s="3557" t="s">
        <v>3451</v>
      </c>
      <c r="C7" s="3801">
        <f>ROUND(C23*I7,0)</f>
        <v>5515784</v>
      </c>
      <c r="D7" s="3802"/>
      <c r="E7" s="3802"/>
      <c r="F7" s="3803"/>
      <c r="G7" s="3556" t="s">
        <v>3452</v>
      </c>
      <c r="H7" s="3557" t="s">
        <v>3453</v>
      </c>
      <c r="I7" s="3482">
        <v>0.7</v>
      </c>
      <c r="K7" s="3804"/>
      <c r="L7" s="3480" t="s">
        <v>3454</v>
      </c>
      <c r="M7" s="3562">
        <v>100</v>
      </c>
      <c r="N7" s="3562" t="s">
        <v>3455</v>
      </c>
      <c r="O7" s="3562">
        <v>80</v>
      </c>
      <c r="P7" s="3483">
        <v>0.3</v>
      </c>
    </row>
    <row r="8" spans="1:16" s="3477" customFormat="1" ht="29.25" customHeight="1">
      <c r="A8" s="3464" t="s">
        <v>3456</v>
      </c>
      <c r="B8" s="3557" t="s">
        <v>3457</v>
      </c>
      <c r="C8" s="3801">
        <f>ROUND(I8*I3,0)</f>
        <v>5025755</v>
      </c>
      <c r="D8" s="3802"/>
      <c r="E8" s="3802"/>
      <c r="F8" s="3803"/>
      <c r="G8" s="3556" t="s">
        <v>3458</v>
      </c>
      <c r="H8" s="3557" t="s">
        <v>3561</v>
      </c>
      <c r="I8" s="3556">
        <v>3500</v>
      </c>
      <c r="J8" s="3484">
        <f>D36</f>
        <v>6.8</v>
      </c>
      <c r="K8" s="3804"/>
      <c r="L8" s="3480" t="s">
        <v>3459</v>
      </c>
      <c r="M8" s="3562">
        <v>100</v>
      </c>
      <c r="N8" s="3562" t="s">
        <v>3460</v>
      </c>
      <c r="O8" s="3562">
        <v>80</v>
      </c>
      <c r="P8" s="3483">
        <v>0.5</v>
      </c>
    </row>
    <row r="9" spans="1:16" s="3477" customFormat="1" ht="18" customHeight="1">
      <c r="A9" s="3464" t="s">
        <v>3461</v>
      </c>
      <c r="B9" s="3557" t="s">
        <v>3462</v>
      </c>
      <c r="C9" s="3801">
        <f>ROUND(C8*H9,0)</f>
        <v>150773</v>
      </c>
      <c r="D9" s="3802"/>
      <c r="E9" s="3802"/>
      <c r="F9" s="3803"/>
      <c r="G9" s="3556" t="s">
        <v>3463</v>
      </c>
      <c r="H9" s="3818">
        <f>'[1]数据-取费表'!B33</f>
        <v>0.03</v>
      </c>
      <c r="I9" s="3818"/>
      <c r="J9" s="3484">
        <f>D37</f>
        <v>8.35</v>
      </c>
      <c r="K9" s="3804"/>
      <c r="L9" s="3480" t="s">
        <v>3464</v>
      </c>
      <c r="M9" s="3562">
        <v>100</v>
      </c>
      <c r="N9" s="3562" t="s">
        <v>3460</v>
      </c>
      <c r="O9" s="3562">
        <v>80</v>
      </c>
      <c r="P9" s="3483">
        <f>1-P7-P8</f>
        <v>0.19999999999999996</v>
      </c>
    </row>
    <row r="10" spans="1:16" s="3477" customFormat="1" ht="18" customHeight="1">
      <c r="A10" s="3464" t="s">
        <v>3465</v>
      </c>
      <c r="B10" s="3557" t="s">
        <v>3466</v>
      </c>
      <c r="C10" s="3801">
        <f>ROUND(C8*H10,0)</f>
        <v>0</v>
      </c>
      <c r="D10" s="3802"/>
      <c r="E10" s="3802"/>
      <c r="F10" s="3803"/>
      <c r="G10" s="3556" t="s">
        <v>3463</v>
      </c>
      <c r="H10" s="3818">
        <v>0</v>
      </c>
      <c r="I10" s="3818"/>
      <c r="J10" s="3484">
        <f>D38</f>
        <v>7.6</v>
      </c>
      <c r="K10" s="3804"/>
      <c r="L10" s="3485" t="s">
        <v>3467</v>
      </c>
      <c r="M10" s="3486">
        <f>1-M5</f>
        <v>0.5</v>
      </c>
      <c r="N10" s="3562" t="s">
        <v>3440</v>
      </c>
      <c r="O10" s="3487">
        <f>ROUND((O7*P7+O8*P8+O9*P9)/100,2)</f>
        <v>0.8</v>
      </c>
      <c r="P10" s="3488"/>
    </row>
    <row r="11" spans="1:16" s="3477" customFormat="1" ht="29.25" customHeight="1">
      <c r="A11" s="3464" t="s">
        <v>3468</v>
      </c>
      <c r="B11" s="3557" t="s">
        <v>3469</v>
      </c>
      <c r="C11" s="3801">
        <f>ROUND(I11*I3,0)</f>
        <v>287186</v>
      </c>
      <c r="D11" s="3802"/>
      <c r="E11" s="3802"/>
      <c r="F11" s="3803"/>
      <c r="G11" s="3556" t="s">
        <v>3470</v>
      </c>
      <c r="H11" s="3557" t="s">
        <v>3471</v>
      </c>
      <c r="I11" s="3556">
        <f>'[1]数据-取费表'!B35</f>
        <v>200</v>
      </c>
      <c r="J11" s="3475"/>
      <c r="K11" s="3459"/>
      <c r="L11" s="3459"/>
    </row>
    <row r="12" spans="1:16" s="3477" customFormat="1" ht="18" customHeight="1">
      <c r="A12" s="3464" t="s">
        <v>3472</v>
      </c>
      <c r="B12" s="3557" t="s">
        <v>3473</v>
      </c>
      <c r="C12" s="3801">
        <f>ROUND(C8*H12,0)</f>
        <v>75386</v>
      </c>
      <c r="D12" s="3802"/>
      <c r="E12" s="3802"/>
      <c r="F12" s="3803"/>
      <c r="G12" s="3556" t="s">
        <v>3463</v>
      </c>
      <c r="H12" s="3818">
        <f>'[1]数据-取费表'!B36</f>
        <v>1.4999999999999999E-2</v>
      </c>
      <c r="I12" s="3818"/>
      <c r="J12" s="3489" t="s">
        <v>3474</v>
      </c>
      <c r="L12" s="3490"/>
    </row>
    <row r="13" spans="1:16" s="3477" customFormat="1" ht="18" customHeight="1">
      <c r="A13" s="3464" t="s">
        <v>3475</v>
      </c>
      <c r="B13" s="3557" t="s">
        <v>3476</v>
      </c>
      <c r="C13" s="3801">
        <f>SUM(C8:F12)</f>
        <v>5539100</v>
      </c>
      <c r="D13" s="3802"/>
      <c r="E13" s="3802"/>
      <c r="F13" s="3803"/>
      <c r="G13" s="3804" t="s">
        <v>3477</v>
      </c>
      <c r="H13" s="3804"/>
      <c r="I13" s="3804"/>
      <c r="J13" s="3489" t="s">
        <v>3478</v>
      </c>
      <c r="L13" s="3490"/>
    </row>
    <row r="14" spans="1:16" s="3477" customFormat="1" ht="18" customHeight="1">
      <c r="A14" s="3464" t="s">
        <v>3479</v>
      </c>
      <c r="B14" s="3557" t="s">
        <v>3480</v>
      </c>
      <c r="C14" s="3801">
        <f>ROUND(C13*H14,0)</f>
        <v>110782</v>
      </c>
      <c r="D14" s="3802"/>
      <c r="E14" s="3802"/>
      <c r="F14" s="3803"/>
      <c r="G14" s="3556" t="s">
        <v>3481</v>
      </c>
      <c r="H14" s="3823">
        <v>0.02</v>
      </c>
      <c r="I14" s="3823"/>
      <c r="J14" s="3475"/>
      <c r="L14" s="3490"/>
    </row>
    <row r="15" spans="1:16" s="3477" customFormat="1" ht="18" customHeight="1">
      <c r="A15" s="3464" t="s">
        <v>3482</v>
      </c>
      <c r="B15" s="3557" t="s">
        <v>3483</v>
      </c>
      <c r="C15" s="3824">
        <f>H15</f>
        <v>0.02</v>
      </c>
      <c r="D15" s="3825"/>
      <c r="E15" s="3821" t="str">
        <f>E18</f>
        <v>V</v>
      </c>
      <c r="F15" s="3822"/>
      <c r="G15" s="3556" t="s">
        <v>3484</v>
      </c>
      <c r="H15" s="3823">
        <v>0.02</v>
      </c>
      <c r="I15" s="3823"/>
      <c r="J15" s="3491"/>
      <c r="K15" s="3484"/>
    </row>
    <row r="16" spans="1:16" s="3477" customFormat="1" ht="18" customHeight="1">
      <c r="A16" s="3492" t="s">
        <v>3485</v>
      </c>
      <c r="B16" s="3493" t="s">
        <v>3486</v>
      </c>
      <c r="C16" s="3554">
        <f>C17</f>
        <v>194921</v>
      </c>
      <c r="D16" s="3555" t="s">
        <v>3487</v>
      </c>
      <c r="E16" s="3496">
        <f>C18</f>
        <v>6.9000000000000008E-4</v>
      </c>
      <c r="F16" s="3560" t="str">
        <f>E18</f>
        <v>V</v>
      </c>
      <c r="G16" s="3801" t="s">
        <v>3488</v>
      </c>
      <c r="H16" s="3802"/>
      <c r="I16" s="3803"/>
      <c r="J16" s="3475"/>
      <c r="K16" s="3459"/>
    </row>
    <row r="17" spans="1:12" s="3477" customFormat="1" ht="18" customHeight="1">
      <c r="A17" s="3464" t="s">
        <v>3489</v>
      </c>
      <c r="B17" s="3557" t="s">
        <v>3490</v>
      </c>
      <c r="C17" s="3801">
        <f>ROUND((C13+C14)*I18*(I17/2),0)</f>
        <v>194921</v>
      </c>
      <c r="D17" s="3802"/>
      <c r="E17" s="3802"/>
      <c r="F17" s="3803"/>
      <c r="G17" s="3554" t="s">
        <v>3491</v>
      </c>
      <c r="H17" s="3557" t="s">
        <v>3492</v>
      </c>
      <c r="I17" s="3498">
        <v>2</v>
      </c>
      <c r="J17" s="3489" t="s">
        <v>3493</v>
      </c>
      <c r="K17" s="3459"/>
      <c r="L17" s="3459"/>
    </row>
    <row r="18" spans="1:12" s="3477" customFormat="1" ht="18" customHeight="1">
      <c r="A18" s="3464" t="s">
        <v>3494</v>
      </c>
      <c r="B18" s="3557" t="s">
        <v>3495</v>
      </c>
      <c r="C18" s="3819">
        <f>H15*I18*I17/2</f>
        <v>6.9000000000000008E-4</v>
      </c>
      <c r="D18" s="3820"/>
      <c r="E18" s="3821" t="s">
        <v>3496</v>
      </c>
      <c r="F18" s="3822"/>
      <c r="G18" s="3554" t="s">
        <v>3497</v>
      </c>
      <c r="H18" s="3557" t="s">
        <v>3498</v>
      </c>
      <c r="I18" s="3559">
        <v>3.4500000000000003E-2</v>
      </c>
      <c r="J18" s="3489" t="s">
        <v>3499</v>
      </c>
      <c r="K18" s="3459"/>
      <c r="L18" s="3459"/>
    </row>
    <row r="19" spans="1:12" s="3477" customFormat="1" ht="27" customHeight="1">
      <c r="A19" s="3464" t="s">
        <v>3500</v>
      </c>
      <c r="B19" s="3557" t="s">
        <v>3501</v>
      </c>
      <c r="C19" s="3554">
        <f>C20</f>
        <v>1412471</v>
      </c>
      <c r="D19" s="3555" t="s">
        <v>3487</v>
      </c>
      <c r="E19" s="3555">
        <f>C21</f>
        <v>5.0000000000000001E-3</v>
      </c>
      <c r="F19" s="3560" t="str">
        <f>E21</f>
        <v>V</v>
      </c>
      <c r="G19" s="3801" t="s">
        <v>3502</v>
      </c>
      <c r="H19" s="3802"/>
      <c r="I19" s="3803"/>
      <c r="J19" s="3475"/>
      <c r="K19" s="3459"/>
      <c r="L19" s="3459"/>
    </row>
    <row r="20" spans="1:12" s="3477" customFormat="1" ht="26.25" customHeight="1">
      <c r="A20" s="3464" t="s">
        <v>3503</v>
      </c>
      <c r="B20" s="3557" t="s">
        <v>3504</v>
      </c>
      <c r="C20" s="3801">
        <f>ROUND((C13+C14)*I20,0)</f>
        <v>1412471</v>
      </c>
      <c r="D20" s="3802"/>
      <c r="E20" s="3802"/>
      <c r="F20" s="3803"/>
      <c r="G20" s="3556" t="s">
        <v>3505</v>
      </c>
      <c r="H20" s="3828" t="s">
        <v>3506</v>
      </c>
      <c r="I20" s="3830">
        <v>0.25</v>
      </c>
      <c r="J20" s="3489" t="s">
        <v>3507</v>
      </c>
      <c r="K20" s="3459"/>
      <c r="L20" s="3459"/>
    </row>
    <row r="21" spans="1:12" s="3477" customFormat="1" ht="27" customHeight="1">
      <c r="A21" s="3464" t="s">
        <v>3503</v>
      </c>
      <c r="B21" s="3557" t="s">
        <v>3508</v>
      </c>
      <c r="C21" s="3824">
        <f>H15*I20</f>
        <v>5.0000000000000001E-3</v>
      </c>
      <c r="D21" s="3825"/>
      <c r="E21" s="3821" t="s">
        <v>3496</v>
      </c>
      <c r="F21" s="3822"/>
      <c r="G21" s="3556" t="s">
        <v>3509</v>
      </c>
      <c r="H21" s="3829"/>
      <c r="I21" s="3830"/>
      <c r="J21" s="3475"/>
      <c r="K21" s="3459"/>
      <c r="L21" s="3459"/>
    </row>
    <row r="22" spans="1:12" s="3477" customFormat="1" ht="18" customHeight="1">
      <c r="A22" s="3464" t="s">
        <v>3510</v>
      </c>
      <c r="B22" s="3557" t="s">
        <v>3511</v>
      </c>
      <c r="C22" s="3824">
        <f>ROUND(H22/1.05,4)</f>
        <v>5.33E-2</v>
      </c>
      <c r="D22" s="3825"/>
      <c r="E22" s="3821" t="s">
        <v>3496</v>
      </c>
      <c r="F22" s="3822"/>
      <c r="G22" s="3556" t="s">
        <v>3512</v>
      </c>
      <c r="H22" s="3818">
        <v>5.6000000000000001E-2</v>
      </c>
      <c r="I22" s="3818"/>
      <c r="J22" s="3500"/>
      <c r="K22" s="3459"/>
      <c r="L22" s="3459"/>
    </row>
    <row r="23" spans="1:12" s="3477" customFormat="1" ht="18" customHeight="1">
      <c r="A23" s="3464" t="s">
        <v>3513</v>
      </c>
      <c r="B23" s="3557" t="s">
        <v>3514</v>
      </c>
      <c r="C23" s="3801">
        <f>ROUND((C13+C14+C17+C20)/(1-H15-C18-C21-C22),0)</f>
        <v>7879691</v>
      </c>
      <c r="D23" s="3802"/>
      <c r="E23" s="3802"/>
      <c r="F23" s="3803"/>
      <c r="G23" s="3801" t="s">
        <v>3515</v>
      </c>
      <c r="H23" s="3802"/>
      <c r="I23" s="3803"/>
      <c r="J23" s="3500"/>
      <c r="K23" s="3459"/>
      <c r="L23" s="3459"/>
    </row>
    <row r="24" spans="1:12" s="3477" customFormat="1" ht="18" customHeight="1">
      <c r="A24" s="3464" t="s">
        <v>3516</v>
      </c>
      <c r="B24" s="3557" t="s">
        <v>3517</v>
      </c>
      <c r="C24" s="3558">
        <f>C27+C28</f>
        <v>168626</v>
      </c>
      <c r="D24" s="3502" t="s">
        <v>3518</v>
      </c>
      <c r="E24" s="3826">
        <f>H29+E26+H25</f>
        <v>0.19599999999999998</v>
      </c>
      <c r="F24" s="3827"/>
      <c r="G24" s="3804" t="s">
        <v>3519</v>
      </c>
      <c r="H24" s="3804"/>
      <c r="I24" s="3804"/>
      <c r="J24" s="3500"/>
      <c r="K24" s="3459"/>
      <c r="L24" s="3459"/>
    </row>
    <row r="25" spans="1:12" s="3477" customFormat="1" ht="18" customHeight="1">
      <c r="A25" s="3464" t="s">
        <v>3475</v>
      </c>
      <c r="B25" s="3557" t="s">
        <v>3520</v>
      </c>
      <c r="C25" s="3824" t="s">
        <v>3521</v>
      </c>
      <c r="D25" s="3825"/>
      <c r="E25" s="3831">
        <f>ROUND(H25/1.05,4)</f>
        <v>5.33E-2</v>
      </c>
      <c r="F25" s="3832"/>
      <c r="G25" s="3556" t="s">
        <v>3522</v>
      </c>
      <c r="H25" s="3833">
        <f>H22</f>
        <v>5.6000000000000001E-2</v>
      </c>
      <c r="I25" s="3833"/>
      <c r="J25" s="3491"/>
      <c r="K25" s="3459"/>
      <c r="L25" s="3459"/>
    </row>
    <row r="26" spans="1:12" s="3477" customFormat="1" ht="18" customHeight="1">
      <c r="A26" s="3464" t="s">
        <v>3479</v>
      </c>
      <c r="B26" s="3557" t="s">
        <v>3523</v>
      </c>
      <c r="C26" s="3824" t="s">
        <v>3521</v>
      </c>
      <c r="D26" s="3825"/>
      <c r="E26" s="3834">
        <v>0.12</v>
      </c>
      <c r="F26" s="3827"/>
      <c r="G26" s="3556"/>
      <c r="H26" s="3835">
        <f>'[1]数据-取费表'!B51</f>
        <v>0.12</v>
      </c>
      <c r="I26" s="3836"/>
      <c r="J26" s="3503"/>
      <c r="K26" s="3459"/>
      <c r="L26" s="3459"/>
    </row>
    <row r="27" spans="1:12" s="3477" customFormat="1" ht="18" customHeight="1">
      <c r="A27" s="3464" t="s">
        <v>3482</v>
      </c>
      <c r="B27" s="3557" t="s">
        <v>3524</v>
      </c>
      <c r="C27" s="3801">
        <f>ROUND(C23*H27,0)</f>
        <v>157594</v>
      </c>
      <c r="D27" s="3802"/>
      <c r="E27" s="3802"/>
      <c r="F27" s="3803"/>
      <c r="G27" s="3556" t="s">
        <v>3525</v>
      </c>
      <c r="H27" s="3837">
        <v>0.02</v>
      </c>
      <c r="I27" s="3837"/>
      <c r="J27" s="3459" t="s">
        <v>3526</v>
      </c>
      <c r="K27" s="3459"/>
      <c r="L27" s="3459"/>
    </row>
    <row r="28" spans="1:12" s="3477" customFormat="1" ht="18" customHeight="1">
      <c r="A28" s="3464" t="s">
        <v>3485</v>
      </c>
      <c r="B28" s="3557" t="s">
        <v>3527</v>
      </c>
      <c r="C28" s="3801">
        <f>ROUND(C7*H28,0)</f>
        <v>11032</v>
      </c>
      <c r="D28" s="3802"/>
      <c r="E28" s="3802"/>
      <c r="F28" s="3803"/>
      <c r="G28" s="3556" t="s">
        <v>3528</v>
      </c>
      <c r="H28" s="3838">
        <v>2E-3</v>
      </c>
      <c r="I28" s="3838"/>
      <c r="J28" s="3504"/>
      <c r="K28" s="3459"/>
      <c r="L28" s="3459"/>
    </row>
    <row r="29" spans="1:12" s="3477" customFormat="1" ht="18" customHeight="1">
      <c r="A29" s="3464" t="s">
        <v>3500</v>
      </c>
      <c r="B29" s="3557" t="s">
        <v>3529</v>
      </c>
      <c r="C29" s="3824" t="s">
        <v>3521</v>
      </c>
      <c r="D29" s="3825"/>
      <c r="E29" s="3834">
        <f>H29</f>
        <v>0.02</v>
      </c>
      <c r="F29" s="3827"/>
      <c r="G29" s="3556" t="s">
        <v>3530</v>
      </c>
      <c r="H29" s="3837">
        <v>0.02</v>
      </c>
      <c r="I29" s="3837"/>
      <c r="J29" s="3505"/>
      <c r="K29" s="3459"/>
      <c r="L29" s="3459"/>
    </row>
    <row r="30" spans="1:12" s="3477" customFormat="1" ht="18" customHeight="1">
      <c r="A30" s="3556" t="s">
        <v>3531</v>
      </c>
      <c r="B30" s="3557" t="s">
        <v>3532</v>
      </c>
      <c r="C30" s="3801">
        <f>ROUND((C4+C24)/(1-E24),0)</f>
        <v>3718102</v>
      </c>
      <c r="D30" s="3802"/>
      <c r="E30" s="3802"/>
      <c r="F30" s="3803"/>
      <c r="G30" s="3804" t="s">
        <v>3533</v>
      </c>
      <c r="H30" s="3804"/>
      <c r="I30" s="3804"/>
      <c r="J30" s="3475"/>
      <c r="K30" s="3459"/>
      <c r="L30" s="3459"/>
    </row>
    <row r="31" spans="1:12" s="3477" customFormat="1" ht="18" customHeight="1">
      <c r="A31" s="3804" t="s">
        <v>3534</v>
      </c>
      <c r="B31" s="3808" t="s">
        <v>3535</v>
      </c>
      <c r="C31" s="3839">
        <f>ROUND(C30/I31/I32/I3,2)</f>
        <v>8.35</v>
      </c>
      <c r="D31" s="3840"/>
      <c r="E31" s="3840"/>
      <c r="F31" s="3841"/>
      <c r="G31" s="3804" t="s">
        <v>3536</v>
      </c>
      <c r="H31" s="3557" t="s">
        <v>3537</v>
      </c>
      <c r="I31" s="3556">
        <v>365</v>
      </c>
      <c r="J31" s="3475"/>
      <c r="K31" s="3459"/>
      <c r="L31" s="3459"/>
    </row>
    <row r="32" spans="1:12" s="3477" customFormat="1" ht="18" customHeight="1">
      <c r="A32" s="3804"/>
      <c r="B32" s="3808"/>
      <c r="C32" s="3842"/>
      <c r="D32" s="3843"/>
      <c r="E32" s="3843"/>
      <c r="F32" s="3844"/>
      <c r="G32" s="3804"/>
      <c r="H32" s="3557" t="s">
        <v>3538</v>
      </c>
      <c r="I32" s="3561">
        <v>0.85</v>
      </c>
      <c r="J32" s="3500"/>
      <c r="K32" s="3463"/>
      <c r="L32" s="3463"/>
    </row>
    <row r="33" spans="1:13" s="3477" customFormat="1" ht="18" customHeight="1">
      <c r="A33" s="3463"/>
      <c r="B33" s="3506"/>
      <c r="C33" s="3463"/>
      <c r="D33" s="3463"/>
      <c r="E33" s="3463"/>
      <c r="F33" s="3463"/>
      <c r="G33" s="3507"/>
      <c r="H33" s="3463"/>
      <c r="I33" s="3463"/>
      <c r="J33" s="3459"/>
      <c r="K33" s="3463"/>
      <c r="L33" s="3463"/>
    </row>
    <row r="34" spans="1:13" s="3477" customFormat="1" ht="18" customHeight="1">
      <c r="A34" s="3463"/>
      <c r="B34" s="3847" t="s">
        <v>3539</v>
      </c>
      <c r="C34" s="3847"/>
      <c r="D34" s="3847"/>
      <c r="E34" s="3847"/>
      <c r="F34" s="3847"/>
      <c r="G34" s="3507"/>
      <c r="H34" s="3463"/>
      <c r="I34" s="3463"/>
      <c r="J34" s="3508">
        <f>C31*0.5</f>
        <v>4.1749999999999998</v>
      </c>
      <c r="K34" s="3463"/>
      <c r="L34" s="3463"/>
      <c r="M34" s="3463"/>
    </row>
    <row r="35" spans="1:13" s="3477" customFormat="1" ht="18" customHeight="1">
      <c r="A35" s="3463"/>
      <c r="B35" s="3553" t="s">
        <v>3540</v>
      </c>
      <c r="C35" s="3553" t="s">
        <v>3449</v>
      </c>
      <c r="D35" s="3848" t="s">
        <v>3541</v>
      </c>
      <c r="E35" s="3848"/>
      <c r="F35" s="3848"/>
      <c r="G35" s="3507"/>
      <c r="H35" s="3510" t="s">
        <v>3542</v>
      </c>
      <c r="I35" s="3511"/>
      <c r="J35" s="3508">
        <f>C31*0.4</f>
        <v>3.34</v>
      </c>
      <c r="K35" s="3463"/>
      <c r="L35" s="3463"/>
      <c r="M35" s="3463"/>
    </row>
    <row r="36" spans="1:13">
      <c r="B36" s="3553" t="s">
        <v>3543</v>
      </c>
      <c r="C36" s="3512">
        <v>0.5</v>
      </c>
      <c r="D36" s="3849">
        <f>'租金比较法-办公'!C49</f>
        <v>6.8</v>
      </c>
      <c r="E36" s="3849"/>
      <c r="F36" s="3849"/>
      <c r="G36" s="3507">
        <f>(D36-D37)/D37</f>
        <v>-0.18562874251497005</v>
      </c>
      <c r="H36" s="3510"/>
      <c r="I36" s="3510"/>
      <c r="J36" s="3463"/>
      <c r="K36" s="3463"/>
      <c r="L36" s="3463"/>
    </row>
    <row r="37" spans="1:13" ht="20.100000000000001" customHeight="1">
      <c r="B37" s="3553" t="s">
        <v>3544</v>
      </c>
      <c r="C37" s="3512">
        <f>1-C36</f>
        <v>0.5</v>
      </c>
      <c r="D37" s="3849">
        <f>C31</f>
        <v>8.35</v>
      </c>
      <c r="E37" s="3849"/>
      <c r="F37" s="3849"/>
      <c r="J37" s="3463"/>
      <c r="K37" s="3463"/>
      <c r="L37" s="3463"/>
    </row>
    <row r="38" spans="1:13" ht="22.5" customHeight="1">
      <c r="B38" s="3848" t="s">
        <v>3545</v>
      </c>
      <c r="C38" s="3848"/>
      <c r="D38" s="3927">
        <f>ROUND(C36*D36+C37*D37,1)</f>
        <v>7.6</v>
      </c>
      <c r="E38" s="3927"/>
      <c r="F38" s="3927"/>
      <c r="J38" s="3463"/>
    </row>
    <row r="39" spans="1:13" ht="22.5" customHeight="1">
      <c r="B39" s="3553" t="s">
        <v>3546</v>
      </c>
      <c r="C39" s="3553">
        <f>ROUND(D38*0.9,1)</f>
        <v>6.8</v>
      </c>
      <c r="D39" s="3551" t="s">
        <v>3547</v>
      </c>
      <c r="E39" s="3845">
        <f>ROUND(D38*1.1,1)</f>
        <v>8.4</v>
      </c>
      <c r="F39" s="3845"/>
      <c r="G39" s="3507" t="s">
        <v>3548</v>
      </c>
      <c r="H39" s="3514">
        <v>11.48</v>
      </c>
      <c r="J39" s="3463"/>
    </row>
    <row r="40" spans="1:13" ht="18" customHeight="1">
      <c r="B40" s="3553" t="s">
        <v>3549</v>
      </c>
      <c r="C40" s="3553">
        <f>ROUND(C39+H40,1)</f>
        <v>7.9</v>
      </c>
      <c r="D40" s="3551" t="s">
        <v>3547</v>
      </c>
      <c r="E40" s="3845">
        <f>ROUND(E39+H40,1)</f>
        <v>9.5</v>
      </c>
      <c r="F40" s="3845"/>
      <c r="G40" s="3562" t="s">
        <v>3550</v>
      </c>
      <c r="H40" s="3562">
        <v>1.1000000000000001</v>
      </c>
    </row>
    <row r="41" spans="1:13" ht="18" customHeight="1">
      <c r="C41" s="3515"/>
    </row>
    <row r="42" spans="1:13" ht="18" customHeight="1">
      <c r="B42" s="3507" t="s">
        <v>3551</v>
      </c>
      <c r="E42" s="3507" t="s">
        <v>3552</v>
      </c>
      <c r="H42" s="3507" t="s">
        <v>3553</v>
      </c>
    </row>
    <row r="43" spans="1:13" ht="29.25" customHeight="1"/>
    <row r="44" spans="1:13">
      <c r="B44" s="3846" t="s">
        <v>3554</v>
      </c>
      <c r="C44" s="3846"/>
      <c r="D44" s="3846"/>
      <c r="E44" s="3516"/>
      <c r="F44" s="3517" t="s">
        <v>3555</v>
      </c>
      <c r="G44" s="3475"/>
    </row>
    <row r="45" spans="1:13">
      <c r="B45" s="3518" t="s">
        <v>3556</v>
      </c>
      <c r="C45" s="3552" t="s">
        <v>3557</v>
      </c>
      <c r="D45" s="3552" t="s">
        <v>3558</v>
      </c>
      <c r="E45" s="3516" t="s">
        <v>3559</v>
      </c>
      <c r="F45" s="3517"/>
      <c r="G45" s="3475"/>
    </row>
    <row r="46" spans="1:13">
      <c r="B46" s="3552">
        <v>0.5</v>
      </c>
      <c r="C46" s="3552">
        <v>0.8</v>
      </c>
      <c r="D46" s="3552">
        <v>0.8</v>
      </c>
      <c r="E46" s="3516">
        <v>0.25</v>
      </c>
      <c r="F46" s="3552">
        <f>[2]结果表!G20*'收益法倒推租金-办公'!C46*'收益法倒推租金-办公'!B46*'收益法倒推租金-办公'!D46-[2]结果表!G20*'收益法倒推租金-办公'!E46</f>
        <v>1577.5200000000004</v>
      </c>
      <c r="G46" s="3475" t="s">
        <v>3560</v>
      </c>
    </row>
    <row r="47" spans="1:13">
      <c r="B47" s="3475"/>
      <c r="C47" s="3475"/>
      <c r="D47" s="3475"/>
      <c r="E47" s="3520"/>
      <c r="F47" s="3552"/>
      <c r="G47" s="3521"/>
    </row>
  </sheetData>
  <mergeCells count="71">
    <mergeCell ref="E39:F39"/>
    <mergeCell ref="E40:F40"/>
    <mergeCell ref="B44:D44"/>
    <mergeCell ref="B34:F34"/>
    <mergeCell ref="D35:F35"/>
    <mergeCell ref="D36:F36"/>
    <mergeCell ref="D37:F37"/>
    <mergeCell ref="B38:C38"/>
    <mergeCell ref="D38:F38"/>
    <mergeCell ref="C30:F30"/>
    <mergeCell ref="G30:I30"/>
    <mergeCell ref="A31:A32"/>
    <mergeCell ref="B31:B32"/>
    <mergeCell ref="C31:F32"/>
    <mergeCell ref="G31:G32"/>
    <mergeCell ref="C27:F27"/>
    <mergeCell ref="H27:I27"/>
    <mergeCell ref="C28:F28"/>
    <mergeCell ref="H28:I28"/>
    <mergeCell ref="C29:D29"/>
    <mergeCell ref="E29:F29"/>
    <mergeCell ref="H29:I29"/>
    <mergeCell ref="C25:D25"/>
    <mergeCell ref="E25:F25"/>
    <mergeCell ref="H25:I25"/>
    <mergeCell ref="C26:D26"/>
    <mergeCell ref="E26:F26"/>
    <mergeCell ref="H26:I26"/>
    <mergeCell ref="E24:F24"/>
    <mergeCell ref="G24:I24"/>
    <mergeCell ref="G19:I19"/>
    <mergeCell ref="C20:F20"/>
    <mergeCell ref="H20:H21"/>
    <mergeCell ref="I20:I21"/>
    <mergeCell ref="C21:D21"/>
    <mergeCell ref="E21:F21"/>
    <mergeCell ref="C22:D22"/>
    <mergeCell ref="E22:F22"/>
    <mergeCell ref="H22:I22"/>
    <mergeCell ref="C23:F23"/>
    <mergeCell ref="G23:I23"/>
    <mergeCell ref="C18:D18"/>
    <mergeCell ref="E18:F18"/>
    <mergeCell ref="C11:F11"/>
    <mergeCell ref="C12:F12"/>
    <mergeCell ref="H12:I12"/>
    <mergeCell ref="C13:F13"/>
    <mergeCell ref="G13:I13"/>
    <mergeCell ref="C14:F14"/>
    <mergeCell ref="H14:I14"/>
    <mergeCell ref="C15:D15"/>
    <mergeCell ref="E15:F15"/>
    <mergeCell ref="H15:I15"/>
    <mergeCell ref="G16:I16"/>
    <mergeCell ref="C17:F17"/>
    <mergeCell ref="A1:I1"/>
    <mergeCell ref="K1:K5"/>
    <mergeCell ref="C2:F2"/>
    <mergeCell ref="H2:I2"/>
    <mergeCell ref="C3:F3"/>
    <mergeCell ref="A4:A6"/>
    <mergeCell ref="B4:B6"/>
    <mergeCell ref="C4:F6"/>
    <mergeCell ref="G4:G6"/>
    <mergeCell ref="K6:K10"/>
    <mergeCell ref="C7:F7"/>
    <mergeCell ref="C8:F8"/>
    <mergeCell ref="C9:F9"/>
    <mergeCell ref="H9:I9"/>
    <mergeCell ref="C10:F10"/>
    <mergeCell ref="H10:I10"/>
  </mergeCells>
  <phoneticPr fontId="134" type="noConversion"/>
  <pageMargins left="0.7" right="0.7" top="0.75" bottom="0.75" header="0.3" footer="0.3"/>
  <pageSetup paperSize="9" scale="80" orientation="portrait" r:id="rId1"/>
  <colBreaks count="1" manualBreakCount="1">
    <brk id="10" max="1048575" man="1"/>
  </colBreak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view="pageBreakPreview" topLeftCell="A9" zoomScale="90" zoomScaleNormal="70" zoomScaleSheetLayoutView="90" workbookViewId="0">
      <selection activeCell="F104" sqref="F104"/>
    </sheetView>
  </sheetViews>
  <sheetFormatPr defaultColWidth="9" defaultRowHeight="13.8"/>
  <cols>
    <col min="1" max="1" width="10.44140625" style="357" customWidth="1"/>
    <col min="2" max="2" width="15.77734375" style="357" customWidth="1"/>
    <col min="3" max="3" width="15.66406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906"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3" customFormat="1" ht="28.5" customHeight="1" thickBot="1">
      <c r="A1" s="1222" t="s">
        <v>1660</v>
      </c>
      <c r="B1" s="1957" t="s">
        <v>1810</v>
      </c>
      <c r="C1" s="1224" t="s">
        <v>1662</v>
      </c>
      <c r="D1" s="1225" t="s">
        <v>21</v>
      </c>
      <c r="E1" s="3433"/>
      <c r="F1" s="1879"/>
      <c r="G1" s="1235" t="s">
        <v>1663</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IF(E1="项目模式",IF(C2="——",ROUND(C50*D3/10000,0),ROUND(C50*D3/10000,0)-D2),IF(E1="单套模式",IF(C2="——",ROUND(C50*D3/10000,4),ROUND(C50*D3/10000,4)-D2)))</f>
        <v>0</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35438.400000000001</v>
      </c>
      <c r="C3" s="354" t="s">
        <v>1768</v>
      </c>
      <c r="D3" s="353">
        <f>IF(D1="",'数据-汇总表'!E3,SUMIF('数据-汇总表'!$C19:$C33,D1,'数据-汇总表'!$E19:$E33))</f>
        <v>1336.34</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4.4">
      <c r="A4" s="355" t="s">
        <v>1666</v>
      </c>
      <c r="B4" s="356"/>
      <c r="C4" s="3853" t="s">
        <v>1770</v>
      </c>
      <c r="D4" s="3854"/>
      <c r="E4" s="3855" t="s">
        <v>1771</v>
      </c>
      <c r="F4" s="3856"/>
      <c r="G4" s="3853" t="s">
        <v>1772</v>
      </c>
      <c r="H4" s="3854"/>
      <c r="I4" s="3853" t="s">
        <v>1670</v>
      </c>
      <c r="J4" s="3854"/>
      <c r="K4" s="559" t="s">
        <v>1671</v>
      </c>
      <c r="L4" s="2715"/>
      <c r="M4" s="2716"/>
      <c r="N4" s="2716"/>
      <c r="O4" s="2716"/>
      <c r="P4" s="3931" t="s">
        <v>1775</v>
      </c>
      <c r="Q4" s="3932"/>
      <c r="R4" s="3935" t="s">
        <v>1771</v>
      </c>
      <c r="S4" s="3936"/>
      <c r="T4" s="3935" t="s">
        <v>1772</v>
      </c>
      <c r="U4" s="3936"/>
      <c r="V4" s="3937" t="s">
        <v>1670</v>
      </c>
      <c r="W4" s="3937"/>
      <c r="X4" s="3568"/>
      <c r="Y4" s="3935" t="s">
        <v>1775</v>
      </c>
      <c r="Z4" s="3936"/>
      <c r="AA4" s="3938" t="s">
        <v>1771</v>
      </c>
      <c r="AB4" s="3938" t="s">
        <v>1772</v>
      </c>
      <c r="AC4" s="3928" t="s">
        <v>1670</v>
      </c>
    </row>
    <row r="5" spans="1:29">
      <c r="A5" s="358"/>
      <c r="B5" s="359"/>
      <c r="C5" s="3867" t="s">
        <v>3680</v>
      </c>
      <c r="D5" s="3868"/>
      <c r="E5" s="3926" t="str">
        <f>C5</f>
        <v>启迪科技大厦</v>
      </c>
      <c r="F5" s="3870"/>
      <c r="G5" s="3867" t="s">
        <v>3719</v>
      </c>
      <c r="H5" s="3868"/>
      <c r="I5" s="3867" t="str">
        <f>E5</f>
        <v>启迪科技大厦</v>
      </c>
      <c r="J5" s="3868"/>
      <c r="K5" s="559"/>
      <c r="L5" s="2715"/>
      <c r="M5" s="2716"/>
      <c r="N5" s="2716"/>
      <c r="O5" s="2716"/>
      <c r="P5" s="3933"/>
      <c r="Q5" s="3860"/>
      <c r="R5" s="3865"/>
      <c r="S5" s="3866"/>
      <c r="T5" s="3865"/>
      <c r="U5" s="3866"/>
      <c r="V5" s="3877"/>
      <c r="W5" s="3877"/>
      <c r="X5" s="3567"/>
      <c r="Y5" s="3865"/>
      <c r="Z5" s="3866"/>
      <c r="AA5" s="3851"/>
      <c r="AB5" s="3851"/>
      <c r="AC5" s="3929"/>
    </row>
    <row r="6" spans="1:29" ht="15" thickBot="1">
      <c r="A6" s="360"/>
      <c r="B6" s="361"/>
      <c r="C6" s="3871" t="s">
        <v>1677</v>
      </c>
      <c r="D6" s="3872"/>
      <c r="E6" s="3873" t="s">
        <v>1677</v>
      </c>
      <c r="F6" s="3874"/>
      <c r="G6" s="3871" t="s">
        <v>1677</v>
      </c>
      <c r="H6" s="3872"/>
      <c r="I6" s="3871" t="s">
        <v>1677</v>
      </c>
      <c r="J6" s="3872"/>
      <c r="K6" s="559" t="s">
        <v>1678</v>
      </c>
      <c r="L6" s="2715"/>
      <c r="M6" s="2716"/>
      <c r="N6" s="2716"/>
      <c r="O6" s="2716"/>
      <c r="P6" s="3934"/>
      <c r="Q6" s="3862"/>
      <c r="R6" s="3865"/>
      <c r="S6" s="3866"/>
      <c r="T6" s="3875"/>
      <c r="U6" s="3876"/>
      <c r="V6" s="3877"/>
      <c r="W6" s="3877"/>
      <c r="X6" s="3567"/>
      <c r="Y6" s="3875"/>
      <c r="Z6" s="3876"/>
      <c r="AA6" s="3852"/>
      <c r="AB6" s="3852"/>
      <c r="AC6" s="3930"/>
    </row>
    <row r="7" spans="1:29" s="108" customFormat="1" ht="15" thickBot="1">
      <c r="A7" s="362" t="s">
        <v>1679</v>
      </c>
      <c r="B7" s="363"/>
      <c r="C7" s="364">
        <f>'数据-取费表'!B2</f>
        <v>45478</v>
      </c>
      <c r="D7" s="365">
        <v>100</v>
      </c>
      <c r="E7" s="366">
        <f>C7</f>
        <v>45478</v>
      </c>
      <c r="F7" s="367">
        <f>SUMIF(59:59,YEAR(E7)&amp;"-"&amp;MONTH(E7),60:60)</f>
        <v>100</v>
      </c>
      <c r="G7" s="366">
        <f>C7</f>
        <v>45478</v>
      </c>
      <c r="H7" s="365">
        <f>SUMIF(59:59,YEAR(G7)&amp;"-"&amp;MONTH(G7),60:60)</f>
        <v>100</v>
      </c>
      <c r="I7" s="366">
        <f>C7</f>
        <v>45478</v>
      </c>
      <c r="J7" s="365">
        <f>SUMIF(59:59,YEAR(I7)&amp;"-"&amp;MONTH(I7),60:60)</f>
        <v>100</v>
      </c>
      <c r="K7" s="560"/>
      <c r="L7" s="2717"/>
      <c r="M7" s="2718"/>
      <c r="N7" s="2718"/>
      <c r="O7" s="2718"/>
      <c r="P7" s="3939" t="s">
        <v>1680</v>
      </c>
      <c r="Q7" s="3879"/>
      <c r="R7" s="701" t="s">
        <v>14</v>
      </c>
      <c r="S7" s="702">
        <f t="shared" ref="S7:S15" si="0">F7</f>
        <v>100</v>
      </c>
      <c r="T7" s="701" t="s">
        <v>14</v>
      </c>
      <c r="U7" s="702">
        <f t="shared" ref="U7:U15" si="1">H7</f>
        <v>100</v>
      </c>
      <c r="V7" s="701" t="s">
        <v>14</v>
      </c>
      <c r="W7" s="702">
        <f t="shared" ref="W7:W15" si="2">J7</f>
        <v>100</v>
      </c>
      <c r="X7" s="703"/>
      <c r="Y7" s="3878" t="s">
        <v>1680</v>
      </c>
      <c r="Z7" s="3880"/>
      <c r="AA7" s="704">
        <f>D7/F7</f>
        <v>1</v>
      </c>
      <c r="AB7" s="704">
        <f>D7/H7</f>
        <v>1</v>
      </c>
      <c r="AC7" s="1959">
        <f>D7/J7</f>
        <v>1</v>
      </c>
    </row>
    <row r="8" spans="1:29" s="108" customFormat="1" ht="15" thickBot="1">
      <c r="A8" s="362" t="s">
        <v>1681</v>
      </c>
      <c r="B8" s="363"/>
      <c r="C8" s="368" t="s">
        <v>3681</v>
      </c>
      <c r="D8" s="365">
        <v>100</v>
      </c>
      <c r="E8" s="368" t="s">
        <v>3681</v>
      </c>
      <c r="F8" s="367">
        <f>SUMIF(62:62,E8,63:63)-SUMIF(62:62,C8,63:63)+100</f>
        <v>100</v>
      </c>
      <c r="G8" s="368" t="s">
        <v>3681</v>
      </c>
      <c r="H8" s="365">
        <f>SUMIF(62:62,G8,63:63)-SUMIF(62:62,C8,63:63)+100</f>
        <v>100</v>
      </c>
      <c r="I8" s="368" t="s">
        <v>3681</v>
      </c>
      <c r="J8" s="365">
        <f>SUMIF(62:62,I8,63:63)-SUMIF(62:62,C8,63:63)+100</f>
        <v>100</v>
      </c>
      <c r="K8" s="560"/>
      <c r="L8" s="2717"/>
      <c r="M8" s="2718"/>
      <c r="N8" s="2718"/>
      <c r="O8" s="2718"/>
      <c r="P8" s="3939" t="s">
        <v>1683</v>
      </c>
      <c r="Q8" s="3880"/>
      <c r="R8" s="701" t="s">
        <v>14</v>
      </c>
      <c r="S8" s="702">
        <f t="shared" si="0"/>
        <v>100</v>
      </c>
      <c r="T8" s="701" t="s">
        <v>14</v>
      </c>
      <c r="U8" s="702">
        <f t="shared" si="1"/>
        <v>100</v>
      </c>
      <c r="V8" s="701" t="s">
        <v>14</v>
      </c>
      <c r="W8" s="702">
        <f t="shared" si="2"/>
        <v>100</v>
      </c>
      <c r="X8" s="703"/>
      <c r="Y8" s="3878" t="s">
        <v>1683</v>
      </c>
      <c r="Z8" s="3880"/>
      <c r="AA8" s="704">
        <f t="shared" ref="AA8:AA47" si="3">D8/F8</f>
        <v>1</v>
      </c>
      <c r="AB8" s="704">
        <f t="shared" ref="AB8:AB47" si="4">D8/H8</f>
        <v>1</v>
      </c>
      <c r="AC8" s="1959">
        <f t="shared" ref="AC8:AC47" si="5">D8/J8</f>
        <v>1</v>
      </c>
    </row>
    <row r="9" spans="1:29" s="108" customFormat="1" ht="15" thickBot="1">
      <c r="A9" s="369" t="s">
        <v>1684</v>
      </c>
      <c r="B9" s="63" t="s">
        <v>1685</v>
      </c>
      <c r="C9" s="3548" t="s">
        <v>3685</v>
      </c>
      <c r="D9" s="126">
        <v>100</v>
      </c>
      <c r="E9" s="373" t="s">
        <v>21</v>
      </c>
      <c r="F9" s="126">
        <f>SUMIF(64:64,E9,65:65)-SUMIF(64:64,C9,65:65)+100</f>
        <v>100</v>
      </c>
      <c r="G9" s="373" t="s">
        <v>21</v>
      </c>
      <c r="H9" s="126">
        <f>SUMIF(64:64,G9,65:65)-SUMIF(64:64,C9,65:65)+100</f>
        <v>100</v>
      </c>
      <c r="I9" s="373" t="s">
        <v>21</v>
      </c>
      <c r="J9" s="126">
        <f>SUMIF(64:64,I9,65:65)-SUMIF(64:64,C9,65:65)+100</f>
        <v>100</v>
      </c>
      <c r="K9" s="560"/>
      <c r="L9" s="2717"/>
      <c r="M9" s="2718"/>
      <c r="N9" s="2718"/>
      <c r="O9" s="2718"/>
      <c r="P9" s="3881" t="s">
        <v>1686</v>
      </c>
      <c r="Q9" s="3550" t="str">
        <f t="shared" ref="Q9:Q15" si="6">B9</f>
        <v>用途</v>
      </c>
      <c r="R9" s="701" t="s">
        <v>14</v>
      </c>
      <c r="S9" s="702">
        <f t="shared" si="0"/>
        <v>100</v>
      </c>
      <c r="T9" s="701" t="s">
        <v>14</v>
      </c>
      <c r="U9" s="702">
        <f t="shared" si="1"/>
        <v>100</v>
      </c>
      <c r="V9" s="701" t="s">
        <v>14</v>
      </c>
      <c r="W9" s="702">
        <f t="shared" si="2"/>
        <v>100</v>
      </c>
      <c r="X9" s="703"/>
      <c r="Y9" s="3706" t="s">
        <v>1687</v>
      </c>
      <c r="Z9" s="3549" t="str">
        <f t="shared" ref="Z9:Z15" si="7">Q9</f>
        <v>用途</v>
      </c>
      <c r="AA9" s="704">
        <f t="shared" si="3"/>
        <v>1</v>
      </c>
      <c r="AB9" s="704">
        <f t="shared" si="4"/>
        <v>1</v>
      </c>
      <c r="AC9" s="1959">
        <f t="shared" si="5"/>
        <v>1</v>
      </c>
    </row>
    <row r="10" spans="1:29" s="378" customFormat="1" ht="29.4" hidden="1" thickBot="1">
      <c r="A10" s="374"/>
      <c r="B10" s="375" t="s">
        <v>1688</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881"/>
      <c r="Q10" s="3550" t="str">
        <f t="shared" si="6"/>
        <v>土地使用年限（年）</v>
      </c>
      <c r="R10" s="701" t="s">
        <v>14</v>
      </c>
      <c r="S10" s="702">
        <f t="shared" si="0"/>
        <v>100</v>
      </c>
      <c r="T10" s="701" t="s">
        <v>14</v>
      </c>
      <c r="U10" s="702">
        <f t="shared" si="1"/>
        <v>100</v>
      </c>
      <c r="V10" s="701" t="s">
        <v>14</v>
      </c>
      <c r="W10" s="702">
        <f t="shared" si="2"/>
        <v>100</v>
      </c>
      <c r="X10" s="703"/>
      <c r="Y10" s="3706"/>
      <c r="Z10" s="3549" t="str">
        <f t="shared" si="7"/>
        <v>土地使用年限（年）</v>
      </c>
      <c r="AA10" s="704">
        <f t="shared" si="3"/>
        <v>1</v>
      </c>
      <c r="AB10" s="704">
        <f t="shared" si="4"/>
        <v>1</v>
      </c>
      <c r="AC10" s="1959">
        <f t="shared" si="5"/>
        <v>1</v>
      </c>
    </row>
    <row r="11" spans="1:29" ht="15.6" hidden="1" thickBot="1">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881"/>
      <c r="Q11" s="3550" t="str">
        <f t="shared" si="6"/>
        <v>容积率</v>
      </c>
      <c r="R11" s="701" t="s">
        <v>14</v>
      </c>
      <c r="S11" s="702">
        <f t="shared" si="0"/>
        <v>100</v>
      </c>
      <c r="T11" s="701" t="s">
        <v>14</v>
      </c>
      <c r="U11" s="702">
        <f t="shared" si="1"/>
        <v>100</v>
      </c>
      <c r="V11" s="701" t="s">
        <v>14</v>
      </c>
      <c r="W11" s="702">
        <f t="shared" si="2"/>
        <v>100</v>
      </c>
      <c r="X11" s="703"/>
      <c r="Y11" s="3706"/>
      <c r="Z11" s="3549" t="str">
        <f t="shared" si="7"/>
        <v>容积率</v>
      </c>
      <c r="AA11" s="704">
        <f t="shared" si="3"/>
        <v>1</v>
      </c>
      <c r="AB11" s="704">
        <f t="shared" si="4"/>
        <v>1</v>
      </c>
      <c r="AC11" s="1959">
        <f t="shared" si="5"/>
        <v>1</v>
      </c>
    </row>
    <row r="12" spans="1:29" s="108" customFormat="1" ht="15.6" hidden="1" thickBot="1">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881"/>
      <c r="Q12" s="3550">
        <f t="shared" si="6"/>
        <v>111</v>
      </c>
      <c r="R12" s="701" t="s">
        <v>14</v>
      </c>
      <c r="S12" s="702">
        <f t="shared" si="0"/>
        <v>100</v>
      </c>
      <c r="T12" s="701" t="s">
        <v>14</v>
      </c>
      <c r="U12" s="702">
        <f t="shared" si="1"/>
        <v>100</v>
      </c>
      <c r="V12" s="701" t="s">
        <v>14</v>
      </c>
      <c r="W12" s="702">
        <f t="shared" si="2"/>
        <v>100</v>
      </c>
      <c r="X12" s="703"/>
      <c r="Y12" s="3706"/>
      <c r="Z12" s="3549">
        <f t="shared" si="7"/>
        <v>111</v>
      </c>
      <c r="AA12" s="704">
        <f>D12/F12</f>
        <v>1</v>
      </c>
      <c r="AB12" s="704">
        <f>D12/H12</f>
        <v>1</v>
      </c>
      <c r="AC12" s="1959">
        <f>D12/J12</f>
        <v>1</v>
      </c>
    </row>
    <row r="13" spans="1:29" ht="15.6" hidden="1" thickBot="1">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881"/>
      <c r="Q13" s="3550">
        <f t="shared" si="6"/>
        <v>111</v>
      </c>
      <c r="R13" s="701" t="s">
        <v>14</v>
      </c>
      <c r="S13" s="702">
        <f t="shared" si="0"/>
        <v>100</v>
      </c>
      <c r="T13" s="701" t="s">
        <v>14</v>
      </c>
      <c r="U13" s="702">
        <f t="shared" si="1"/>
        <v>100</v>
      </c>
      <c r="V13" s="701" t="s">
        <v>14</v>
      </c>
      <c r="W13" s="702">
        <f t="shared" si="2"/>
        <v>100</v>
      </c>
      <c r="X13" s="703"/>
      <c r="Y13" s="3706"/>
      <c r="Z13" s="3549">
        <f t="shared" si="7"/>
        <v>111</v>
      </c>
      <c r="AA13" s="704">
        <f t="shared" si="3"/>
        <v>1</v>
      </c>
      <c r="AB13" s="704">
        <f t="shared" si="4"/>
        <v>1</v>
      </c>
      <c r="AC13" s="1959">
        <f t="shared" si="5"/>
        <v>1</v>
      </c>
    </row>
    <row r="14" spans="1:29" ht="15.6" hidden="1"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881"/>
      <c r="Q14" s="3550">
        <f t="shared" si="6"/>
        <v>111</v>
      </c>
      <c r="R14" s="701" t="s">
        <v>14</v>
      </c>
      <c r="S14" s="702">
        <f t="shared" si="0"/>
        <v>100</v>
      </c>
      <c r="T14" s="701" t="s">
        <v>14</v>
      </c>
      <c r="U14" s="702">
        <f t="shared" si="1"/>
        <v>100</v>
      </c>
      <c r="V14" s="701" t="s">
        <v>14</v>
      </c>
      <c r="W14" s="702">
        <f t="shared" si="2"/>
        <v>100</v>
      </c>
      <c r="X14" s="703"/>
      <c r="Y14" s="3706"/>
      <c r="Z14" s="3549">
        <f t="shared" si="7"/>
        <v>111</v>
      </c>
      <c r="AA14" s="704">
        <f t="shared" si="3"/>
        <v>1</v>
      </c>
      <c r="AB14" s="704">
        <f t="shared" si="4"/>
        <v>1</v>
      </c>
      <c r="AC14" s="1959">
        <f t="shared" si="5"/>
        <v>1</v>
      </c>
    </row>
    <row r="15" spans="1:29" ht="69">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2"/>
      <c r="M15" s="2716"/>
      <c r="N15" s="2716"/>
      <c r="O15" s="2716"/>
      <c r="P15" s="3882" t="s">
        <v>1691</v>
      </c>
      <c r="Q15" s="3563" t="str">
        <f t="shared" si="6"/>
        <v>办公集聚程度</v>
      </c>
      <c r="R15" s="705" t="s">
        <v>14</v>
      </c>
      <c r="S15" s="706">
        <f t="shared" si="0"/>
        <v>100</v>
      </c>
      <c r="T15" s="705" t="s">
        <v>14</v>
      </c>
      <c r="U15" s="706">
        <f t="shared" si="1"/>
        <v>100</v>
      </c>
      <c r="V15" s="705" t="s">
        <v>14</v>
      </c>
      <c r="W15" s="706">
        <f t="shared" si="2"/>
        <v>100</v>
      </c>
      <c r="X15" s="3567"/>
      <c r="Y15" s="3884" t="s">
        <v>1691</v>
      </c>
      <c r="Z15" s="3566" t="str">
        <f t="shared" si="7"/>
        <v>办公集聚程度</v>
      </c>
      <c r="AA15" s="3564">
        <f t="shared" si="3"/>
        <v>1</v>
      </c>
      <c r="AB15" s="3564">
        <f t="shared" si="4"/>
        <v>1</v>
      </c>
      <c r="AC15" s="1962">
        <f t="shared" si="5"/>
        <v>1</v>
      </c>
    </row>
    <row r="16" spans="1:29" ht="15">
      <c r="A16" s="379"/>
      <c r="B16" s="578"/>
      <c r="C16" s="1904" t="s">
        <v>3683</v>
      </c>
      <c r="D16" s="399"/>
      <c r="E16" s="1904" t="s">
        <v>3683</v>
      </c>
      <c r="F16" s="399"/>
      <c r="G16" s="1904" t="s">
        <v>3683</v>
      </c>
      <c r="H16" s="401"/>
      <c r="I16" s="1904" t="s">
        <v>3683</v>
      </c>
      <c r="J16" s="399"/>
      <c r="K16" s="564"/>
      <c r="L16" s="2722"/>
      <c r="M16" s="2716"/>
      <c r="N16" s="2716"/>
      <c r="O16" s="2716"/>
      <c r="P16" s="3883"/>
      <c r="Q16" s="3563"/>
      <c r="R16" s="705"/>
      <c r="S16" s="706"/>
      <c r="T16" s="705"/>
      <c r="U16" s="706"/>
      <c r="V16" s="705"/>
      <c r="W16" s="706"/>
      <c r="X16" s="3567"/>
      <c r="Y16" s="3885"/>
      <c r="Z16" s="3566"/>
      <c r="AA16" s="3564">
        <v>1</v>
      </c>
      <c r="AB16" s="3564">
        <v>1</v>
      </c>
      <c r="AC16" s="1962">
        <v>1</v>
      </c>
    </row>
    <row r="17" spans="1:29" ht="82.8">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2"/>
      <c r="M17" s="2716"/>
      <c r="N17" s="2716"/>
      <c r="O17" s="2716"/>
      <c r="P17" s="3883"/>
      <c r="Q17" s="3563" t="str">
        <f>B17</f>
        <v>交通便捷度</v>
      </c>
      <c r="R17" s="705" t="s">
        <v>14</v>
      </c>
      <c r="S17" s="706">
        <f>F17</f>
        <v>100</v>
      </c>
      <c r="T17" s="705" t="s">
        <v>14</v>
      </c>
      <c r="U17" s="706">
        <f>H17</f>
        <v>100</v>
      </c>
      <c r="V17" s="705" t="s">
        <v>14</v>
      </c>
      <c r="W17" s="706">
        <f>J17</f>
        <v>100</v>
      </c>
      <c r="X17" s="3567"/>
      <c r="Y17" s="3885"/>
      <c r="Z17" s="3566" t="str">
        <f>Q17</f>
        <v>交通便捷度</v>
      </c>
      <c r="AA17" s="3564">
        <f t="shared" si="3"/>
        <v>1</v>
      </c>
      <c r="AB17" s="3564">
        <f t="shared" si="4"/>
        <v>1</v>
      </c>
      <c r="AC17" s="1962">
        <f t="shared" si="5"/>
        <v>1</v>
      </c>
    </row>
    <row r="18" spans="1:29" ht="15">
      <c r="A18" s="379"/>
      <c r="B18" s="580"/>
      <c r="C18" s="1904" t="s">
        <v>3683</v>
      </c>
      <c r="D18" s="401"/>
      <c r="E18" s="1904" t="s">
        <v>3683</v>
      </c>
      <c r="F18" s="401"/>
      <c r="G18" s="1904" t="s">
        <v>3683</v>
      </c>
      <c r="H18" s="399"/>
      <c r="I18" s="1904" t="s">
        <v>3683</v>
      </c>
      <c r="J18" s="399"/>
      <c r="K18" s="564"/>
      <c r="L18" s="2722"/>
      <c r="M18" s="2716"/>
      <c r="N18" s="2716"/>
      <c r="O18" s="2716"/>
      <c r="P18" s="3883"/>
      <c r="Q18" s="3563"/>
      <c r="R18" s="705"/>
      <c r="S18" s="706"/>
      <c r="T18" s="705"/>
      <c r="U18" s="706"/>
      <c r="V18" s="705"/>
      <c r="W18" s="706"/>
      <c r="X18" s="3567"/>
      <c r="Y18" s="3885"/>
      <c r="Z18" s="3566"/>
      <c r="AA18" s="3564">
        <v>1</v>
      </c>
      <c r="AB18" s="3564">
        <v>1</v>
      </c>
      <c r="AC18" s="1962">
        <v>1</v>
      </c>
    </row>
    <row r="19" spans="1:29" ht="41.4">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2"/>
      <c r="M19" s="2716"/>
      <c r="N19" s="2716"/>
      <c r="O19" s="2716"/>
      <c r="P19" s="3883"/>
      <c r="Q19" s="3563" t="str">
        <f>B19</f>
        <v>公共配套设施</v>
      </c>
      <c r="R19" s="705" t="s">
        <v>14</v>
      </c>
      <c r="S19" s="706">
        <f>F19</f>
        <v>100</v>
      </c>
      <c r="T19" s="705" t="s">
        <v>14</v>
      </c>
      <c r="U19" s="706">
        <f>H19</f>
        <v>100</v>
      </c>
      <c r="V19" s="705" t="s">
        <v>14</v>
      </c>
      <c r="W19" s="706">
        <f>J19</f>
        <v>100</v>
      </c>
      <c r="X19" s="3567"/>
      <c r="Y19" s="3885"/>
      <c r="Z19" s="3566" t="str">
        <f>Q19</f>
        <v>公共配套设施</v>
      </c>
      <c r="AA19" s="3564">
        <f t="shared" si="3"/>
        <v>1</v>
      </c>
      <c r="AB19" s="3564">
        <f t="shared" si="4"/>
        <v>1</v>
      </c>
      <c r="AC19" s="1962">
        <f t="shared" si="5"/>
        <v>1</v>
      </c>
    </row>
    <row r="20" spans="1:29" ht="15">
      <c r="A20" s="379"/>
      <c r="B20" s="580"/>
      <c r="C20" s="1904" t="s">
        <v>3683</v>
      </c>
      <c r="D20" s="399"/>
      <c r="E20" s="1904" t="s">
        <v>3683</v>
      </c>
      <c r="F20" s="399"/>
      <c r="G20" s="1904" t="s">
        <v>3683</v>
      </c>
      <c r="H20" s="399"/>
      <c r="I20" s="1904" t="s">
        <v>3683</v>
      </c>
      <c r="J20" s="399"/>
      <c r="K20" s="564"/>
      <c r="L20" s="2722"/>
      <c r="M20" s="2716"/>
      <c r="N20" s="2716"/>
      <c r="O20" s="2716"/>
      <c r="P20" s="3883"/>
      <c r="Q20" s="3563"/>
      <c r="R20" s="705"/>
      <c r="S20" s="706"/>
      <c r="T20" s="705"/>
      <c r="U20" s="706"/>
      <c r="V20" s="705"/>
      <c r="W20" s="706"/>
      <c r="X20" s="3567"/>
      <c r="Y20" s="3885"/>
      <c r="Z20" s="3566"/>
      <c r="AA20" s="3564">
        <v>1</v>
      </c>
      <c r="AB20" s="3564">
        <v>1</v>
      </c>
      <c r="AC20" s="1962">
        <v>1</v>
      </c>
    </row>
    <row r="21" spans="1:29" ht="27.6">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2"/>
      <c r="M21" s="2716"/>
      <c r="N21" s="2716"/>
      <c r="O21" s="2716"/>
      <c r="P21" s="3883"/>
      <c r="Q21" s="3563" t="str">
        <f>B21</f>
        <v>基础设施水平</v>
      </c>
      <c r="R21" s="705" t="s">
        <v>14</v>
      </c>
      <c r="S21" s="706">
        <f>F21</f>
        <v>100</v>
      </c>
      <c r="T21" s="705" t="s">
        <v>14</v>
      </c>
      <c r="U21" s="706">
        <f>H21</f>
        <v>100</v>
      </c>
      <c r="V21" s="705" t="s">
        <v>14</v>
      </c>
      <c r="W21" s="706">
        <f>J21</f>
        <v>100</v>
      </c>
      <c r="X21" s="3567"/>
      <c r="Y21" s="3885"/>
      <c r="Z21" s="3566" t="str">
        <f>Q21</f>
        <v>基础设施水平</v>
      </c>
      <c r="AA21" s="3564">
        <f t="shared" ref="AA21" si="8">D21/F21</f>
        <v>1</v>
      </c>
      <c r="AB21" s="3564">
        <f t="shared" ref="AB21" si="9">D21/H21</f>
        <v>1</v>
      </c>
      <c r="AC21" s="1962">
        <f t="shared" ref="AC21" si="10">D21/J21</f>
        <v>1</v>
      </c>
    </row>
    <row r="22" spans="1:29" ht="15">
      <c r="A22" s="379"/>
      <c r="B22" s="581"/>
      <c r="C22" s="1964" t="s">
        <v>3684</v>
      </c>
      <c r="D22" s="399"/>
      <c r="E22" s="1964" t="s">
        <v>3684</v>
      </c>
      <c r="F22" s="399"/>
      <c r="G22" s="1964" t="s">
        <v>3684</v>
      </c>
      <c r="H22" s="399"/>
      <c r="I22" s="1964" t="s">
        <v>3684</v>
      </c>
      <c r="J22" s="399"/>
      <c r="K22" s="1130"/>
      <c r="L22" s="2722"/>
      <c r="M22" s="2716"/>
      <c r="N22" s="2716"/>
      <c r="O22" s="2716"/>
      <c r="P22" s="3883"/>
      <c r="Q22" s="3563"/>
      <c r="R22" s="705"/>
      <c r="S22" s="706"/>
      <c r="T22" s="705"/>
      <c r="U22" s="706"/>
      <c r="V22" s="705"/>
      <c r="W22" s="706"/>
      <c r="X22" s="3567"/>
      <c r="Y22" s="3885"/>
      <c r="Z22" s="3566"/>
      <c r="AA22" s="3564">
        <v>1</v>
      </c>
      <c r="AB22" s="3564">
        <v>1</v>
      </c>
      <c r="AC22" s="1962">
        <v>1</v>
      </c>
    </row>
    <row r="23" spans="1:29" ht="55.2">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2"/>
      <c r="M23" s="2716"/>
      <c r="N23" s="2716"/>
      <c r="O23" s="2716"/>
      <c r="P23" s="3883"/>
      <c r="Q23" s="3563" t="str">
        <f>B23</f>
        <v>环境质量</v>
      </c>
      <c r="R23" s="705" t="s">
        <v>14</v>
      </c>
      <c r="S23" s="706">
        <f>F23</f>
        <v>100</v>
      </c>
      <c r="T23" s="705" t="s">
        <v>14</v>
      </c>
      <c r="U23" s="706">
        <f>H23</f>
        <v>100</v>
      </c>
      <c r="V23" s="705" t="s">
        <v>14</v>
      </c>
      <c r="W23" s="706">
        <f>J23</f>
        <v>100</v>
      </c>
      <c r="X23" s="3567"/>
      <c r="Y23" s="3885"/>
      <c r="Z23" s="3566" t="str">
        <f>Q23</f>
        <v>环境质量</v>
      </c>
      <c r="AA23" s="3564">
        <f t="shared" si="3"/>
        <v>1</v>
      </c>
      <c r="AB23" s="3564">
        <f t="shared" si="4"/>
        <v>1</v>
      </c>
      <c r="AC23" s="1962">
        <f t="shared" si="5"/>
        <v>1</v>
      </c>
    </row>
    <row r="24" spans="1:29" ht="15">
      <c r="A24" s="379"/>
      <c r="B24" s="581"/>
      <c r="C24" s="1904" t="s">
        <v>3683</v>
      </c>
      <c r="D24" s="399"/>
      <c r="E24" s="1904" t="s">
        <v>3683</v>
      </c>
      <c r="F24" s="399"/>
      <c r="G24" s="1904" t="s">
        <v>3683</v>
      </c>
      <c r="H24" s="399"/>
      <c r="I24" s="1904" t="s">
        <v>3683</v>
      </c>
      <c r="J24" s="399"/>
      <c r="K24" s="564"/>
      <c r="L24" s="2722"/>
      <c r="M24" s="2716"/>
      <c r="N24" s="2716"/>
      <c r="O24" s="2716"/>
      <c r="P24" s="3883"/>
      <c r="Q24" s="3563"/>
      <c r="R24" s="705"/>
      <c r="S24" s="706"/>
      <c r="T24" s="705"/>
      <c r="U24" s="706"/>
      <c r="V24" s="705"/>
      <c r="W24" s="706"/>
      <c r="X24" s="3567"/>
      <c r="Y24" s="3885"/>
      <c r="Z24" s="3566"/>
      <c r="AA24" s="3564">
        <v>1</v>
      </c>
      <c r="AB24" s="3564">
        <v>1</v>
      </c>
      <c r="AC24" s="1962">
        <v>1</v>
      </c>
    </row>
    <row r="25" spans="1:29" ht="28.8">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2"/>
      <c r="M25" s="2716"/>
      <c r="N25" s="2716"/>
      <c r="O25" s="2716"/>
      <c r="P25" s="3883"/>
      <c r="Q25" s="3563" t="str">
        <f>B25</f>
        <v>毗邻道路的类型与等级</v>
      </c>
      <c r="R25" s="705" t="s">
        <v>14</v>
      </c>
      <c r="S25" s="706">
        <f>F25</f>
        <v>100</v>
      </c>
      <c r="T25" s="705" t="s">
        <v>14</v>
      </c>
      <c r="U25" s="706">
        <f>H25</f>
        <v>100</v>
      </c>
      <c r="V25" s="705" t="s">
        <v>14</v>
      </c>
      <c r="W25" s="706">
        <f>J25</f>
        <v>100</v>
      </c>
      <c r="X25" s="3567"/>
      <c r="Y25" s="3885"/>
      <c r="Z25" s="3566" t="str">
        <f>Q25</f>
        <v>毗邻道路的类型与等级</v>
      </c>
      <c r="AA25" s="3564">
        <f t="shared" si="3"/>
        <v>1</v>
      </c>
      <c r="AB25" s="3564">
        <f t="shared" si="4"/>
        <v>1</v>
      </c>
      <c r="AC25" s="1962">
        <f t="shared" si="5"/>
        <v>1</v>
      </c>
    </row>
    <row r="26" spans="1:29" ht="27.6">
      <c r="A26" s="358"/>
      <c r="B26" s="580"/>
      <c r="C26" s="582" t="s">
        <v>3717</v>
      </c>
      <c r="D26" s="386"/>
      <c r="E26" s="565" t="s">
        <v>3717</v>
      </c>
      <c r="F26" s="386"/>
      <c r="G26" s="582" t="s">
        <v>3718</v>
      </c>
      <c r="H26" s="386"/>
      <c r="I26" s="565" t="s">
        <v>3717</v>
      </c>
      <c r="J26" s="386"/>
      <c r="K26" s="564"/>
      <c r="L26" s="2722"/>
      <c r="M26" s="2716"/>
      <c r="N26" s="2716"/>
      <c r="O26" s="2716"/>
      <c r="P26" s="3883"/>
      <c r="Q26" s="3563"/>
      <c r="R26" s="705"/>
      <c r="S26" s="706"/>
      <c r="T26" s="705"/>
      <c r="U26" s="706"/>
      <c r="V26" s="705"/>
      <c r="W26" s="706"/>
      <c r="X26" s="3567"/>
      <c r="Y26" s="3885"/>
      <c r="Z26" s="3566"/>
      <c r="AA26" s="3564">
        <v>1</v>
      </c>
      <c r="AB26" s="3564">
        <v>1</v>
      </c>
      <c r="AC26" s="1962">
        <v>1</v>
      </c>
    </row>
    <row r="27" spans="1:29" ht="15" hidden="1">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2"/>
      <c r="M27" s="2716"/>
      <c r="N27" s="2716"/>
      <c r="O27" s="2716"/>
      <c r="P27" s="3883"/>
      <c r="Q27" s="3563" t="str">
        <f t="shared" ref="Q27:Q47" si="11">B27</f>
        <v>楼层</v>
      </c>
      <c r="R27" s="705" t="s">
        <v>14</v>
      </c>
      <c r="S27" s="706">
        <f>F27</f>
        <v>100</v>
      </c>
      <c r="T27" s="705" t="s">
        <v>14</v>
      </c>
      <c r="U27" s="706">
        <f>H27</f>
        <v>100</v>
      </c>
      <c r="V27" s="705" t="s">
        <v>14</v>
      </c>
      <c r="W27" s="706">
        <f>J27</f>
        <v>100</v>
      </c>
      <c r="X27" s="3567"/>
      <c r="Y27" s="3885"/>
      <c r="Z27" s="3566" t="str">
        <f>Q27</f>
        <v>楼层</v>
      </c>
      <c r="AA27" s="3564">
        <f t="shared" si="3"/>
        <v>1</v>
      </c>
      <c r="AB27" s="3564">
        <f t="shared" si="4"/>
        <v>1</v>
      </c>
      <c r="AC27" s="1962">
        <f t="shared" si="5"/>
        <v>1</v>
      </c>
    </row>
    <row r="28" spans="1:29" s="108" customFormat="1" ht="15" hidden="1">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883"/>
      <c r="Q28" s="3550" t="str">
        <f t="shared" si="11"/>
        <v>朝向</v>
      </c>
      <c r="R28" s="701" t="s">
        <v>14</v>
      </c>
      <c r="S28" s="702">
        <f>F28</f>
        <v>100</v>
      </c>
      <c r="T28" s="701" t="s">
        <v>14</v>
      </c>
      <c r="U28" s="702">
        <f>H28</f>
        <v>100</v>
      </c>
      <c r="V28" s="701" t="s">
        <v>14</v>
      </c>
      <c r="W28" s="702">
        <f>J28</f>
        <v>100</v>
      </c>
      <c r="X28" s="703"/>
      <c r="Y28" s="3885"/>
      <c r="Z28" s="3549" t="str">
        <f>Q28</f>
        <v>朝向</v>
      </c>
      <c r="AA28" s="3564">
        <f>D28/F28</f>
        <v>1</v>
      </c>
      <c r="AB28" s="3564">
        <f>D28/H28</f>
        <v>1</v>
      </c>
      <c r="AC28" s="1962">
        <f>D28/J28</f>
        <v>1</v>
      </c>
    </row>
    <row r="29" spans="1:29" ht="15.6" thickBot="1">
      <c r="A29" s="379"/>
      <c r="B29" s="3569" t="s">
        <v>3699</v>
      </c>
      <c r="C29" s="1908" t="s">
        <v>3703</v>
      </c>
      <c r="D29" s="386">
        <v>100</v>
      </c>
      <c r="E29" s="383" t="s">
        <v>3722</v>
      </c>
      <c r="F29" s="386">
        <f>SUMIF(93:93,E29,94:94)-SUMIF(93:93,C29,94:94)+100</f>
        <v>100</v>
      </c>
      <c r="G29" s="1960" t="s">
        <v>3720</v>
      </c>
      <c r="H29" s="386">
        <f>SUMIF(93:93,G29,94:94)-SUMIF(93:93,C29,94:94)+100</f>
        <v>102</v>
      </c>
      <c r="I29" s="383" t="s">
        <v>3721</v>
      </c>
      <c r="J29" s="386">
        <f>SUMIF(93:93,I29,94:94)-SUMIF(93:93,C29,94:94)+100</f>
        <v>98</v>
      </c>
      <c r="K29" s="562"/>
      <c r="L29" s="2722"/>
      <c r="M29" s="2716"/>
      <c r="N29" s="2716"/>
      <c r="O29" s="2716"/>
      <c r="P29" s="3883"/>
      <c r="Q29" s="3563" t="str">
        <f t="shared" si="11"/>
        <v>楼层</v>
      </c>
      <c r="R29" s="705" t="s">
        <v>14</v>
      </c>
      <c r="S29" s="706">
        <f t="shared" ref="S29:S47" si="12">F29</f>
        <v>100</v>
      </c>
      <c r="T29" s="705" t="s">
        <v>14</v>
      </c>
      <c r="U29" s="706">
        <f t="shared" ref="U29:U47" si="13">H29</f>
        <v>102</v>
      </c>
      <c r="V29" s="705" t="s">
        <v>14</v>
      </c>
      <c r="W29" s="706">
        <f t="shared" ref="W29:W47" si="14">J29</f>
        <v>98</v>
      </c>
      <c r="X29" s="3567"/>
      <c r="Y29" s="3885"/>
      <c r="Z29" s="3566" t="str">
        <f t="shared" ref="Z29:Z47" si="15">Q29</f>
        <v>楼层</v>
      </c>
      <c r="AA29" s="3564">
        <f t="shared" si="3"/>
        <v>1</v>
      </c>
      <c r="AB29" s="3564">
        <f t="shared" si="4"/>
        <v>0.98039215686274506</v>
      </c>
      <c r="AC29" s="1962">
        <f t="shared" si="5"/>
        <v>1.0204081632653061</v>
      </c>
    </row>
    <row r="30" spans="1:29" ht="15.6" hidden="1" thickBot="1">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883"/>
      <c r="Q30" s="3563">
        <f t="shared" si="11"/>
        <v>111</v>
      </c>
      <c r="R30" s="705" t="s">
        <v>14</v>
      </c>
      <c r="S30" s="706">
        <f t="shared" si="12"/>
        <v>100</v>
      </c>
      <c r="T30" s="705" t="s">
        <v>14</v>
      </c>
      <c r="U30" s="706">
        <f t="shared" si="13"/>
        <v>100</v>
      </c>
      <c r="V30" s="705" t="s">
        <v>14</v>
      </c>
      <c r="W30" s="706">
        <f t="shared" si="14"/>
        <v>100</v>
      </c>
      <c r="X30" s="3567"/>
      <c r="Y30" s="3885"/>
      <c r="Z30" s="3566">
        <f t="shared" si="15"/>
        <v>111</v>
      </c>
      <c r="AA30" s="3564">
        <f t="shared" si="3"/>
        <v>1</v>
      </c>
      <c r="AB30" s="3564">
        <f t="shared" si="4"/>
        <v>1</v>
      </c>
      <c r="AC30" s="1962">
        <f t="shared" si="5"/>
        <v>1</v>
      </c>
    </row>
    <row r="31" spans="1:29" ht="15.6" hidden="1" thickBot="1">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883"/>
      <c r="Q31" s="3563">
        <f t="shared" si="11"/>
        <v>111</v>
      </c>
      <c r="R31" s="705" t="s">
        <v>14</v>
      </c>
      <c r="S31" s="706">
        <f t="shared" si="12"/>
        <v>100</v>
      </c>
      <c r="T31" s="705" t="s">
        <v>14</v>
      </c>
      <c r="U31" s="706">
        <f t="shared" si="13"/>
        <v>100</v>
      </c>
      <c r="V31" s="705" t="s">
        <v>14</v>
      </c>
      <c r="W31" s="706">
        <f t="shared" si="14"/>
        <v>100</v>
      </c>
      <c r="X31" s="3567"/>
      <c r="Y31" s="3885"/>
      <c r="Z31" s="3566">
        <f t="shared" si="15"/>
        <v>111</v>
      </c>
      <c r="AA31" s="3564">
        <f t="shared" si="3"/>
        <v>1</v>
      </c>
      <c r="AB31" s="3564">
        <f t="shared" si="4"/>
        <v>1</v>
      </c>
      <c r="AC31" s="1962">
        <f t="shared" si="5"/>
        <v>1</v>
      </c>
    </row>
    <row r="32" spans="1:29" ht="15.6" hidden="1"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883"/>
      <c r="Q32" s="3563">
        <f t="shared" si="11"/>
        <v>111</v>
      </c>
      <c r="R32" s="705" t="s">
        <v>14</v>
      </c>
      <c r="S32" s="706">
        <f t="shared" si="12"/>
        <v>100</v>
      </c>
      <c r="T32" s="705" t="s">
        <v>14</v>
      </c>
      <c r="U32" s="706">
        <f t="shared" si="13"/>
        <v>100</v>
      </c>
      <c r="V32" s="705" t="s">
        <v>14</v>
      </c>
      <c r="W32" s="706">
        <f t="shared" si="14"/>
        <v>100</v>
      </c>
      <c r="X32" s="3567"/>
      <c r="Y32" s="3885"/>
      <c r="Z32" s="3566">
        <f t="shared" si="15"/>
        <v>111</v>
      </c>
      <c r="AA32" s="3564">
        <f t="shared" si="3"/>
        <v>1</v>
      </c>
      <c r="AB32" s="3564">
        <f t="shared" si="4"/>
        <v>1</v>
      </c>
      <c r="AC32" s="1962">
        <f t="shared" si="5"/>
        <v>1</v>
      </c>
    </row>
    <row r="33" spans="1:29" ht="15">
      <c r="A33" s="391" t="s">
        <v>1694</v>
      </c>
      <c r="B33" s="63" t="s">
        <v>1817</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22"/>
      <c r="M33" s="2716"/>
      <c r="N33" s="2716"/>
      <c r="O33" s="2716"/>
      <c r="P33" s="3886" t="s">
        <v>1696</v>
      </c>
      <c r="Q33" s="3563" t="str">
        <f t="shared" si="11"/>
        <v>建筑类型</v>
      </c>
      <c r="R33" s="705" t="s">
        <v>14</v>
      </c>
      <c r="S33" s="706">
        <f t="shared" si="12"/>
        <v>100</v>
      </c>
      <c r="T33" s="705" t="s">
        <v>14</v>
      </c>
      <c r="U33" s="706">
        <f t="shared" si="13"/>
        <v>100</v>
      </c>
      <c r="V33" s="705" t="s">
        <v>14</v>
      </c>
      <c r="W33" s="706">
        <f t="shared" si="14"/>
        <v>100</v>
      </c>
      <c r="X33" s="3567"/>
      <c r="Y33" s="3889" t="s">
        <v>1696</v>
      </c>
      <c r="Z33" s="3566" t="str">
        <f t="shared" si="15"/>
        <v>建筑类型</v>
      </c>
      <c r="AA33" s="3564">
        <f t="shared" si="3"/>
        <v>1</v>
      </c>
      <c r="AB33" s="3564">
        <f t="shared" si="4"/>
        <v>1</v>
      </c>
      <c r="AC33" s="1962">
        <f t="shared" si="5"/>
        <v>1</v>
      </c>
    </row>
    <row r="34" spans="1:29" s="422" customFormat="1" ht="15">
      <c r="A34" s="419"/>
      <c r="B34" s="375" t="s">
        <v>1697</v>
      </c>
      <c r="C34" s="420">
        <v>1435.93</v>
      </c>
      <c r="D34" s="127">
        <v>100</v>
      </c>
      <c r="E34" s="381">
        <v>300</v>
      </c>
      <c r="F34" s="376">
        <f>LOOKUP(E34,104:104,105:105)-LOOKUP(C34,104:104,105:105)+100</f>
        <v>104</v>
      </c>
      <c r="G34" s="380">
        <v>1880</v>
      </c>
      <c r="H34" s="127">
        <f>LOOKUP(G34,104:104,105:105)-LOOKUP(C34,104:104,105:105)+100</f>
        <v>100</v>
      </c>
      <c r="I34" s="380">
        <v>1473</v>
      </c>
      <c r="J34" s="127">
        <f>LOOKUP(I34,104:104,105:105)-LOOKUP(C34,104:104,105:105)+100</f>
        <v>100</v>
      </c>
      <c r="K34" s="562"/>
      <c r="L34" s="2721"/>
      <c r="M34" s="2723"/>
      <c r="N34" s="2723"/>
      <c r="O34" s="2723"/>
      <c r="P34" s="3887"/>
      <c r="Q34" s="707" t="str">
        <f t="shared" si="11"/>
        <v>项目建筑规模</v>
      </c>
      <c r="R34" s="708" t="s">
        <v>14</v>
      </c>
      <c r="S34" s="709">
        <f t="shared" si="12"/>
        <v>104</v>
      </c>
      <c r="T34" s="708" t="s">
        <v>14</v>
      </c>
      <c r="U34" s="709">
        <f t="shared" si="13"/>
        <v>100</v>
      </c>
      <c r="V34" s="708" t="s">
        <v>14</v>
      </c>
      <c r="W34" s="709">
        <f t="shared" si="14"/>
        <v>100</v>
      </c>
      <c r="X34" s="710"/>
      <c r="Y34" s="3889"/>
      <c r="Z34" s="711" t="str">
        <f t="shared" si="15"/>
        <v>项目建筑规模</v>
      </c>
      <c r="AA34" s="3564">
        <f t="shared" si="3"/>
        <v>0.96153846153846156</v>
      </c>
      <c r="AB34" s="3564">
        <f t="shared" si="4"/>
        <v>1</v>
      </c>
      <c r="AC34" s="1962">
        <f t="shared" si="5"/>
        <v>1</v>
      </c>
    </row>
    <row r="35" spans="1:29" ht="15">
      <c r="A35" s="423"/>
      <c r="B35" s="375" t="s">
        <v>1698</v>
      </c>
      <c r="C35" s="411" t="s">
        <v>3704</v>
      </c>
      <c r="D35" s="386">
        <v>100</v>
      </c>
      <c r="E35" s="411" t="s">
        <v>3704</v>
      </c>
      <c r="F35" s="412">
        <f>SUMIF(106:106,E35,107:107)-SUMIF(106:106,C35,107:107)+100</f>
        <v>100</v>
      </c>
      <c r="G35" s="411" t="s">
        <v>3704</v>
      </c>
      <c r="H35" s="386">
        <f>SUMIF(106:106,G35,107:107)-SUMIF(106:106,C35,107:107)+100</f>
        <v>100</v>
      </c>
      <c r="I35" s="411" t="s">
        <v>3704</v>
      </c>
      <c r="J35" s="386">
        <f>SUMIF(106:106,I35,107:107)-SUMIF(106:106,C35,107:107)+100</f>
        <v>100</v>
      </c>
      <c r="K35" s="561"/>
      <c r="L35" s="2722"/>
      <c r="M35" s="2716"/>
      <c r="N35" s="2716"/>
      <c r="O35" s="2716"/>
      <c r="P35" s="3887"/>
      <c r="Q35" s="3563" t="str">
        <f t="shared" si="11"/>
        <v>建筑结构</v>
      </c>
      <c r="R35" s="705" t="s">
        <v>14</v>
      </c>
      <c r="S35" s="706">
        <f t="shared" si="12"/>
        <v>100</v>
      </c>
      <c r="T35" s="705" t="s">
        <v>14</v>
      </c>
      <c r="U35" s="706">
        <f t="shared" si="13"/>
        <v>100</v>
      </c>
      <c r="V35" s="705" t="s">
        <v>14</v>
      </c>
      <c r="W35" s="706">
        <f t="shared" si="14"/>
        <v>100</v>
      </c>
      <c r="X35" s="3567"/>
      <c r="Y35" s="3889"/>
      <c r="Z35" s="3566" t="str">
        <f t="shared" si="15"/>
        <v>建筑结构</v>
      </c>
      <c r="AA35" s="3564">
        <f t="shared" si="3"/>
        <v>1</v>
      </c>
      <c r="AB35" s="3564">
        <f t="shared" si="4"/>
        <v>1</v>
      </c>
      <c r="AC35" s="1962">
        <f t="shared" si="5"/>
        <v>1</v>
      </c>
    </row>
    <row r="36" spans="1:29" ht="15">
      <c r="A36" s="423"/>
      <c r="B36" s="375" t="s">
        <v>1785</v>
      </c>
      <c r="C36" s="411" t="s">
        <v>3706</v>
      </c>
      <c r="D36" s="386">
        <v>100</v>
      </c>
      <c r="E36" s="411" t="s">
        <v>3706</v>
      </c>
      <c r="F36" s="412">
        <f>SUMIF(108:108,E36,109:109)-SUMIF(108:108,C36,109:109)+100</f>
        <v>100</v>
      </c>
      <c r="G36" s="411" t="s">
        <v>3706</v>
      </c>
      <c r="H36" s="386">
        <f>SUMIF(108:108,G36,109:109)-SUMIF(108:108,C36,109:109)+100</f>
        <v>100</v>
      </c>
      <c r="I36" s="411" t="s">
        <v>3706</v>
      </c>
      <c r="J36" s="386">
        <f>SUMIF(108:108,I36,109:109)-SUMIF(108:108,C36,109:109)+100</f>
        <v>100</v>
      </c>
      <c r="K36" s="561"/>
      <c r="L36" s="2722"/>
      <c r="M36" s="2716"/>
      <c r="N36" s="2716"/>
      <c r="O36" s="2716"/>
      <c r="P36" s="3887"/>
      <c r="Q36" s="3563" t="str">
        <f t="shared" si="11"/>
        <v>公共部分装修</v>
      </c>
      <c r="R36" s="705" t="s">
        <v>14</v>
      </c>
      <c r="S36" s="706">
        <f t="shared" si="12"/>
        <v>100</v>
      </c>
      <c r="T36" s="705" t="s">
        <v>14</v>
      </c>
      <c r="U36" s="706">
        <f t="shared" si="13"/>
        <v>100</v>
      </c>
      <c r="V36" s="705" t="s">
        <v>14</v>
      </c>
      <c r="W36" s="706">
        <f t="shared" si="14"/>
        <v>100</v>
      </c>
      <c r="X36" s="3567"/>
      <c r="Y36" s="3889"/>
      <c r="Z36" s="3566" t="str">
        <f t="shared" si="15"/>
        <v>公共部分装修</v>
      </c>
      <c r="AA36" s="3564">
        <f t="shared" si="3"/>
        <v>1</v>
      </c>
      <c r="AB36" s="3564">
        <f t="shared" si="4"/>
        <v>1</v>
      </c>
      <c r="AC36" s="1962">
        <f t="shared" si="5"/>
        <v>1</v>
      </c>
    </row>
    <row r="37" spans="1:29" ht="15">
      <c r="A37" s="423"/>
      <c r="B37" s="375" t="s">
        <v>1786</v>
      </c>
      <c r="C37" s="425">
        <v>1</v>
      </c>
      <c r="D37" s="386">
        <v>100</v>
      </c>
      <c r="E37" s="425">
        <v>1</v>
      </c>
      <c r="F37" s="412">
        <f>LOOKUP(E37,111:111,112:112)-LOOKUP(C37,111:111,112:112)+100</f>
        <v>100</v>
      </c>
      <c r="G37" s="425">
        <v>1</v>
      </c>
      <c r="H37" s="412">
        <f>LOOKUP(G37,111:111,112:112)-LOOKUP(C37,111:111,112:112)+100</f>
        <v>100</v>
      </c>
      <c r="I37" s="425">
        <v>1</v>
      </c>
      <c r="J37" s="386">
        <f>LOOKUP(I37,111:111,112:112)-LOOKUP(C37,111:111,112:112)+100</f>
        <v>100</v>
      </c>
      <c r="K37" s="561"/>
      <c r="L37" s="2722"/>
      <c r="M37" s="2716"/>
      <c r="N37" s="2716"/>
      <c r="O37" s="2716"/>
      <c r="P37" s="3887"/>
      <c r="Q37" s="3563" t="str">
        <f t="shared" si="11"/>
        <v>成新度</v>
      </c>
      <c r="R37" s="705" t="s">
        <v>14</v>
      </c>
      <c r="S37" s="706">
        <f t="shared" si="12"/>
        <v>100</v>
      </c>
      <c r="T37" s="705" t="s">
        <v>14</v>
      </c>
      <c r="U37" s="706">
        <f t="shared" si="13"/>
        <v>100</v>
      </c>
      <c r="V37" s="705" t="s">
        <v>14</v>
      </c>
      <c r="W37" s="706">
        <f t="shared" si="14"/>
        <v>100</v>
      </c>
      <c r="X37" s="3567"/>
      <c r="Y37" s="3889"/>
      <c r="Z37" s="3566" t="str">
        <f t="shared" si="15"/>
        <v>成新度</v>
      </c>
      <c r="AA37" s="3564">
        <f t="shared" si="3"/>
        <v>1</v>
      </c>
      <c r="AB37" s="3564">
        <f t="shared" si="4"/>
        <v>1</v>
      </c>
      <c r="AC37" s="1962">
        <f t="shared" si="5"/>
        <v>1</v>
      </c>
    </row>
    <row r="38" spans="1:29" s="108" customFormat="1" ht="15">
      <c r="A38" s="424"/>
      <c r="B38" s="375" t="s">
        <v>1818</v>
      </c>
      <c r="C38" s="411" t="s">
        <v>3708</v>
      </c>
      <c r="D38" s="127">
        <v>100</v>
      </c>
      <c r="E38" s="411" t="s">
        <v>3708</v>
      </c>
      <c r="F38" s="412">
        <f>SUMIF(113:113,E38,114:114)-SUMIF(113:113,C38,114:114)+100</f>
        <v>100</v>
      </c>
      <c r="G38" s="411" t="s">
        <v>3708</v>
      </c>
      <c r="H38" s="386">
        <f>SUMIF(113:113,G38,114:114)-SUMIF(113:113,C38,114:114)+100</f>
        <v>100</v>
      </c>
      <c r="I38" s="411" t="s">
        <v>3708</v>
      </c>
      <c r="J38" s="386">
        <f>SUMIF(113:113,I38,114:114)-SUMIF(113:113,C38,114:114)+100</f>
        <v>100</v>
      </c>
      <c r="K38" s="561"/>
      <c r="L38" s="2717"/>
      <c r="M38" s="2718"/>
      <c r="N38" s="2718"/>
      <c r="O38" s="2718"/>
      <c r="P38" s="3887"/>
      <c r="Q38" s="3550" t="str">
        <f t="shared" si="11"/>
        <v>写字楼等级</v>
      </c>
      <c r="R38" s="701" t="s">
        <v>14</v>
      </c>
      <c r="S38" s="702">
        <f t="shared" si="12"/>
        <v>100</v>
      </c>
      <c r="T38" s="701" t="s">
        <v>14</v>
      </c>
      <c r="U38" s="702">
        <f t="shared" si="13"/>
        <v>100</v>
      </c>
      <c r="V38" s="701" t="s">
        <v>14</v>
      </c>
      <c r="W38" s="702">
        <f t="shared" si="14"/>
        <v>100</v>
      </c>
      <c r="X38" s="703"/>
      <c r="Y38" s="3889"/>
      <c r="Z38" s="3549" t="str">
        <f t="shared" si="15"/>
        <v>写字楼等级</v>
      </c>
      <c r="AA38" s="704">
        <f t="shared" si="3"/>
        <v>1</v>
      </c>
      <c r="AB38" s="704">
        <f t="shared" si="4"/>
        <v>1</v>
      </c>
      <c r="AC38" s="1959">
        <f t="shared" si="5"/>
        <v>1</v>
      </c>
    </row>
    <row r="39" spans="1:29" ht="15">
      <c r="A39" s="423"/>
      <c r="B39" s="375" t="s">
        <v>1819</v>
      </c>
      <c r="C39" s="411" t="s">
        <v>3710</v>
      </c>
      <c r="D39" s="386">
        <v>100</v>
      </c>
      <c r="E39" s="411" t="s">
        <v>3710</v>
      </c>
      <c r="F39" s="412">
        <f>SUMIF(115:115,E39,116:116)-SUMIF(115:115,C39,116:116)+100</f>
        <v>100</v>
      </c>
      <c r="G39" s="411" t="s">
        <v>3710</v>
      </c>
      <c r="H39" s="386">
        <f>SUMIF(115:115,G39,116:116)-SUMIF(115:115,C39,116:116)+100</f>
        <v>100</v>
      </c>
      <c r="I39" s="411" t="s">
        <v>3710</v>
      </c>
      <c r="J39" s="386">
        <f>SUMIF(115:115,I39,116:116)-SUMIF(115:115,C39,116:116)+100</f>
        <v>100</v>
      </c>
      <c r="K39" s="561"/>
      <c r="L39" s="2722"/>
      <c r="M39" s="2716"/>
      <c r="N39" s="2716"/>
      <c r="O39" s="2716"/>
      <c r="P39" s="3887" t="s">
        <v>1696</v>
      </c>
      <c r="Q39" s="3563" t="str">
        <f t="shared" si="11"/>
        <v>物业管理</v>
      </c>
      <c r="R39" s="705" t="s">
        <v>14</v>
      </c>
      <c r="S39" s="706">
        <f t="shared" si="12"/>
        <v>100</v>
      </c>
      <c r="T39" s="705" t="s">
        <v>14</v>
      </c>
      <c r="U39" s="706">
        <f t="shared" si="13"/>
        <v>100</v>
      </c>
      <c r="V39" s="705" t="s">
        <v>14</v>
      </c>
      <c r="W39" s="706">
        <f t="shared" si="14"/>
        <v>100</v>
      </c>
      <c r="X39" s="3567"/>
      <c r="Y39" s="3889" t="s">
        <v>1696</v>
      </c>
      <c r="Z39" s="3566" t="str">
        <f t="shared" si="15"/>
        <v>物业管理</v>
      </c>
      <c r="AA39" s="3564">
        <f t="shared" si="3"/>
        <v>1</v>
      </c>
      <c r="AB39" s="3564">
        <f t="shared" si="4"/>
        <v>1</v>
      </c>
      <c r="AC39" s="1962">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2"/>
      <c r="M40" s="2716"/>
      <c r="N40" s="2716"/>
      <c r="O40" s="2716"/>
      <c r="P40" s="3887"/>
      <c r="Q40" s="3563" t="str">
        <f t="shared" si="11"/>
        <v>市政基础设施</v>
      </c>
      <c r="R40" s="705" t="s">
        <v>14</v>
      </c>
      <c r="S40" s="706">
        <f t="shared" si="12"/>
        <v>100</v>
      </c>
      <c r="T40" s="705" t="s">
        <v>14</v>
      </c>
      <c r="U40" s="706">
        <f t="shared" si="13"/>
        <v>100</v>
      </c>
      <c r="V40" s="705" t="s">
        <v>14</v>
      </c>
      <c r="W40" s="706">
        <f t="shared" si="14"/>
        <v>100</v>
      </c>
      <c r="X40" s="3567"/>
      <c r="Y40" s="3889"/>
      <c r="Z40" s="3566" t="str">
        <f t="shared" si="15"/>
        <v>市政基础设施</v>
      </c>
      <c r="AA40" s="3564">
        <f t="shared" si="3"/>
        <v>1</v>
      </c>
      <c r="AB40" s="3564">
        <f t="shared" si="4"/>
        <v>1</v>
      </c>
      <c r="AC40" s="1962">
        <f t="shared" si="5"/>
        <v>1</v>
      </c>
    </row>
    <row r="41" spans="1:29" ht="15" hidden="1">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887"/>
      <c r="Q41" s="3563" t="str">
        <f t="shared" si="11"/>
        <v>层高</v>
      </c>
      <c r="R41" s="705" t="s">
        <v>14</v>
      </c>
      <c r="S41" s="706">
        <f t="shared" si="12"/>
        <v>100</v>
      </c>
      <c r="T41" s="705" t="s">
        <v>14</v>
      </c>
      <c r="U41" s="706">
        <f t="shared" si="13"/>
        <v>100</v>
      </c>
      <c r="V41" s="705" t="s">
        <v>14</v>
      </c>
      <c r="W41" s="706">
        <f t="shared" si="14"/>
        <v>100</v>
      </c>
      <c r="X41" s="3567"/>
      <c r="Y41" s="3889"/>
      <c r="Z41" s="3566" t="str">
        <f t="shared" si="15"/>
        <v>层高</v>
      </c>
      <c r="AA41" s="3564">
        <f t="shared" si="3"/>
        <v>1</v>
      </c>
      <c r="AB41" s="3564">
        <f t="shared" si="4"/>
        <v>1</v>
      </c>
      <c r="AC41" s="1962">
        <f t="shared" si="5"/>
        <v>1</v>
      </c>
    </row>
    <row r="42" spans="1:29" s="422" customFormat="1" ht="15" hidden="1">
      <c r="A42" s="419"/>
      <c r="B42" s="3565"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887"/>
      <c r="Q42" s="707" t="str">
        <f t="shared" si="11"/>
        <v>单套建筑面积</v>
      </c>
      <c r="R42" s="708" t="s">
        <v>14</v>
      </c>
      <c r="S42" s="709">
        <f t="shared" si="12"/>
        <v>100</v>
      </c>
      <c r="T42" s="708" t="s">
        <v>14</v>
      </c>
      <c r="U42" s="709">
        <f t="shared" si="13"/>
        <v>100</v>
      </c>
      <c r="V42" s="708" t="s">
        <v>14</v>
      </c>
      <c r="W42" s="709">
        <f t="shared" si="14"/>
        <v>100</v>
      </c>
      <c r="X42" s="710"/>
      <c r="Y42" s="3889"/>
      <c r="Z42" s="711" t="str">
        <f t="shared" si="15"/>
        <v>单套建筑面积</v>
      </c>
      <c r="AA42" s="3564">
        <f t="shared" si="3"/>
        <v>1</v>
      </c>
      <c r="AB42" s="3564">
        <f t="shared" si="4"/>
        <v>1</v>
      </c>
      <c r="AC42" s="1962">
        <f t="shared" si="5"/>
        <v>1</v>
      </c>
    </row>
    <row r="43" spans="1:29" ht="15" hidden="1">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2"/>
      <c r="M43" s="2716"/>
      <c r="N43" s="2716"/>
      <c r="O43" s="2716"/>
      <c r="P43" s="3887"/>
      <c r="Q43" s="3563" t="str">
        <f t="shared" si="11"/>
        <v>内部装修</v>
      </c>
      <c r="R43" s="705" t="s">
        <v>14</v>
      </c>
      <c r="S43" s="706">
        <f t="shared" si="12"/>
        <v>100</v>
      </c>
      <c r="T43" s="705" t="s">
        <v>14</v>
      </c>
      <c r="U43" s="706">
        <f t="shared" si="13"/>
        <v>100</v>
      </c>
      <c r="V43" s="705" t="s">
        <v>14</v>
      </c>
      <c r="W43" s="706">
        <f t="shared" si="14"/>
        <v>100</v>
      </c>
      <c r="X43" s="3567"/>
      <c r="Y43" s="3889"/>
      <c r="Z43" s="3566" t="str">
        <f t="shared" si="15"/>
        <v>内部装修</v>
      </c>
      <c r="AA43" s="3564">
        <f t="shared" si="3"/>
        <v>1</v>
      </c>
      <c r="AB43" s="3564">
        <f t="shared" si="4"/>
        <v>1</v>
      </c>
      <c r="AC43" s="1962">
        <f t="shared" si="5"/>
        <v>1</v>
      </c>
    </row>
    <row r="44" spans="1:29" ht="29.4" thickBot="1">
      <c r="A44" s="423"/>
      <c r="B44" s="375" t="s">
        <v>1707</v>
      </c>
      <c r="C44" s="411" t="s">
        <v>3683</v>
      </c>
      <c r="D44" s="386">
        <v>100</v>
      </c>
      <c r="E44" s="411" t="s">
        <v>3683</v>
      </c>
      <c r="F44" s="412">
        <f>SUMIF(125:125,E44,126:126)-SUMIF(125:125,C44,126:126)+100</f>
        <v>100</v>
      </c>
      <c r="G44" s="411" t="s">
        <v>3683</v>
      </c>
      <c r="H44" s="386">
        <f>SUMIF(125:125,G44,126:126)-SUMIF(125:125,C44,126:126)+100</f>
        <v>100</v>
      </c>
      <c r="I44" s="411" t="s">
        <v>3683</v>
      </c>
      <c r="J44" s="386">
        <f>SUMIF(125:125,I44,126:126)-SUMIF(125:125,C44,126:126)+100</f>
        <v>100</v>
      </c>
      <c r="K44" s="561"/>
      <c r="L44" s="2722"/>
      <c r="M44" s="2716"/>
      <c r="N44" s="2716"/>
      <c r="O44" s="2716"/>
      <c r="P44" s="3887"/>
      <c r="Q44" s="3563" t="str">
        <f t="shared" si="11"/>
        <v>内部装修维护情况</v>
      </c>
      <c r="R44" s="705" t="s">
        <v>14</v>
      </c>
      <c r="S44" s="706">
        <f t="shared" si="12"/>
        <v>100</v>
      </c>
      <c r="T44" s="705" t="s">
        <v>14</v>
      </c>
      <c r="U44" s="706">
        <f t="shared" si="13"/>
        <v>100</v>
      </c>
      <c r="V44" s="705" t="s">
        <v>14</v>
      </c>
      <c r="W44" s="706">
        <f t="shared" si="14"/>
        <v>100</v>
      </c>
      <c r="X44" s="3567"/>
      <c r="Y44" s="3889"/>
      <c r="Z44" s="3566" t="str">
        <f t="shared" si="15"/>
        <v>内部装修维护情况</v>
      </c>
      <c r="AA44" s="3564">
        <f t="shared" si="3"/>
        <v>1</v>
      </c>
      <c r="AB44" s="3564">
        <f t="shared" si="4"/>
        <v>1</v>
      </c>
      <c r="AC44" s="1962">
        <f t="shared" si="5"/>
        <v>1</v>
      </c>
    </row>
    <row r="45" spans="1:29" s="108" customFormat="1" ht="15" hidden="1">
      <c r="A45" s="424"/>
      <c r="B45" s="3571" t="s">
        <v>3723</v>
      </c>
      <c r="C45" s="420">
        <v>2001</v>
      </c>
      <c r="D45" s="127">
        <v>100</v>
      </c>
      <c r="E45" s="383">
        <v>2001</v>
      </c>
      <c r="F45" s="376">
        <f>SUMIF(127:127,E45,128:128)-SUMIF(127:127,C45,128:128)+100</f>
        <v>100</v>
      </c>
      <c r="G45" s="383">
        <v>2001</v>
      </c>
      <c r="H45" s="127">
        <f>SUMIF(127:127,G45,128:128)-SUMIF(127:127,C45,128:128)+100</f>
        <v>100</v>
      </c>
      <c r="I45" s="383">
        <v>2001</v>
      </c>
      <c r="J45" s="127">
        <f>SUMIF(127:127,I45,128:128)-SUMIF(127:127,C45,128:128)+100</f>
        <v>100</v>
      </c>
      <c r="K45" s="562"/>
      <c r="L45" s="2717"/>
      <c r="M45" s="2718"/>
      <c r="N45" s="2718"/>
      <c r="O45" s="2718"/>
      <c r="P45" s="3887"/>
      <c r="Q45" s="3550" t="str">
        <f t="shared" si="11"/>
        <v>建成年份</v>
      </c>
      <c r="R45" s="701" t="s">
        <v>14</v>
      </c>
      <c r="S45" s="702">
        <f t="shared" si="12"/>
        <v>100</v>
      </c>
      <c r="T45" s="701" t="s">
        <v>14</v>
      </c>
      <c r="U45" s="702">
        <f t="shared" si="13"/>
        <v>100</v>
      </c>
      <c r="V45" s="701" t="s">
        <v>14</v>
      </c>
      <c r="W45" s="702">
        <f t="shared" si="14"/>
        <v>100</v>
      </c>
      <c r="X45" s="703"/>
      <c r="Y45" s="3889"/>
      <c r="Z45" s="3549" t="str">
        <f t="shared" si="15"/>
        <v>建成年份</v>
      </c>
      <c r="AA45" s="704">
        <f t="shared" si="3"/>
        <v>1</v>
      </c>
      <c r="AB45" s="704">
        <f t="shared" si="4"/>
        <v>1</v>
      </c>
      <c r="AC45" s="1959">
        <f t="shared" si="5"/>
        <v>1</v>
      </c>
    </row>
    <row r="46" spans="1:29" ht="15" hidden="1">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887"/>
      <c r="Q46" s="3563">
        <f t="shared" si="11"/>
        <v>111</v>
      </c>
      <c r="R46" s="705" t="s">
        <v>14</v>
      </c>
      <c r="S46" s="706">
        <f t="shared" si="12"/>
        <v>100</v>
      </c>
      <c r="T46" s="705" t="s">
        <v>14</v>
      </c>
      <c r="U46" s="706">
        <f t="shared" si="13"/>
        <v>100</v>
      </c>
      <c r="V46" s="705" t="s">
        <v>14</v>
      </c>
      <c r="W46" s="706">
        <f t="shared" si="14"/>
        <v>100</v>
      </c>
      <c r="X46" s="3567"/>
      <c r="Y46" s="3889"/>
      <c r="Z46" s="3566">
        <f t="shared" si="15"/>
        <v>111</v>
      </c>
      <c r="AA46" s="3564">
        <f t="shared" si="3"/>
        <v>1</v>
      </c>
      <c r="AB46" s="3564">
        <f t="shared" si="4"/>
        <v>1</v>
      </c>
      <c r="AC46" s="1962">
        <f t="shared" si="5"/>
        <v>1</v>
      </c>
    </row>
    <row r="47" spans="1:29" ht="15.6" hidden="1"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888"/>
      <c r="Q47" s="3563">
        <f t="shared" si="11"/>
        <v>111</v>
      </c>
      <c r="R47" s="705" t="s">
        <v>14</v>
      </c>
      <c r="S47" s="706">
        <f t="shared" si="12"/>
        <v>100</v>
      </c>
      <c r="T47" s="705" t="s">
        <v>14</v>
      </c>
      <c r="U47" s="706">
        <f t="shared" si="13"/>
        <v>100</v>
      </c>
      <c r="V47" s="705" t="s">
        <v>14</v>
      </c>
      <c r="W47" s="706">
        <f t="shared" si="14"/>
        <v>100</v>
      </c>
      <c r="X47" s="3567"/>
      <c r="Y47" s="3890"/>
      <c r="Z47" s="3566">
        <f t="shared" si="15"/>
        <v>111</v>
      </c>
      <c r="AA47" s="3564">
        <f t="shared" si="3"/>
        <v>1</v>
      </c>
      <c r="AB47" s="3564">
        <f t="shared" si="4"/>
        <v>1</v>
      </c>
      <c r="AC47" s="1962">
        <f t="shared" si="5"/>
        <v>1</v>
      </c>
    </row>
    <row r="48" spans="1:29" ht="14.4">
      <c r="A48" s="430" t="s">
        <v>1708</v>
      </c>
      <c r="B48" s="431"/>
      <c r="C48" s="1154" t="s">
        <v>0</v>
      </c>
      <c r="D48" s="1155"/>
      <c r="E48" s="1156">
        <v>36000</v>
      </c>
      <c r="F48" s="1157"/>
      <c r="G48" s="1158">
        <v>36702</v>
      </c>
      <c r="H48" s="1159"/>
      <c r="I48" s="1156">
        <v>35003</v>
      </c>
      <c r="J48" s="436"/>
      <c r="K48" s="714"/>
      <c r="L48" s="2724"/>
      <c r="M48" s="2716"/>
      <c r="N48" s="2716"/>
      <c r="O48" s="2716"/>
      <c r="P48" s="3881" t="str">
        <f>A48</f>
        <v>成交单价（元/平方米）</v>
      </c>
      <c r="Q48" s="3891"/>
      <c r="R48" s="3892">
        <f>E48</f>
        <v>36000</v>
      </c>
      <c r="S48" s="3892"/>
      <c r="T48" s="3892">
        <f>G48</f>
        <v>36702</v>
      </c>
      <c r="U48" s="3892"/>
      <c r="V48" s="3892">
        <f>I48</f>
        <v>35003</v>
      </c>
      <c r="W48" s="3892"/>
      <c r="X48" s="397"/>
      <c r="Y48" s="712"/>
      <c r="Z48" s="397"/>
      <c r="AA48" s="397"/>
      <c r="AB48" s="397"/>
      <c r="AC48" s="578"/>
    </row>
    <row r="49" spans="1:29" ht="15" thickBot="1">
      <c r="A49" s="437" t="s">
        <v>1793</v>
      </c>
      <c r="B49" s="438"/>
      <c r="C49" s="1160">
        <f>R50</f>
        <v>35438.400000000001</v>
      </c>
      <c r="D49" s="2317" t="s">
        <v>2138</v>
      </c>
      <c r="E49" s="1161">
        <f>R49</f>
        <v>34615.4</v>
      </c>
      <c r="F49" s="2318"/>
      <c r="G49" s="1160">
        <f>T49</f>
        <v>35982.400000000001</v>
      </c>
      <c r="H49" s="2318"/>
      <c r="I49" s="1161">
        <f>V49</f>
        <v>35717.300000000003</v>
      </c>
      <c r="J49" s="2318"/>
      <c r="K49" s="2320">
        <f>F49+H49+J49</f>
        <v>0</v>
      </c>
      <c r="L49" s="2724"/>
      <c r="M49" s="2716"/>
      <c r="N49" s="2716"/>
      <c r="O49" s="2716"/>
      <c r="P49" s="3881" t="str">
        <f>A49</f>
        <v>比较价值（元/平方米）</v>
      </c>
      <c r="Q49" s="3891"/>
      <c r="R49" s="3892">
        <f>IF(F1="售价",ROUND(PRODUCT(R48,AA7:AA47),0),ROUND(PRODUCT(R48,AA7:AA47),1))</f>
        <v>34615.4</v>
      </c>
      <c r="S49" s="3892"/>
      <c r="T49" s="3892">
        <f>IF(F1="售价",ROUND(PRODUCT(T48,AB7:AB47),0),ROUND(PRODUCT(T48,AB7:AB47),1))</f>
        <v>35982.400000000001</v>
      </c>
      <c r="U49" s="3892"/>
      <c r="V49" s="3892">
        <f>IF(F1="售价",ROUND(PRODUCT(V48,AC7:AC47),0),ROUND(PRODUCT(V48,AC7:AC47),1))</f>
        <v>35717.300000000003</v>
      </c>
      <c r="W49" s="3892"/>
      <c r="X49" s="397"/>
      <c r="Y49" s="397"/>
      <c r="Z49" s="397"/>
      <c r="AA49" s="397"/>
      <c r="AB49" s="397"/>
      <c r="AC49" s="578"/>
    </row>
    <row r="50" spans="1:29" ht="15" thickBot="1">
      <c r="A50" s="441" t="s">
        <v>1710</v>
      </c>
      <c r="B50" s="442"/>
      <c r="C50" s="1163">
        <f>R50</f>
        <v>35438.400000000001</v>
      </c>
      <c r="D50" s="1163"/>
      <c r="E50" s="1163"/>
      <c r="F50" s="1163"/>
      <c r="G50" s="1163"/>
      <c r="H50" s="1163"/>
      <c r="I50" s="1163"/>
      <c r="J50" s="443"/>
      <c r="K50" s="715"/>
      <c r="L50" s="2724"/>
      <c r="M50" s="2716"/>
      <c r="N50" s="2716"/>
      <c r="O50" s="2716"/>
      <c r="P50" s="3940" t="str">
        <f>A50</f>
        <v>估价对象XX用房的比较价值（楼面单价，元/平方米）</v>
      </c>
      <c r="Q50" s="3941"/>
      <c r="R50" s="3942">
        <f>IF(F1="售价",ROUND(IF(D49="简单平均",AVERAGE(R49:V49),R49*F49+T49*H49+V49*J49),0),ROUND(IF(D49="简单平均",AVERAGE(R49:V49),R49*F49+T49*H49+V49*J49),1))</f>
        <v>35438.400000000001</v>
      </c>
      <c r="S50" s="3942"/>
      <c r="T50" s="3942"/>
      <c r="U50" s="3942"/>
      <c r="V50" s="3942"/>
      <c r="W50" s="3942"/>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f>IF(E48&lt;E49,E49/E48-1,E48/E49-1)</f>
        <v>3.9999537777983152E-2</v>
      </c>
      <c r="F53" s="449" t="str">
        <f>IF(OR(E53&gt;=0.3,E53&lt;=-0.3),"超过30%","")</f>
        <v/>
      </c>
      <c r="G53" s="448">
        <f>IF(G48&lt;G49,G49/G48-1,G48/G49-1)</f>
        <v>1.9998666014495958E-2</v>
      </c>
      <c r="H53" s="449" t="str">
        <f>IF(OR(G53&gt;=0.3,G53&lt;=-0.3),"超过30%","")</f>
        <v/>
      </c>
      <c r="I53" s="448">
        <f>IF(I48&lt;I49,I49/I48-1,I48/I49-1)</f>
        <v>2.0406822272376779E-2</v>
      </c>
      <c r="J53" s="449" t="str">
        <f>IF(OR(I53&gt;=0.3,I53&lt;=-0.3),"超过30%","")</f>
        <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1712</v>
      </c>
      <c r="D54" s="450"/>
      <c r="E54" s="448">
        <f>IF(E49&lt;G49,G49/E49-1,E49/G49-1)</f>
        <v>3.9491093559514079E-2</v>
      </c>
      <c r="F54" s="449" t="str">
        <f>IF(OR(E54&gt;=0.2,E54&lt;=-0.2),"超过20%","")</f>
        <v/>
      </c>
      <c r="G54" s="448">
        <f>IF(G49&lt;I49,I49/G49-1,G49/I49-1)</f>
        <v>7.4221735685506829E-3</v>
      </c>
      <c r="H54" s="449" t="str">
        <f>IF(OR(G54&gt;=0.2,G54&lt;=-0.2),"超过20%","")</f>
        <v/>
      </c>
      <c r="I54" s="448">
        <f>IF(I49&lt;E49,E49/I49-1,I49/E49-1)</f>
        <v>3.1832652518821059E-2</v>
      </c>
      <c r="J54" s="449" t="str">
        <f>IF(OR(I54&gt;=0.2,I54&lt;=-0.2),"超过20%","")</f>
        <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f>IF(E48&lt;G48,G48/E48-1,E48/G48-1)</f>
        <v>1.9500000000000073E-2</v>
      </c>
      <c r="F55" s="449" t="str">
        <f>IF(OR(E55&gt;=0.3,E55&lt;=-0.3),"超过30%","")</f>
        <v/>
      </c>
      <c r="G55" s="448">
        <f>IF(G48&lt;I48,I48/G48-1,G48/I48-1)</f>
        <v>4.8538696683141369E-2</v>
      </c>
      <c r="H55" s="449" t="str">
        <f>IF(OR(G55&gt;=0.3,G55&lt;=-0.3),"超过30%","")</f>
        <v/>
      </c>
      <c r="I55" s="448">
        <f>IF(I48&lt;E48,E48/I48-1,I48/E48-1)</f>
        <v>2.8483272862326103E-2</v>
      </c>
      <c r="J55" s="449" t="str">
        <f>IF(OR(I55&gt;=0.3,I55&lt;=-0.3),"超过30%","")</f>
        <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2.2"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4.4">
      <c r="A59" s="454" t="s">
        <v>1679</v>
      </c>
      <c r="B59" s="455"/>
      <c r="C59" s="1184" t="str">
        <f>YEAR(C7)&amp;"-"&amp;MONTH(C7)</f>
        <v>2024-7</v>
      </c>
      <c r="D59" s="1185">
        <f>EDATE(C59,-1)</f>
        <v>45444</v>
      </c>
      <c r="E59" s="1185">
        <f>EDATE(D59,-1)</f>
        <v>45413</v>
      </c>
      <c r="F59" s="1185">
        <f t="shared" ref="F59:O59" si="16">EDATE(E59,-1)</f>
        <v>45383</v>
      </c>
      <c r="G59" s="1185">
        <f t="shared" si="16"/>
        <v>45352</v>
      </c>
      <c r="H59" s="1185">
        <f t="shared" si="16"/>
        <v>45323</v>
      </c>
      <c r="I59" s="1185">
        <f t="shared" si="16"/>
        <v>45292</v>
      </c>
      <c r="J59" s="1185">
        <f t="shared" si="16"/>
        <v>45261</v>
      </c>
      <c r="K59" s="1185">
        <f t="shared" si="16"/>
        <v>45231</v>
      </c>
      <c r="L59" s="1185">
        <f t="shared" si="16"/>
        <v>45200</v>
      </c>
      <c r="M59" s="1185">
        <f t="shared" si="16"/>
        <v>45170</v>
      </c>
      <c r="N59" s="1185">
        <f t="shared" si="16"/>
        <v>45139</v>
      </c>
      <c r="O59" s="1185">
        <f t="shared" si="16"/>
        <v>45108</v>
      </c>
      <c r="P59" s="2759"/>
      <c r="Q59" s="2741"/>
      <c r="R59" s="2741"/>
      <c r="S59" s="2741"/>
      <c r="T59" s="2741"/>
      <c r="U59" s="2741"/>
      <c r="V59" s="2741"/>
      <c r="W59" s="2741"/>
      <c r="X59" s="2741"/>
      <c r="Y59" s="2741"/>
      <c r="Z59" s="2741"/>
      <c r="AA59" s="2741"/>
      <c r="AB59" s="2741"/>
      <c r="AC59" s="2741"/>
    </row>
    <row r="60" spans="1:29" s="108" customFormat="1">
      <c r="A60" s="458"/>
      <c r="B60" s="459"/>
      <c r="C60" s="1183">
        <v>100</v>
      </c>
      <c r="D60" s="461"/>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4.4">
      <c r="A62" s="470" t="s">
        <v>1681</v>
      </c>
      <c r="B62" s="459"/>
      <c r="C62" s="471" t="s">
        <v>1776</v>
      </c>
      <c r="D62" s="472"/>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4.4" thickBot="1">
      <c r="A63" s="470"/>
      <c r="B63" s="459"/>
      <c r="C63" s="460">
        <v>100</v>
      </c>
      <c r="D63" s="461"/>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ht="14.4">
      <c r="A64" s="476" t="s">
        <v>1719</v>
      </c>
      <c r="B64" s="477" t="s">
        <v>1685</v>
      </c>
      <c r="C64" s="478" t="str">
        <f>C9</f>
        <v>办公</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4.4"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9.4"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4.4"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4.4"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4.4"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4.4"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4.4"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4.4"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4.4"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4.4"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ht="14.4">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4.4" thickBot="1">
      <c r="A78" s="483"/>
      <c r="B78" s="492"/>
      <c r="C78" s="493">
        <v>100</v>
      </c>
      <c r="D78" s="493">
        <f>C78-$K15</f>
        <v>100</v>
      </c>
      <c r="E78" s="493">
        <f>D78-$K15</f>
        <v>100</v>
      </c>
      <c r="F78" s="493">
        <f>E78-$K15</f>
        <v>100</v>
      </c>
      <c r="G78" s="493">
        <f>F78-$K15</f>
        <v>100</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4.4" thickBot="1">
      <c r="A80" s="483"/>
      <c r="B80" s="492"/>
      <c r="C80" s="493">
        <v>100</v>
      </c>
      <c r="D80" s="493">
        <f>C80-$K17</f>
        <v>100</v>
      </c>
      <c r="E80" s="493">
        <f>D80-$K17</f>
        <v>100</v>
      </c>
      <c r="F80" s="493">
        <f>E80-$K17</f>
        <v>100</v>
      </c>
      <c r="G80" s="493">
        <f>F80-$K17</f>
        <v>100</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4.4" thickBot="1">
      <c r="A82" s="483"/>
      <c r="B82" s="492"/>
      <c r="C82" s="493">
        <v>100</v>
      </c>
      <c r="D82" s="493">
        <f>C82-$K19</f>
        <v>100</v>
      </c>
      <c r="E82" s="493">
        <f>D82-$K19</f>
        <v>100</v>
      </c>
      <c r="F82" s="493">
        <f>E82-$K19</f>
        <v>100</v>
      </c>
      <c r="G82" s="493">
        <f>F82-$K19</f>
        <v>100</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4.4" thickBot="1">
      <c r="A84" s="483"/>
      <c r="B84" s="495"/>
      <c r="C84" s="493">
        <v>100</v>
      </c>
      <c r="D84" s="493">
        <f>C84-$K21</f>
        <v>100</v>
      </c>
      <c r="E84" s="493">
        <f>D84-$K21</f>
        <v>100</v>
      </c>
      <c r="F84" s="493">
        <f>E84-$K21</f>
        <v>100</v>
      </c>
      <c r="G84" s="493">
        <f>F84-$K21</f>
        <v>100</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4.4" thickBot="1">
      <c r="A86" s="483"/>
      <c r="B86" s="492"/>
      <c r="C86" s="493">
        <v>100</v>
      </c>
      <c r="D86" s="493">
        <f>C86-$K23</f>
        <v>100</v>
      </c>
      <c r="E86" s="493">
        <f>D86-$K23</f>
        <v>100</v>
      </c>
      <c r="F86" s="493">
        <f>E86-$K23</f>
        <v>100</v>
      </c>
      <c r="G86" s="493">
        <f>F86-$K23</f>
        <v>100</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9.4" thickTop="1">
      <c r="A87" s="528"/>
      <c r="B87" s="487" t="s">
        <v>1823</v>
      </c>
      <c r="C87" s="503" t="s">
        <v>3715</v>
      </c>
      <c r="D87" s="503" t="s">
        <v>3716</v>
      </c>
      <c r="E87" s="503"/>
      <c r="F87" s="503"/>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4.4"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4"/>
      <c r="O88" s="2754"/>
      <c r="P88" s="2762"/>
      <c r="Q88" s="2739"/>
      <c r="R88" s="2661"/>
      <c r="S88" s="2661"/>
      <c r="T88" s="2661"/>
      <c r="U88" s="2661"/>
      <c r="V88" s="2661"/>
      <c r="W88" s="2661"/>
      <c r="X88" s="2661"/>
      <c r="Y88" s="2661"/>
      <c r="Z88" s="2661"/>
      <c r="AA88" s="2661"/>
      <c r="AB88" s="2661"/>
      <c r="AC88" s="2661"/>
    </row>
    <row r="89" spans="1:29" s="108" customFormat="1" ht="14.4" thickTop="1">
      <c r="A89" s="528"/>
      <c r="B89" s="487" t="str">
        <f>B27</f>
        <v>楼层</v>
      </c>
      <c r="C89" s="503"/>
      <c r="D89" s="503"/>
      <c r="E89" s="503"/>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4.4"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4"/>
      <c r="O90" s="2754"/>
      <c r="P90" s="2762"/>
      <c r="Q90" s="2739"/>
      <c r="R90" s="2661"/>
      <c r="S90" s="2661"/>
      <c r="T90" s="2661"/>
      <c r="U90" s="2661"/>
      <c r="V90" s="2661"/>
      <c r="W90" s="2661"/>
      <c r="X90" s="2661"/>
      <c r="Y90" s="2661"/>
      <c r="Z90" s="2661"/>
      <c r="AA90" s="2661"/>
      <c r="AB90" s="2661"/>
      <c r="AC90" s="2661"/>
    </row>
    <row r="91" spans="1:29" s="422" customFormat="1" ht="14.4"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4.4"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4.4" thickTop="1">
      <c r="A93" s="483"/>
      <c r="B93" s="487" t="str">
        <f>B29</f>
        <v>楼层</v>
      </c>
      <c r="C93" s="503" t="str">
        <f>C29</f>
        <v>中楼层/28</v>
      </c>
      <c r="D93" s="503"/>
      <c r="E93" s="1960" t="str">
        <f>G29</f>
        <v>高楼层/20</v>
      </c>
      <c r="F93" s="503" t="str">
        <f>I29</f>
        <v>低楼层/28</v>
      </c>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4.4" thickBot="1">
      <c r="A94" s="483"/>
      <c r="B94" s="492"/>
      <c r="C94" s="509">
        <v>100</v>
      </c>
      <c r="D94" s="485"/>
      <c r="E94" s="485">
        <v>102</v>
      </c>
      <c r="F94" s="485">
        <v>98</v>
      </c>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4.4"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4.4"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4.4"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4.4"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4.4"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4.4"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ht="14.4">
      <c r="A101" s="476" t="s">
        <v>1694</v>
      </c>
      <c r="B101" s="477" t="s">
        <v>1736</v>
      </c>
      <c r="C101" s="479"/>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4.4"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4"/>
      <c r="O102" s="2754"/>
      <c r="P102" s="2762"/>
      <c r="Q102" s="2739"/>
      <c r="R102" s="2725"/>
      <c r="S102" s="2725"/>
      <c r="T102" s="2725"/>
      <c r="U102" s="2725"/>
      <c r="V102" s="2725"/>
      <c r="W102" s="2725"/>
      <c r="X102" s="2725"/>
      <c r="Y102" s="2725"/>
      <c r="Z102" s="2725"/>
      <c r="AA102" s="2725"/>
      <c r="AB102" s="2725"/>
      <c r="AC102" s="2725"/>
    </row>
    <row r="103" spans="1:29" ht="28.2" thickTop="1">
      <c r="A103" s="483"/>
      <c r="B103" s="487" t="s">
        <v>1737</v>
      </c>
      <c r="C103" s="527" t="str">
        <f>C104&amp;"(含)"&amp;"-"&amp;D104</f>
        <v>0(含)-500</v>
      </c>
      <c r="D103" s="527" t="str">
        <f t="shared" ref="D103:L103" si="23">D104&amp;"(含)"&amp;"-"&amp;E104</f>
        <v>500(含)-1000</v>
      </c>
      <c r="E103" s="527" t="str">
        <f t="shared" si="23"/>
        <v>1000(含)-2000</v>
      </c>
      <c r="F103" s="527" t="str">
        <f t="shared" si="23"/>
        <v>2000(含)-3000</v>
      </c>
      <c r="G103" s="527" t="str">
        <f t="shared" si="23"/>
        <v>3000(含)-4000</v>
      </c>
      <c r="H103" s="527" t="str">
        <f t="shared" si="23"/>
        <v>4000(含)-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v>0</v>
      </c>
      <c r="D104" s="544">
        <v>500</v>
      </c>
      <c r="E104" s="544">
        <v>1000</v>
      </c>
      <c r="F104" s="544">
        <v>2000</v>
      </c>
      <c r="G104" s="544">
        <v>3000</v>
      </c>
      <c r="H104" s="544">
        <v>4000</v>
      </c>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4.4" thickBot="1">
      <c r="A105" s="502"/>
      <c r="B105" s="492"/>
      <c r="C105" s="509">
        <v>100</v>
      </c>
      <c r="D105" s="485">
        <v>98</v>
      </c>
      <c r="E105" s="485">
        <v>96</v>
      </c>
      <c r="F105" s="485">
        <v>94</v>
      </c>
      <c r="G105" s="485">
        <v>92</v>
      </c>
      <c r="H105" s="485">
        <v>90</v>
      </c>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3570" t="s">
        <v>3705</v>
      </c>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4.4"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3570" t="s">
        <v>3707</v>
      </c>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4.4"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4.4"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3570" t="s">
        <v>3709</v>
      </c>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4.4"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3570" t="s">
        <v>3711</v>
      </c>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4.4"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3570" t="s">
        <v>3712</v>
      </c>
      <c r="D117" s="3570" t="s">
        <v>3713</v>
      </c>
      <c r="E117" s="3570" t="s">
        <v>3714</v>
      </c>
      <c r="F117" s="503"/>
      <c r="G117" s="503"/>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4.4" thickBot="1">
      <c r="A118" s="483"/>
      <c r="B118" s="492"/>
      <c r="C118" s="493">
        <v>100</v>
      </c>
      <c r="D118" s="493">
        <f>C118-$K40</f>
        <v>100</v>
      </c>
      <c r="E118" s="493">
        <f>D118-$K40</f>
        <v>100</v>
      </c>
      <c r="F118" s="493">
        <f>E118-$K40</f>
        <v>100</v>
      </c>
      <c r="G118" s="493">
        <f>F118-$K40</f>
        <v>100</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4.4"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4.4"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503"/>
      <c r="D123" s="503"/>
      <c r="E123" s="503"/>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4.4"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4"/>
      <c r="O124" s="2754"/>
      <c r="P124" s="2762"/>
      <c r="Q124" s="2739"/>
      <c r="R124" s="2725"/>
      <c r="S124" s="2725"/>
      <c r="T124" s="2725"/>
      <c r="U124" s="2725"/>
      <c r="V124" s="2725"/>
      <c r="W124" s="2725"/>
      <c r="X124" s="2725"/>
      <c r="Y124" s="2725"/>
      <c r="Z124" s="2725"/>
      <c r="AA124" s="2725"/>
      <c r="AB124" s="2725"/>
      <c r="AC124" s="2725"/>
    </row>
    <row r="125" spans="1:29" ht="29.4"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4.4" thickBot="1">
      <c r="A126" s="483"/>
      <c r="B126" s="492"/>
      <c r="C126" s="493">
        <v>100</v>
      </c>
      <c r="D126" s="493">
        <f>C126-$K44</f>
        <v>100</v>
      </c>
      <c r="E126" s="493">
        <f>D126-$K44</f>
        <v>100</v>
      </c>
      <c r="F126" s="493">
        <f>E126-$K44</f>
        <v>100</v>
      </c>
      <c r="G126" s="493">
        <f>F126-$K44</f>
        <v>100</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4.4" thickTop="1">
      <c r="A127" s="542"/>
      <c r="B127" s="487" t="str">
        <f>B45</f>
        <v>建成年份</v>
      </c>
      <c r="C127" s="503">
        <v>2001</v>
      </c>
      <c r="D127" s="503">
        <v>2005</v>
      </c>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4.4" thickBot="1">
      <c r="A128" s="502"/>
      <c r="B128" s="492"/>
      <c r="C128" s="509">
        <v>100</v>
      </c>
      <c r="D128" s="485">
        <v>100.4</v>
      </c>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4.4"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4.4"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4.4"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4.4"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34" type="noConversion"/>
  <conditionalFormatting sqref="F53 H53">
    <cfRule type="containsText" dxfId="138" priority="20" stopIfTrue="1" operator="containsText" text="超过">
      <formula>NOT(ISERROR(SEARCH("超过",F53)))</formula>
    </cfRule>
  </conditionalFormatting>
  <conditionalFormatting sqref="H55">
    <cfRule type="containsText" dxfId="137" priority="19" stopIfTrue="1" operator="containsText" text="超过">
      <formula>NOT(ISERROR(SEARCH("超过",H55)))</formula>
    </cfRule>
  </conditionalFormatting>
  <conditionalFormatting sqref="F55">
    <cfRule type="containsText" dxfId="136" priority="18" stopIfTrue="1" operator="containsText" text="超过">
      <formula>NOT(ISERROR(SEARCH("超过",F55)))</formula>
    </cfRule>
  </conditionalFormatting>
  <conditionalFormatting sqref="F54 H54">
    <cfRule type="containsText" dxfId="135" priority="17" stopIfTrue="1" operator="containsText" text="超过">
      <formula>NOT(ISERROR(SEARCH("超过",F54)))</formula>
    </cfRule>
  </conditionalFormatting>
  <conditionalFormatting sqref="E53">
    <cfRule type="expression" dxfId="134" priority="16" stopIfTrue="1">
      <formula>$F$53="超过30%"</formula>
    </cfRule>
  </conditionalFormatting>
  <conditionalFormatting sqref="E54">
    <cfRule type="expression" dxfId="133" priority="15" stopIfTrue="1">
      <formula>$F$54="超过20%"</formula>
    </cfRule>
  </conditionalFormatting>
  <conditionalFormatting sqref="E55">
    <cfRule type="expression" dxfId="132" priority="14" stopIfTrue="1">
      <formula>$F$55="超过30%"</formula>
    </cfRule>
  </conditionalFormatting>
  <conditionalFormatting sqref="G55">
    <cfRule type="expression" dxfId="131" priority="13" stopIfTrue="1">
      <formula>$H$55="超过30%"</formula>
    </cfRule>
  </conditionalFormatting>
  <conditionalFormatting sqref="G53">
    <cfRule type="expression" dxfId="130" priority="12" stopIfTrue="1">
      <formula>$H$53="超过30%"</formula>
    </cfRule>
  </conditionalFormatting>
  <conditionalFormatting sqref="G54">
    <cfRule type="expression" dxfId="129" priority="11" stopIfTrue="1">
      <formula>$H$54="超过20%"</formula>
    </cfRule>
  </conditionalFormatting>
  <conditionalFormatting sqref="J53">
    <cfRule type="containsText" dxfId="128" priority="10" stopIfTrue="1" operator="containsText" text="超过">
      <formula>NOT(ISERROR(SEARCH("超过",J53)))</formula>
    </cfRule>
  </conditionalFormatting>
  <conditionalFormatting sqref="J55">
    <cfRule type="containsText" dxfId="127" priority="9" stopIfTrue="1" operator="containsText" text="超过">
      <formula>NOT(ISERROR(SEARCH("超过",J55)))</formula>
    </cfRule>
  </conditionalFormatting>
  <conditionalFormatting sqref="J54">
    <cfRule type="containsText" dxfId="126" priority="8" stopIfTrue="1" operator="containsText" text="超过">
      <formula>NOT(ISERROR(SEARCH("超过",J54)))</formula>
    </cfRule>
  </conditionalFormatting>
  <conditionalFormatting sqref="I53">
    <cfRule type="expression" dxfId="125" priority="7" stopIfTrue="1">
      <formula>$J$53="超过30%"</formula>
    </cfRule>
  </conditionalFormatting>
  <conditionalFormatting sqref="I54">
    <cfRule type="expression" dxfId="124" priority="6" stopIfTrue="1">
      <formula>$J$53+$J$54="超过20%"</formula>
    </cfRule>
  </conditionalFormatting>
  <conditionalFormatting sqref="I55">
    <cfRule type="expression" dxfId="123" priority="5" stopIfTrue="1">
      <formula>$J$55="超过30%"</formula>
    </cfRule>
  </conditionalFormatting>
  <conditionalFormatting sqref="F49">
    <cfRule type="expression" dxfId="122" priority="4">
      <formula>$D$49="简单平均"</formula>
    </cfRule>
  </conditionalFormatting>
  <conditionalFormatting sqref="H49">
    <cfRule type="expression" dxfId="121" priority="3">
      <formula>$D$49="简单平均"</formula>
    </cfRule>
  </conditionalFormatting>
  <conditionalFormatting sqref="J49">
    <cfRule type="expression" dxfId="120" priority="2">
      <formula>$D$49="简单平均"</formula>
    </cfRule>
  </conditionalFormatting>
  <conditionalFormatting sqref="F7:F47 H7:H47 J7:J47">
    <cfRule type="cellIs" dxfId="119"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9">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79998168889431442"/>
  </sheetPr>
  <dimension ref="A1"/>
  <sheetViews>
    <sheetView topLeftCell="A148" workbookViewId="0">
      <selection activeCell="K88" sqref="K88"/>
    </sheetView>
  </sheetViews>
  <sheetFormatPr defaultRowHeight="14.4"/>
  <sheetData/>
  <phoneticPr fontId="134" type="noConversion"/>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17" zoomScale="90" zoomScaleNormal="70" zoomScaleSheetLayoutView="90" workbookViewId="0">
      <selection activeCell="G62" sqref="G62"/>
    </sheetView>
  </sheetViews>
  <sheetFormatPr defaultColWidth="9" defaultRowHeight="13.8"/>
  <cols>
    <col min="1" max="1" width="10.44140625" style="357" customWidth="1"/>
    <col min="2" max="2" width="15.77734375" style="357" customWidth="1"/>
    <col min="3" max="3" width="15.66406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906"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3" customFormat="1" ht="28.5" customHeight="1" thickBot="1">
      <c r="A1" s="1222" t="s">
        <v>1660</v>
      </c>
      <c r="B1" s="1957" t="s">
        <v>1810</v>
      </c>
      <c r="C1" s="1224" t="s">
        <v>1662</v>
      </c>
      <c r="D1" s="1225" t="s">
        <v>21</v>
      </c>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IF(E1="项目模式",IF(C2="——",ROUND(C50*D3/10000,0),ROUND(C50*D3/10000,0)-D2),IF(E1="单套模式",IF(C2="——",ROUND(C50*D3/10000,4),ROUND(C50*D3/10000,4)-D2)))</f>
        <v>0</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6.8</v>
      </c>
      <c r="C3" s="354" t="s">
        <v>1768</v>
      </c>
      <c r="D3" s="353">
        <f>IF(D1="",'数据-汇总表'!E3,SUMIF('数据-汇总表'!$C19:$C33,D1,'数据-汇总表'!$E19:$E33))</f>
        <v>1336.34</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4.4">
      <c r="A4" s="355" t="s">
        <v>1769</v>
      </c>
      <c r="B4" s="356"/>
      <c r="C4" s="3853" t="s">
        <v>1770</v>
      </c>
      <c r="D4" s="3854"/>
      <c r="E4" s="3855" t="s">
        <v>1771</v>
      </c>
      <c r="F4" s="3856"/>
      <c r="G4" s="3853" t="s">
        <v>1772</v>
      </c>
      <c r="H4" s="3854"/>
      <c r="I4" s="3853" t="s">
        <v>1773</v>
      </c>
      <c r="J4" s="3854"/>
      <c r="K4" s="559" t="s">
        <v>1774</v>
      </c>
      <c r="L4" s="2715"/>
      <c r="M4" s="2716"/>
      <c r="N4" s="2716"/>
      <c r="O4" s="2716"/>
      <c r="P4" s="3931" t="s">
        <v>1775</v>
      </c>
      <c r="Q4" s="3932"/>
      <c r="R4" s="3935" t="s">
        <v>1771</v>
      </c>
      <c r="S4" s="3936"/>
      <c r="T4" s="3935" t="s">
        <v>1772</v>
      </c>
      <c r="U4" s="3936"/>
      <c r="V4" s="3937" t="s">
        <v>1773</v>
      </c>
      <c r="W4" s="3937"/>
      <c r="X4" s="1958"/>
      <c r="Y4" s="3935" t="s">
        <v>1775</v>
      </c>
      <c r="Z4" s="3936"/>
      <c r="AA4" s="3938" t="s">
        <v>1771</v>
      </c>
      <c r="AB4" s="3938" t="s">
        <v>1772</v>
      </c>
      <c r="AC4" s="3928" t="s">
        <v>1773</v>
      </c>
    </row>
    <row r="5" spans="1:29">
      <c r="A5" s="358"/>
      <c r="B5" s="359"/>
      <c r="C5" s="3867" t="s">
        <v>3680</v>
      </c>
      <c r="D5" s="3868"/>
      <c r="E5" s="3926" t="str">
        <f>C5</f>
        <v>启迪科技大厦</v>
      </c>
      <c r="F5" s="3870"/>
      <c r="G5" s="3867" t="s">
        <v>3870</v>
      </c>
      <c r="H5" s="3868"/>
      <c r="I5" s="3867" t="s">
        <v>3871</v>
      </c>
      <c r="J5" s="3868"/>
      <c r="K5" s="559"/>
      <c r="L5" s="2715"/>
      <c r="M5" s="2716"/>
      <c r="N5" s="2716"/>
      <c r="O5" s="2716"/>
      <c r="P5" s="3933"/>
      <c r="Q5" s="3860"/>
      <c r="R5" s="3865"/>
      <c r="S5" s="3866"/>
      <c r="T5" s="3865"/>
      <c r="U5" s="3866"/>
      <c r="V5" s="3877"/>
      <c r="W5" s="3877"/>
      <c r="X5" s="1355"/>
      <c r="Y5" s="3865"/>
      <c r="Z5" s="3866"/>
      <c r="AA5" s="3851"/>
      <c r="AB5" s="3851"/>
      <c r="AC5" s="3929"/>
    </row>
    <row r="6" spans="1:29" ht="15" thickBot="1">
      <c r="A6" s="360"/>
      <c r="B6" s="361"/>
      <c r="C6" s="3871" t="s">
        <v>1677</v>
      </c>
      <c r="D6" s="3872"/>
      <c r="E6" s="3873" t="s">
        <v>1677</v>
      </c>
      <c r="F6" s="3874"/>
      <c r="G6" s="3871" t="s">
        <v>1677</v>
      </c>
      <c r="H6" s="3872"/>
      <c r="I6" s="3871" t="s">
        <v>1677</v>
      </c>
      <c r="J6" s="3872"/>
      <c r="K6" s="559" t="s">
        <v>1678</v>
      </c>
      <c r="L6" s="2715"/>
      <c r="M6" s="2716"/>
      <c r="N6" s="2716"/>
      <c r="O6" s="2716"/>
      <c r="P6" s="3934"/>
      <c r="Q6" s="3862"/>
      <c r="R6" s="3865"/>
      <c r="S6" s="3866"/>
      <c r="T6" s="3875"/>
      <c r="U6" s="3876"/>
      <c r="V6" s="3877"/>
      <c r="W6" s="3877"/>
      <c r="X6" s="1355"/>
      <c r="Y6" s="3875"/>
      <c r="Z6" s="3876"/>
      <c r="AA6" s="3852"/>
      <c r="AB6" s="3852"/>
      <c r="AC6" s="3930"/>
    </row>
    <row r="7" spans="1:29" s="108" customFormat="1" ht="15" thickBot="1">
      <c r="A7" s="362" t="s">
        <v>1679</v>
      </c>
      <c r="B7" s="363"/>
      <c r="C7" s="364">
        <f>'数据-取费表'!B2</f>
        <v>45478</v>
      </c>
      <c r="D7" s="365">
        <v>100</v>
      </c>
      <c r="E7" s="366">
        <f>C7</f>
        <v>45478</v>
      </c>
      <c r="F7" s="367">
        <f>SUMIF(59:59,YEAR(E7)&amp;"-"&amp;MONTH(E7),60:60)</f>
        <v>100</v>
      </c>
      <c r="G7" s="366">
        <f>C7</f>
        <v>45478</v>
      </c>
      <c r="H7" s="365">
        <f>SUMIF(59:59,YEAR(G7)&amp;"-"&amp;MONTH(G7),60:60)</f>
        <v>100</v>
      </c>
      <c r="I7" s="366">
        <f>C7</f>
        <v>45478</v>
      </c>
      <c r="J7" s="365">
        <f>SUMIF(59:59,YEAR(I7)&amp;"-"&amp;MONTH(I7),60:60)</f>
        <v>100</v>
      </c>
      <c r="K7" s="560"/>
      <c r="L7" s="2717"/>
      <c r="M7" s="2718"/>
      <c r="N7" s="2718"/>
      <c r="O7" s="2718"/>
      <c r="P7" s="3939" t="s">
        <v>1680</v>
      </c>
      <c r="Q7" s="3879"/>
      <c r="R7" s="701" t="s">
        <v>14</v>
      </c>
      <c r="S7" s="702">
        <f t="shared" ref="S7:S15" si="0">F7</f>
        <v>100</v>
      </c>
      <c r="T7" s="701" t="s">
        <v>14</v>
      </c>
      <c r="U7" s="702">
        <f t="shared" ref="U7:U15" si="1">H7</f>
        <v>100</v>
      </c>
      <c r="V7" s="701" t="s">
        <v>14</v>
      </c>
      <c r="W7" s="702">
        <f t="shared" ref="W7:W15" si="2">J7</f>
        <v>100</v>
      </c>
      <c r="X7" s="703"/>
      <c r="Y7" s="3878" t="s">
        <v>1680</v>
      </c>
      <c r="Z7" s="3880"/>
      <c r="AA7" s="704">
        <f>D7/F7</f>
        <v>1</v>
      </c>
      <c r="AB7" s="704">
        <f>D7/H7</f>
        <v>1</v>
      </c>
      <c r="AC7" s="1959">
        <f>D7/J7</f>
        <v>1</v>
      </c>
    </row>
    <row r="8" spans="1:29" s="108" customFormat="1" ht="15" thickBot="1">
      <c r="A8" s="362" t="s">
        <v>1681</v>
      </c>
      <c r="B8" s="363"/>
      <c r="C8" s="368" t="s">
        <v>3681</v>
      </c>
      <c r="D8" s="365">
        <v>100</v>
      </c>
      <c r="E8" s="368" t="s">
        <v>3681</v>
      </c>
      <c r="F8" s="367">
        <f>SUMIF(62:62,E8,63:63)-SUMIF(62:62,C8,63:63)+100</f>
        <v>100</v>
      </c>
      <c r="G8" s="368" t="s">
        <v>3681</v>
      </c>
      <c r="H8" s="365">
        <f>SUMIF(62:62,G8,63:63)-SUMIF(62:62,C8,63:63)+100</f>
        <v>100</v>
      </c>
      <c r="I8" s="368" t="s">
        <v>3681</v>
      </c>
      <c r="J8" s="365">
        <f>SUMIF(62:62,I8,63:63)-SUMIF(62:62,C8,63:63)+100</f>
        <v>100</v>
      </c>
      <c r="K8" s="560"/>
      <c r="L8" s="2717"/>
      <c r="M8" s="2718"/>
      <c r="N8" s="2718"/>
      <c r="O8" s="2718"/>
      <c r="P8" s="3939" t="s">
        <v>1683</v>
      </c>
      <c r="Q8" s="3880"/>
      <c r="R8" s="701" t="s">
        <v>14</v>
      </c>
      <c r="S8" s="702">
        <f t="shared" si="0"/>
        <v>100</v>
      </c>
      <c r="T8" s="701" t="s">
        <v>14</v>
      </c>
      <c r="U8" s="702">
        <f t="shared" si="1"/>
        <v>100</v>
      </c>
      <c r="V8" s="701" t="s">
        <v>14</v>
      </c>
      <c r="W8" s="702">
        <f t="shared" si="2"/>
        <v>100</v>
      </c>
      <c r="X8" s="703"/>
      <c r="Y8" s="3878" t="s">
        <v>1683</v>
      </c>
      <c r="Z8" s="3880"/>
      <c r="AA8" s="704">
        <f t="shared" ref="AA8:AA47" si="3">D8/F8</f>
        <v>1</v>
      </c>
      <c r="AB8" s="704">
        <f t="shared" ref="AB8:AB47" si="4">D8/H8</f>
        <v>1</v>
      </c>
      <c r="AC8" s="1959">
        <f t="shared" ref="AC8:AC47" si="5">D8/J8</f>
        <v>1</v>
      </c>
    </row>
    <row r="9" spans="1:29" s="108" customFormat="1" ht="15" thickBot="1">
      <c r="A9" s="369" t="s">
        <v>1684</v>
      </c>
      <c r="B9" s="63" t="s">
        <v>1685</v>
      </c>
      <c r="C9" s="3548" t="s">
        <v>3685</v>
      </c>
      <c r="D9" s="126">
        <v>100</v>
      </c>
      <c r="E9" s="373" t="s">
        <v>21</v>
      </c>
      <c r="F9" s="126">
        <f>SUMIF(64:64,E9,65:65)-SUMIF(64:64,C9,65:65)+100</f>
        <v>100</v>
      </c>
      <c r="G9" s="373" t="s">
        <v>21</v>
      </c>
      <c r="H9" s="126">
        <f>SUMIF(64:64,G9,65:65)-SUMIF(64:64,C9,65:65)+100</f>
        <v>100</v>
      </c>
      <c r="I9" s="373" t="s">
        <v>21</v>
      </c>
      <c r="J9" s="126">
        <f>SUMIF(64:64,I9,65:65)-SUMIF(64:64,C9,65:65)+100</f>
        <v>100</v>
      </c>
      <c r="K9" s="560"/>
      <c r="L9" s="2717"/>
      <c r="M9" s="2718"/>
      <c r="N9" s="2718"/>
      <c r="O9" s="2718"/>
      <c r="P9" s="3881" t="s">
        <v>1686</v>
      </c>
      <c r="Q9" s="1343" t="str">
        <f t="shared" ref="Q9:Q15" si="6">B9</f>
        <v>用途</v>
      </c>
      <c r="R9" s="701" t="s">
        <v>14</v>
      </c>
      <c r="S9" s="702">
        <f t="shared" si="0"/>
        <v>100</v>
      </c>
      <c r="T9" s="701" t="s">
        <v>14</v>
      </c>
      <c r="U9" s="702">
        <f t="shared" si="1"/>
        <v>100</v>
      </c>
      <c r="V9" s="701" t="s">
        <v>14</v>
      </c>
      <c r="W9" s="702">
        <f t="shared" si="2"/>
        <v>100</v>
      </c>
      <c r="X9" s="703"/>
      <c r="Y9" s="3706" t="s">
        <v>1687</v>
      </c>
      <c r="Z9" s="52" t="str">
        <f t="shared" ref="Z9:Z15" si="7">Q9</f>
        <v>用途</v>
      </c>
      <c r="AA9" s="704">
        <f t="shared" si="3"/>
        <v>1</v>
      </c>
      <c r="AB9" s="704">
        <f t="shared" si="4"/>
        <v>1</v>
      </c>
      <c r="AC9" s="1959">
        <f t="shared" si="5"/>
        <v>1</v>
      </c>
    </row>
    <row r="10" spans="1:29" s="378" customFormat="1" ht="28.8" hidden="1">
      <c r="A10" s="374"/>
      <c r="B10" s="375" t="s">
        <v>1688</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881"/>
      <c r="Q10" s="1343" t="str">
        <f t="shared" si="6"/>
        <v>土地使用年限（年）</v>
      </c>
      <c r="R10" s="701" t="s">
        <v>14</v>
      </c>
      <c r="S10" s="702">
        <f t="shared" si="0"/>
        <v>100</v>
      </c>
      <c r="T10" s="701" t="s">
        <v>14</v>
      </c>
      <c r="U10" s="702">
        <f t="shared" si="1"/>
        <v>100</v>
      </c>
      <c r="V10" s="701" t="s">
        <v>14</v>
      </c>
      <c r="W10" s="702">
        <f t="shared" si="2"/>
        <v>100</v>
      </c>
      <c r="X10" s="703"/>
      <c r="Y10" s="3706"/>
      <c r="Z10" s="52" t="str">
        <f t="shared" si="7"/>
        <v>土地使用年限（年）</v>
      </c>
      <c r="AA10" s="704">
        <f t="shared" si="3"/>
        <v>1</v>
      </c>
      <c r="AB10" s="704">
        <f t="shared" si="4"/>
        <v>1</v>
      </c>
      <c r="AC10" s="1959">
        <f t="shared" si="5"/>
        <v>1</v>
      </c>
    </row>
    <row r="11" spans="1:29" ht="15" hidden="1">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881"/>
      <c r="Q11" s="1343" t="str">
        <f t="shared" si="6"/>
        <v>容积率</v>
      </c>
      <c r="R11" s="701" t="s">
        <v>14</v>
      </c>
      <c r="S11" s="702">
        <f t="shared" si="0"/>
        <v>100</v>
      </c>
      <c r="T11" s="701" t="s">
        <v>14</v>
      </c>
      <c r="U11" s="702">
        <f t="shared" si="1"/>
        <v>100</v>
      </c>
      <c r="V11" s="701" t="s">
        <v>14</v>
      </c>
      <c r="W11" s="702">
        <f t="shared" si="2"/>
        <v>100</v>
      </c>
      <c r="X11" s="703"/>
      <c r="Y11" s="3706"/>
      <c r="Z11" s="52" t="str">
        <f t="shared" si="7"/>
        <v>容积率</v>
      </c>
      <c r="AA11" s="704">
        <f t="shared" si="3"/>
        <v>1</v>
      </c>
      <c r="AB11" s="704">
        <f t="shared" si="4"/>
        <v>1</v>
      </c>
      <c r="AC11" s="1959">
        <f t="shared" si="5"/>
        <v>1</v>
      </c>
    </row>
    <row r="12" spans="1:29" s="108" customFormat="1" ht="15" hidden="1">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881"/>
      <c r="Q12" s="1343">
        <f t="shared" si="6"/>
        <v>111</v>
      </c>
      <c r="R12" s="701" t="s">
        <v>14</v>
      </c>
      <c r="S12" s="702">
        <f t="shared" si="0"/>
        <v>100</v>
      </c>
      <c r="T12" s="701" t="s">
        <v>14</v>
      </c>
      <c r="U12" s="702">
        <f t="shared" si="1"/>
        <v>100</v>
      </c>
      <c r="V12" s="701" t="s">
        <v>14</v>
      </c>
      <c r="W12" s="702">
        <f t="shared" si="2"/>
        <v>100</v>
      </c>
      <c r="X12" s="703"/>
      <c r="Y12" s="3706"/>
      <c r="Z12" s="52">
        <f t="shared" si="7"/>
        <v>111</v>
      </c>
      <c r="AA12" s="704">
        <f>D12/F12</f>
        <v>1</v>
      </c>
      <c r="AB12" s="704">
        <f>D12/H12</f>
        <v>1</v>
      </c>
      <c r="AC12" s="1959">
        <f>D12/J12</f>
        <v>1</v>
      </c>
    </row>
    <row r="13" spans="1:29" ht="15" hidden="1">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881"/>
      <c r="Q13" s="1343">
        <f t="shared" si="6"/>
        <v>111</v>
      </c>
      <c r="R13" s="701" t="s">
        <v>14</v>
      </c>
      <c r="S13" s="702">
        <f t="shared" si="0"/>
        <v>100</v>
      </c>
      <c r="T13" s="701" t="s">
        <v>14</v>
      </c>
      <c r="U13" s="702">
        <f t="shared" si="1"/>
        <v>100</v>
      </c>
      <c r="V13" s="701" t="s">
        <v>14</v>
      </c>
      <c r="W13" s="702">
        <f t="shared" si="2"/>
        <v>100</v>
      </c>
      <c r="X13" s="703"/>
      <c r="Y13" s="3706"/>
      <c r="Z13" s="52">
        <f t="shared" si="7"/>
        <v>111</v>
      </c>
      <c r="AA13" s="704">
        <f t="shared" si="3"/>
        <v>1</v>
      </c>
      <c r="AB13" s="704">
        <f t="shared" si="4"/>
        <v>1</v>
      </c>
      <c r="AC13" s="1959">
        <f t="shared" si="5"/>
        <v>1</v>
      </c>
    </row>
    <row r="14" spans="1:29" ht="15.6" hidden="1"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881"/>
      <c r="Q14" s="1343">
        <f t="shared" si="6"/>
        <v>111</v>
      </c>
      <c r="R14" s="701" t="s">
        <v>14</v>
      </c>
      <c r="S14" s="702">
        <f t="shared" si="0"/>
        <v>100</v>
      </c>
      <c r="T14" s="701" t="s">
        <v>14</v>
      </c>
      <c r="U14" s="702">
        <f t="shared" si="1"/>
        <v>100</v>
      </c>
      <c r="V14" s="701" t="s">
        <v>14</v>
      </c>
      <c r="W14" s="702">
        <f t="shared" si="2"/>
        <v>100</v>
      </c>
      <c r="X14" s="703"/>
      <c r="Y14" s="3706"/>
      <c r="Z14" s="52">
        <f t="shared" si="7"/>
        <v>111</v>
      </c>
      <c r="AA14" s="704">
        <f t="shared" si="3"/>
        <v>1</v>
      </c>
      <c r="AB14" s="704">
        <f t="shared" si="4"/>
        <v>1</v>
      </c>
      <c r="AC14" s="1959">
        <f t="shared" si="5"/>
        <v>1</v>
      </c>
    </row>
    <row r="15" spans="1:29" ht="69">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2"/>
      <c r="M15" s="2716"/>
      <c r="N15" s="2716"/>
      <c r="O15" s="2716"/>
      <c r="P15" s="3882" t="s">
        <v>1691</v>
      </c>
      <c r="Q15" s="1352" t="str">
        <f t="shared" si="6"/>
        <v>办公集聚程度</v>
      </c>
      <c r="R15" s="705" t="s">
        <v>14</v>
      </c>
      <c r="S15" s="706">
        <f t="shared" si="0"/>
        <v>100</v>
      </c>
      <c r="T15" s="705" t="s">
        <v>14</v>
      </c>
      <c r="U15" s="706">
        <f t="shared" si="1"/>
        <v>100</v>
      </c>
      <c r="V15" s="705" t="s">
        <v>14</v>
      </c>
      <c r="W15" s="706">
        <f t="shared" si="2"/>
        <v>100</v>
      </c>
      <c r="X15" s="1355"/>
      <c r="Y15" s="3884" t="s">
        <v>1691</v>
      </c>
      <c r="Z15" s="1356" t="str">
        <f t="shared" si="7"/>
        <v>办公集聚程度</v>
      </c>
      <c r="AA15" s="1353">
        <f t="shared" si="3"/>
        <v>1</v>
      </c>
      <c r="AB15" s="1353">
        <f t="shared" si="4"/>
        <v>1</v>
      </c>
      <c r="AC15" s="1962">
        <f t="shared" si="5"/>
        <v>1</v>
      </c>
    </row>
    <row r="16" spans="1:29" ht="15">
      <c r="A16" s="379"/>
      <c r="B16" s="578"/>
      <c r="C16" s="1904" t="s">
        <v>3683</v>
      </c>
      <c r="D16" s="399"/>
      <c r="E16" s="1904" t="s">
        <v>3683</v>
      </c>
      <c r="F16" s="399"/>
      <c r="G16" s="1904" t="s">
        <v>3683</v>
      </c>
      <c r="H16" s="401"/>
      <c r="I16" s="1904" t="s">
        <v>3683</v>
      </c>
      <c r="J16" s="399"/>
      <c r="K16" s="564"/>
      <c r="L16" s="2722"/>
      <c r="M16" s="2716"/>
      <c r="N16" s="2716"/>
      <c r="O16" s="2716"/>
      <c r="P16" s="3883"/>
      <c r="Q16" s="1352"/>
      <c r="R16" s="705"/>
      <c r="S16" s="706"/>
      <c r="T16" s="705"/>
      <c r="U16" s="706"/>
      <c r="V16" s="705"/>
      <c r="W16" s="706"/>
      <c r="X16" s="1355"/>
      <c r="Y16" s="3885"/>
      <c r="Z16" s="1356"/>
      <c r="AA16" s="1353">
        <v>1</v>
      </c>
      <c r="AB16" s="1353">
        <v>1</v>
      </c>
      <c r="AC16" s="1962">
        <v>1</v>
      </c>
    </row>
    <row r="17" spans="1:29" ht="82.8">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2"/>
      <c r="M17" s="2716"/>
      <c r="N17" s="2716"/>
      <c r="O17" s="2716"/>
      <c r="P17" s="3883"/>
      <c r="Q17" s="1352" t="str">
        <f>B17</f>
        <v>交通便捷度</v>
      </c>
      <c r="R17" s="705" t="s">
        <v>14</v>
      </c>
      <c r="S17" s="706">
        <f>F17</f>
        <v>100</v>
      </c>
      <c r="T17" s="705" t="s">
        <v>14</v>
      </c>
      <c r="U17" s="706">
        <f>H17</f>
        <v>100</v>
      </c>
      <c r="V17" s="705" t="s">
        <v>14</v>
      </c>
      <c r="W17" s="706">
        <f>J17</f>
        <v>100</v>
      </c>
      <c r="X17" s="1355"/>
      <c r="Y17" s="3885"/>
      <c r="Z17" s="1356" t="str">
        <f>Q17</f>
        <v>交通便捷度</v>
      </c>
      <c r="AA17" s="1353">
        <f t="shared" si="3"/>
        <v>1</v>
      </c>
      <c r="AB17" s="1353">
        <f t="shared" si="4"/>
        <v>1</v>
      </c>
      <c r="AC17" s="1962">
        <f t="shared" si="5"/>
        <v>1</v>
      </c>
    </row>
    <row r="18" spans="1:29" ht="15">
      <c r="A18" s="379"/>
      <c r="B18" s="580"/>
      <c r="C18" s="1904" t="s">
        <v>3683</v>
      </c>
      <c r="D18" s="401"/>
      <c r="E18" s="1904" t="s">
        <v>3683</v>
      </c>
      <c r="F18" s="401"/>
      <c r="G18" s="1904" t="s">
        <v>3683</v>
      </c>
      <c r="H18" s="399"/>
      <c r="I18" s="1904" t="s">
        <v>3683</v>
      </c>
      <c r="J18" s="399"/>
      <c r="K18" s="564"/>
      <c r="L18" s="2722"/>
      <c r="M18" s="2716"/>
      <c r="N18" s="2716"/>
      <c r="O18" s="2716"/>
      <c r="P18" s="3883"/>
      <c r="Q18" s="1352"/>
      <c r="R18" s="705"/>
      <c r="S18" s="706"/>
      <c r="T18" s="705"/>
      <c r="U18" s="706"/>
      <c r="V18" s="705"/>
      <c r="W18" s="706"/>
      <c r="X18" s="1355"/>
      <c r="Y18" s="3885"/>
      <c r="Z18" s="1356"/>
      <c r="AA18" s="1353">
        <v>1</v>
      </c>
      <c r="AB18" s="1353">
        <v>1</v>
      </c>
      <c r="AC18" s="1962">
        <v>1</v>
      </c>
    </row>
    <row r="19" spans="1:29" ht="41.4">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2"/>
      <c r="M19" s="2716"/>
      <c r="N19" s="2716"/>
      <c r="O19" s="2716"/>
      <c r="P19" s="3883"/>
      <c r="Q19" s="1352" t="str">
        <f>B19</f>
        <v>公共配套设施</v>
      </c>
      <c r="R19" s="705" t="s">
        <v>14</v>
      </c>
      <c r="S19" s="706">
        <f>F19</f>
        <v>100</v>
      </c>
      <c r="T19" s="705" t="s">
        <v>14</v>
      </c>
      <c r="U19" s="706">
        <f>H19</f>
        <v>100</v>
      </c>
      <c r="V19" s="705" t="s">
        <v>14</v>
      </c>
      <c r="W19" s="706">
        <f>J19</f>
        <v>100</v>
      </c>
      <c r="X19" s="1355"/>
      <c r="Y19" s="3885"/>
      <c r="Z19" s="1356" t="str">
        <f>Q19</f>
        <v>公共配套设施</v>
      </c>
      <c r="AA19" s="1353">
        <f t="shared" si="3"/>
        <v>1</v>
      </c>
      <c r="AB19" s="1353">
        <f t="shared" si="4"/>
        <v>1</v>
      </c>
      <c r="AC19" s="1962">
        <f t="shared" si="5"/>
        <v>1</v>
      </c>
    </row>
    <row r="20" spans="1:29" ht="15">
      <c r="A20" s="379"/>
      <c r="B20" s="580"/>
      <c r="C20" s="1904" t="s">
        <v>3683</v>
      </c>
      <c r="D20" s="399"/>
      <c r="E20" s="1904" t="s">
        <v>3683</v>
      </c>
      <c r="F20" s="399"/>
      <c r="G20" s="1904" t="s">
        <v>3683</v>
      </c>
      <c r="H20" s="399"/>
      <c r="I20" s="1904" t="s">
        <v>3683</v>
      </c>
      <c r="J20" s="399"/>
      <c r="K20" s="564"/>
      <c r="L20" s="2722"/>
      <c r="M20" s="2716"/>
      <c r="N20" s="2716"/>
      <c r="O20" s="2716"/>
      <c r="P20" s="3883"/>
      <c r="Q20" s="1352"/>
      <c r="R20" s="705"/>
      <c r="S20" s="706"/>
      <c r="T20" s="705"/>
      <c r="U20" s="706"/>
      <c r="V20" s="705"/>
      <c r="W20" s="706"/>
      <c r="X20" s="1355"/>
      <c r="Y20" s="3885"/>
      <c r="Z20" s="1356"/>
      <c r="AA20" s="1353">
        <v>1</v>
      </c>
      <c r="AB20" s="1353">
        <v>1</v>
      </c>
      <c r="AC20" s="1962">
        <v>1</v>
      </c>
    </row>
    <row r="21" spans="1:29" ht="27.6">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2"/>
      <c r="M21" s="2716"/>
      <c r="N21" s="2716"/>
      <c r="O21" s="2716"/>
      <c r="P21" s="3883"/>
      <c r="Q21" s="1352" t="str">
        <f>B21</f>
        <v>基础设施水平</v>
      </c>
      <c r="R21" s="705" t="s">
        <v>14</v>
      </c>
      <c r="S21" s="706">
        <f>F21</f>
        <v>100</v>
      </c>
      <c r="T21" s="705" t="s">
        <v>14</v>
      </c>
      <c r="U21" s="706">
        <f>H21</f>
        <v>100</v>
      </c>
      <c r="V21" s="705" t="s">
        <v>14</v>
      </c>
      <c r="W21" s="706">
        <f>J21</f>
        <v>100</v>
      </c>
      <c r="X21" s="1355"/>
      <c r="Y21" s="3885"/>
      <c r="Z21" s="1356" t="str">
        <f>Q21</f>
        <v>基础设施水平</v>
      </c>
      <c r="AA21" s="1353">
        <f t="shared" ref="AA21" si="8">D21/F21</f>
        <v>1</v>
      </c>
      <c r="AB21" s="1353">
        <f t="shared" ref="AB21" si="9">D21/H21</f>
        <v>1</v>
      </c>
      <c r="AC21" s="1962">
        <f t="shared" ref="AC21" si="10">D21/J21</f>
        <v>1</v>
      </c>
    </row>
    <row r="22" spans="1:29" ht="15">
      <c r="A22" s="379"/>
      <c r="B22" s="581"/>
      <c r="C22" s="1964" t="s">
        <v>3684</v>
      </c>
      <c r="D22" s="399"/>
      <c r="E22" s="1964" t="s">
        <v>3684</v>
      </c>
      <c r="F22" s="399"/>
      <c r="G22" s="1964" t="s">
        <v>3684</v>
      </c>
      <c r="H22" s="399"/>
      <c r="I22" s="1964" t="s">
        <v>3684</v>
      </c>
      <c r="J22" s="399"/>
      <c r="K22" s="1130"/>
      <c r="L22" s="2722"/>
      <c r="M22" s="2716"/>
      <c r="N22" s="2716"/>
      <c r="O22" s="2716"/>
      <c r="P22" s="3883"/>
      <c r="Q22" s="1352"/>
      <c r="R22" s="705"/>
      <c r="S22" s="706"/>
      <c r="T22" s="705"/>
      <c r="U22" s="706"/>
      <c r="V22" s="705"/>
      <c r="W22" s="706"/>
      <c r="X22" s="1355"/>
      <c r="Y22" s="3885"/>
      <c r="Z22" s="1356"/>
      <c r="AA22" s="1353">
        <v>1</v>
      </c>
      <c r="AB22" s="1353">
        <v>1</v>
      </c>
      <c r="AC22" s="1962">
        <v>1</v>
      </c>
    </row>
    <row r="23" spans="1:29" ht="55.2">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2"/>
      <c r="M23" s="2716"/>
      <c r="N23" s="2716"/>
      <c r="O23" s="2716"/>
      <c r="P23" s="3883"/>
      <c r="Q23" s="1352" t="str">
        <f>B23</f>
        <v>环境质量</v>
      </c>
      <c r="R23" s="705" t="s">
        <v>14</v>
      </c>
      <c r="S23" s="706">
        <f>F23</f>
        <v>100</v>
      </c>
      <c r="T23" s="705" t="s">
        <v>14</v>
      </c>
      <c r="U23" s="706">
        <f>H23</f>
        <v>100</v>
      </c>
      <c r="V23" s="705" t="s">
        <v>14</v>
      </c>
      <c r="W23" s="706">
        <f>J23</f>
        <v>100</v>
      </c>
      <c r="X23" s="1355"/>
      <c r="Y23" s="3885"/>
      <c r="Z23" s="1356" t="str">
        <f>Q23</f>
        <v>环境质量</v>
      </c>
      <c r="AA23" s="1353">
        <f t="shared" si="3"/>
        <v>1</v>
      </c>
      <c r="AB23" s="1353">
        <f t="shared" si="4"/>
        <v>1</v>
      </c>
      <c r="AC23" s="1962">
        <f t="shared" si="5"/>
        <v>1</v>
      </c>
    </row>
    <row r="24" spans="1:29" ht="15">
      <c r="A24" s="379"/>
      <c r="B24" s="581"/>
      <c r="C24" s="1904" t="s">
        <v>3683</v>
      </c>
      <c r="D24" s="399"/>
      <c r="E24" s="1904" t="s">
        <v>3683</v>
      </c>
      <c r="F24" s="399"/>
      <c r="G24" s="1904" t="s">
        <v>3683</v>
      </c>
      <c r="H24" s="399"/>
      <c r="I24" s="1904" t="s">
        <v>3683</v>
      </c>
      <c r="J24" s="399"/>
      <c r="K24" s="564"/>
      <c r="L24" s="2722"/>
      <c r="M24" s="2716"/>
      <c r="N24" s="2716"/>
      <c r="O24" s="2716"/>
      <c r="P24" s="3883"/>
      <c r="Q24" s="1352"/>
      <c r="R24" s="705"/>
      <c r="S24" s="706"/>
      <c r="T24" s="705"/>
      <c r="U24" s="706"/>
      <c r="V24" s="705"/>
      <c r="W24" s="706"/>
      <c r="X24" s="1355"/>
      <c r="Y24" s="3885"/>
      <c r="Z24" s="1356"/>
      <c r="AA24" s="1353">
        <v>1</v>
      </c>
      <c r="AB24" s="1353">
        <v>1</v>
      </c>
      <c r="AC24" s="1962">
        <v>1</v>
      </c>
    </row>
    <row r="25" spans="1:29" ht="28.8">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2"/>
      <c r="M25" s="2716"/>
      <c r="N25" s="2716"/>
      <c r="O25" s="2716"/>
      <c r="P25" s="3883"/>
      <c r="Q25" s="1352" t="str">
        <f>B25</f>
        <v>毗邻道路的类型与等级</v>
      </c>
      <c r="R25" s="705" t="s">
        <v>14</v>
      </c>
      <c r="S25" s="706">
        <f>F25</f>
        <v>100</v>
      </c>
      <c r="T25" s="705" t="s">
        <v>14</v>
      </c>
      <c r="U25" s="706">
        <f>H25</f>
        <v>100</v>
      </c>
      <c r="V25" s="705" t="s">
        <v>14</v>
      </c>
      <c r="W25" s="706">
        <f>J25</f>
        <v>100</v>
      </c>
      <c r="X25" s="1355"/>
      <c r="Y25" s="3885"/>
      <c r="Z25" s="1356" t="str">
        <f>Q25</f>
        <v>毗邻道路的类型与等级</v>
      </c>
      <c r="AA25" s="1353">
        <f t="shared" si="3"/>
        <v>1</v>
      </c>
      <c r="AB25" s="1353">
        <f t="shared" si="4"/>
        <v>1</v>
      </c>
      <c r="AC25" s="1962">
        <f t="shared" si="5"/>
        <v>1</v>
      </c>
    </row>
    <row r="26" spans="1:29" ht="27.6">
      <c r="A26" s="358"/>
      <c r="B26" s="580"/>
      <c r="C26" s="582" t="s">
        <v>3717</v>
      </c>
      <c r="D26" s="386"/>
      <c r="E26" s="565" t="s">
        <v>3717</v>
      </c>
      <c r="F26" s="386"/>
      <c r="G26" s="582" t="s">
        <v>3718</v>
      </c>
      <c r="H26" s="386"/>
      <c r="I26" s="565" t="s">
        <v>3718</v>
      </c>
      <c r="J26" s="386"/>
      <c r="K26" s="564"/>
      <c r="L26" s="2722"/>
      <c r="M26" s="2716"/>
      <c r="N26" s="2716"/>
      <c r="O26" s="2716"/>
      <c r="P26" s="3883"/>
      <c r="Q26" s="1352"/>
      <c r="R26" s="705"/>
      <c r="S26" s="706"/>
      <c r="T26" s="705"/>
      <c r="U26" s="706"/>
      <c r="V26" s="705"/>
      <c r="W26" s="706"/>
      <c r="X26" s="1355"/>
      <c r="Y26" s="3885"/>
      <c r="Z26" s="1356"/>
      <c r="AA26" s="1353">
        <v>1</v>
      </c>
      <c r="AB26" s="1353">
        <v>1</v>
      </c>
      <c r="AC26" s="1962">
        <v>1</v>
      </c>
    </row>
    <row r="27" spans="1:29" ht="15" hidden="1">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2"/>
      <c r="M27" s="2716"/>
      <c r="N27" s="2716"/>
      <c r="O27" s="2716"/>
      <c r="P27" s="3883"/>
      <c r="Q27" s="1352" t="str">
        <f t="shared" ref="Q27:Q47" si="11">B27</f>
        <v>楼层</v>
      </c>
      <c r="R27" s="705" t="s">
        <v>14</v>
      </c>
      <c r="S27" s="706">
        <f>F27</f>
        <v>100</v>
      </c>
      <c r="T27" s="705" t="s">
        <v>14</v>
      </c>
      <c r="U27" s="706">
        <f>H27</f>
        <v>100</v>
      </c>
      <c r="V27" s="705" t="s">
        <v>14</v>
      </c>
      <c r="W27" s="706">
        <f>J27</f>
        <v>100</v>
      </c>
      <c r="X27" s="1355"/>
      <c r="Y27" s="3885"/>
      <c r="Z27" s="1356" t="str">
        <f>Q27</f>
        <v>楼层</v>
      </c>
      <c r="AA27" s="1353">
        <f t="shared" si="3"/>
        <v>1</v>
      </c>
      <c r="AB27" s="1353">
        <f t="shared" si="4"/>
        <v>1</v>
      </c>
      <c r="AC27" s="1962">
        <f t="shared" si="5"/>
        <v>1</v>
      </c>
    </row>
    <row r="28" spans="1:29" s="108" customFormat="1" ht="15" hidden="1">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883"/>
      <c r="Q28" s="1343" t="str">
        <f t="shared" si="11"/>
        <v>朝向</v>
      </c>
      <c r="R28" s="701" t="s">
        <v>14</v>
      </c>
      <c r="S28" s="702">
        <f>F28</f>
        <v>100</v>
      </c>
      <c r="T28" s="701" t="s">
        <v>14</v>
      </c>
      <c r="U28" s="702">
        <f>H28</f>
        <v>100</v>
      </c>
      <c r="V28" s="701" t="s">
        <v>14</v>
      </c>
      <c r="W28" s="702">
        <f>J28</f>
        <v>100</v>
      </c>
      <c r="X28" s="703"/>
      <c r="Y28" s="3885"/>
      <c r="Z28" s="52" t="str">
        <f>Q28</f>
        <v>朝向</v>
      </c>
      <c r="AA28" s="1353">
        <f>D28/F28</f>
        <v>1</v>
      </c>
      <c r="AB28" s="1353">
        <f>D28/H28</f>
        <v>1</v>
      </c>
      <c r="AC28" s="1962">
        <f>D28/J28</f>
        <v>1</v>
      </c>
    </row>
    <row r="29" spans="1:29" ht="15.6" thickBot="1">
      <c r="A29" s="379"/>
      <c r="B29" s="3569" t="s">
        <v>3699</v>
      </c>
      <c r="C29" s="1908" t="s">
        <v>3703</v>
      </c>
      <c r="D29" s="386">
        <v>100</v>
      </c>
      <c r="E29" s="383" t="s">
        <v>3702</v>
      </c>
      <c r="F29" s="386">
        <f>SUMIF(93:93,E29,94:94)-SUMIF(93:93,C29,94:94)+100</f>
        <v>102</v>
      </c>
      <c r="G29" s="1960" t="s">
        <v>3700</v>
      </c>
      <c r="H29" s="386">
        <f>SUMIF(93:93,G29,94:94)-SUMIF(93:93,C29,94:94)+100</f>
        <v>100</v>
      </c>
      <c r="I29" s="383" t="s">
        <v>3701</v>
      </c>
      <c r="J29" s="386">
        <f>SUMIF(93:93,I29,94:94)-SUMIF(93:93,C29,94:94)+100</f>
        <v>102</v>
      </c>
      <c r="K29" s="562"/>
      <c r="L29" s="2722"/>
      <c r="M29" s="2716"/>
      <c r="N29" s="2716"/>
      <c r="O29" s="2716"/>
      <c r="P29" s="3883"/>
      <c r="Q29" s="1352" t="str">
        <f t="shared" si="11"/>
        <v>楼层</v>
      </c>
      <c r="R29" s="705" t="s">
        <v>14</v>
      </c>
      <c r="S29" s="706">
        <f t="shared" ref="S29:S47" si="12">F29</f>
        <v>102</v>
      </c>
      <c r="T29" s="705" t="s">
        <v>14</v>
      </c>
      <c r="U29" s="706">
        <f t="shared" ref="U29:U47" si="13">H29</f>
        <v>100</v>
      </c>
      <c r="V29" s="705" t="s">
        <v>14</v>
      </c>
      <c r="W29" s="706">
        <f t="shared" ref="W29:W47" si="14">J29</f>
        <v>102</v>
      </c>
      <c r="X29" s="1355"/>
      <c r="Y29" s="3885"/>
      <c r="Z29" s="1356" t="str">
        <f t="shared" ref="Z29:Z47" si="15">Q29</f>
        <v>楼层</v>
      </c>
      <c r="AA29" s="1353">
        <f t="shared" si="3"/>
        <v>0.98039215686274506</v>
      </c>
      <c r="AB29" s="1353">
        <f t="shared" si="4"/>
        <v>1</v>
      </c>
      <c r="AC29" s="1962">
        <f t="shared" si="5"/>
        <v>0.98039215686274506</v>
      </c>
    </row>
    <row r="30" spans="1:29" ht="15" hidden="1">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883"/>
      <c r="Q30" s="1352">
        <f t="shared" si="11"/>
        <v>111</v>
      </c>
      <c r="R30" s="705" t="s">
        <v>14</v>
      </c>
      <c r="S30" s="706">
        <f t="shared" si="12"/>
        <v>100</v>
      </c>
      <c r="T30" s="705" t="s">
        <v>14</v>
      </c>
      <c r="U30" s="706">
        <f t="shared" si="13"/>
        <v>100</v>
      </c>
      <c r="V30" s="705" t="s">
        <v>14</v>
      </c>
      <c r="W30" s="706">
        <f t="shared" si="14"/>
        <v>100</v>
      </c>
      <c r="X30" s="1355"/>
      <c r="Y30" s="3885"/>
      <c r="Z30" s="1356">
        <f t="shared" si="15"/>
        <v>111</v>
      </c>
      <c r="AA30" s="1353">
        <f t="shared" si="3"/>
        <v>1</v>
      </c>
      <c r="AB30" s="1353">
        <f t="shared" si="4"/>
        <v>1</v>
      </c>
      <c r="AC30" s="1962">
        <f t="shared" si="5"/>
        <v>1</v>
      </c>
    </row>
    <row r="31" spans="1:29" ht="15" hidden="1">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883"/>
      <c r="Q31" s="1352">
        <f t="shared" si="11"/>
        <v>111</v>
      </c>
      <c r="R31" s="705" t="s">
        <v>14</v>
      </c>
      <c r="S31" s="706">
        <f t="shared" si="12"/>
        <v>100</v>
      </c>
      <c r="T31" s="705" t="s">
        <v>14</v>
      </c>
      <c r="U31" s="706">
        <f t="shared" si="13"/>
        <v>100</v>
      </c>
      <c r="V31" s="705" t="s">
        <v>14</v>
      </c>
      <c r="W31" s="706">
        <f t="shared" si="14"/>
        <v>100</v>
      </c>
      <c r="X31" s="1355"/>
      <c r="Y31" s="3885"/>
      <c r="Z31" s="1356">
        <f t="shared" si="15"/>
        <v>111</v>
      </c>
      <c r="AA31" s="1353">
        <f t="shared" si="3"/>
        <v>1</v>
      </c>
      <c r="AB31" s="1353">
        <f t="shared" si="4"/>
        <v>1</v>
      </c>
      <c r="AC31" s="1962">
        <f t="shared" si="5"/>
        <v>1</v>
      </c>
    </row>
    <row r="32" spans="1:29" ht="15.6" hidden="1"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883"/>
      <c r="Q32" s="1352">
        <f t="shared" si="11"/>
        <v>111</v>
      </c>
      <c r="R32" s="705" t="s">
        <v>14</v>
      </c>
      <c r="S32" s="706">
        <f t="shared" si="12"/>
        <v>100</v>
      </c>
      <c r="T32" s="705" t="s">
        <v>14</v>
      </c>
      <c r="U32" s="706">
        <f t="shared" si="13"/>
        <v>100</v>
      </c>
      <c r="V32" s="705" t="s">
        <v>14</v>
      </c>
      <c r="W32" s="706">
        <f t="shared" si="14"/>
        <v>100</v>
      </c>
      <c r="X32" s="1355"/>
      <c r="Y32" s="3885"/>
      <c r="Z32" s="1356">
        <f t="shared" si="15"/>
        <v>111</v>
      </c>
      <c r="AA32" s="1353">
        <f t="shared" si="3"/>
        <v>1</v>
      </c>
      <c r="AB32" s="1353">
        <f t="shared" si="4"/>
        <v>1</v>
      </c>
      <c r="AC32" s="1962">
        <f t="shared" si="5"/>
        <v>1</v>
      </c>
    </row>
    <row r="33" spans="1:29" ht="15">
      <c r="A33" s="391" t="s">
        <v>1694</v>
      </c>
      <c r="B33" s="63" t="s">
        <v>1817</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22"/>
      <c r="M33" s="2716"/>
      <c r="N33" s="2716"/>
      <c r="O33" s="2716"/>
      <c r="P33" s="3886" t="s">
        <v>1696</v>
      </c>
      <c r="Q33" s="1352" t="str">
        <f t="shared" si="11"/>
        <v>建筑类型</v>
      </c>
      <c r="R33" s="705" t="s">
        <v>14</v>
      </c>
      <c r="S33" s="706">
        <f t="shared" si="12"/>
        <v>100</v>
      </c>
      <c r="T33" s="705" t="s">
        <v>14</v>
      </c>
      <c r="U33" s="706">
        <f t="shared" si="13"/>
        <v>100</v>
      </c>
      <c r="V33" s="705" t="s">
        <v>14</v>
      </c>
      <c r="W33" s="706">
        <f t="shared" si="14"/>
        <v>100</v>
      </c>
      <c r="X33" s="1355"/>
      <c r="Y33" s="3889" t="s">
        <v>1696</v>
      </c>
      <c r="Z33" s="1356" t="str">
        <f t="shared" si="15"/>
        <v>建筑类型</v>
      </c>
      <c r="AA33" s="1353">
        <f t="shared" si="3"/>
        <v>1</v>
      </c>
      <c r="AB33" s="1353">
        <f t="shared" si="4"/>
        <v>1</v>
      </c>
      <c r="AC33" s="1962">
        <f t="shared" si="5"/>
        <v>1</v>
      </c>
    </row>
    <row r="34" spans="1:29" s="422" customFormat="1" ht="15">
      <c r="A34" s="419"/>
      <c r="B34" s="375" t="s">
        <v>1697</v>
      </c>
      <c r="C34" s="420">
        <f>'售价比较法-办公 '!C34</f>
        <v>1435.93</v>
      </c>
      <c r="D34" s="127">
        <v>100</v>
      </c>
      <c r="E34" s="381">
        <v>300</v>
      </c>
      <c r="F34" s="376">
        <f>LOOKUP(E34,104:104,105:105)-LOOKUP(C34,104:104,105:105)+100</f>
        <v>104</v>
      </c>
      <c r="G34" s="380">
        <v>1000</v>
      </c>
      <c r="H34" s="127">
        <f>LOOKUP(G34,104:104,105:105)-LOOKUP(C34,104:104,105:105)+100</f>
        <v>100</v>
      </c>
      <c r="I34" s="380">
        <v>1200</v>
      </c>
      <c r="J34" s="127">
        <f>LOOKUP(I34,104:104,105:105)-LOOKUP(C34,104:104,105:105)+100</f>
        <v>100</v>
      </c>
      <c r="K34" s="562"/>
      <c r="L34" s="2721"/>
      <c r="M34" s="2723"/>
      <c r="N34" s="2723"/>
      <c r="O34" s="2723"/>
      <c r="P34" s="3887"/>
      <c r="Q34" s="707" t="str">
        <f t="shared" si="11"/>
        <v>项目建筑规模</v>
      </c>
      <c r="R34" s="708" t="s">
        <v>14</v>
      </c>
      <c r="S34" s="709">
        <f t="shared" si="12"/>
        <v>104</v>
      </c>
      <c r="T34" s="708" t="s">
        <v>14</v>
      </c>
      <c r="U34" s="709">
        <f t="shared" si="13"/>
        <v>100</v>
      </c>
      <c r="V34" s="708" t="s">
        <v>14</v>
      </c>
      <c r="W34" s="709">
        <f t="shared" si="14"/>
        <v>100</v>
      </c>
      <c r="X34" s="710"/>
      <c r="Y34" s="3889"/>
      <c r="Z34" s="711" t="str">
        <f t="shared" si="15"/>
        <v>项目建筑规模</v>
      </c>
      <c r="AA34" s="1353">
        <f t="shared" si="3"/>
        <v>0.96153846153846156</v>
      </c>
      <c r="AB34" s="1353">
        <f t="shared" si="4"/>
        <v>1</v>
      </c>
      <c r="AC34" s="1962">
        <f t="shared" si="5"/>
        <v>1</v>
      </c>
    </row>
    <row r="35" spans="1:29" ht="15">
      <c r="A35" s="423"/>
      <c r="B35" s="375" t="s">
        <v>1698</v>
      </c>
      <c r="C35" s="411" t="s">
        <v>3704</v>
      </c>
      <c r="D35" s="386">
        <v>100</v>
      </c>
      <c r="E35" s="411" t="s">
        <v>3704</v>
      </c>
      <c r="F35" s="412">
        <f>SUMIF(106:106,E35,107:107)-SUMIF(106:106,C35,107:107)+100</f>
        <v>100</v>
      </c>
      <c r="G35" s="411" t="s">
        <v>3704</v>
      </c>
      <c r="H35" s="386">
        <f>SUMIF(106:106,G35,107:107)-SUMIF(106:106,C35,107:107)+100</f>
        <v>100</v>
      </c>
      <c r="I35" s="411" t="s">
        <v>3704</v>
      </c>
      <c r="J35" s="386">
        <f>SUMIF(106:106,I35,107:107)-SUMIF(106:106,C35,107:107)+100</f>
        <v>100</v>
      </c>
      <c r="K35" s="561"/>
      <c r="L35" s="2722"/>
      <c r="M35" s="2716"/>
      <c r="N35" s="2716"/>
      <c r="O35" s="2716"/>
      <c r="P35" s="3887"/>
      <c r="Q35" s="1352" t="str">
        <f t="shared" si="11"/>
        <v>建筑结构</v>
      </c>
      <c r="R35" s="705" t="s">
        <v>14</v>
      </c>
      <c r="S35" s="706">
        <f t="shared" si="12"/>
        <v>100</v>
      </c>
      <c r="T35" s="705" t="s">
        <v>14</v>
      </c>
      <c r="U35" s="706">
        <f t="shared" si="13"/>
        <v>100</v>
      </c>
      <c r="V35" s="705" t="s">
        <v>14</v>
      </c>
      <c r="W35" s="706">
        <f t="shared" si="14"/>
        <v>100</v>
      </c>
      <c r="X35" s="1355"/>
      <c r="Y35" s="3889"/>
      <c r="Z35" s="1356" t="str">
        <f t="shared" si="15"/>
        <v>建筑结构</v>
      </c>
      <c r="AA35" s="1353">
        <f t="shared" si="3"/>
        <v>1</v>
      </c>
      <c r="AB35" s="1353">
        <f t="shared" si="4"/>
        <v>1</v>
      </c>
      <c r="AC35" s="1962">
        <f t="shared" si="5"/>
        <v>1</v>
      </c>
    </row>
    <row r="36" spans="1:29" ht="15">
      <c r="A36" s="423"/>
      <c r="B36" s="375" t="s">
        <v>1785</v>
      </c>
      <c r="C36" s="411" t="s">
        <v>3706</v>
      </c>
      <c r="D36" s="386">
        <v>100</v>
      </c>
      <c r="E36" s="411" t="s">
        <v>3706</v>
      </c>
      <c r="F36" s="412">
        <f>SUMIF(108:108,E36,109:109)-SUMIF(108:108,C36,109:109)+100</f>
        <v>100</v>
      </c>
      <c r="G36" s="411" t="s">
        <v>3706</v>
      </c>
      <c r="H36" s="386">
        <f>SUMIF(108:108,G36,109:109)-SUMIF(108:108,C36,109:109)+100</f>
        <v>100</v>
      </c>
      <c r="I36" s="411" t="s">
        <v>3706</v>
      </c>
      <c r="J36" s="386">
        <f>SUMIF(108:108,I36,109:109)-SUMIF(108:108,C36,109:109)+100</f>
        <v>100</v>
      </c>
      <c r="K36" s="561"/>
      <c r="L36" s="2722"/>
      <c r="M36" s="2716"/>
      <c r="N36" s="2716"/>
      <c r="O36" s="2716"/>
      <c r="P36" s="3887"/>
      <c r="Q36" s="1352" t="str">
        <f t="shared" si="11"/>
        <v>公共部分装修</v>
      </c>
      <c r="R36" s="705" t="s">
        <v>14</v>
      </c>
      <c r="S36" s="706">
        <f t="shared" si="12"/>
        <v>100</v>
      </c>
      <c r="T36" s="705" t="s">
        <v>14</v>
      </c>
      <c r="U36" s="706">
        <f t="shared" si="13"/>
        <v>100</v>
      </c>
      <c r="V36" s="705" t="s">
        <v>14</v>
      </c>
      <c r="W36" s="706">
        <f t="shared" si="14"/>
        <v>100</v>
      </c>
      <c r="X36" s="1355"/>
      <c r="Y36" s="3889"/>
      <c r="Z36" s="1356" t="str">
        <f t="shared" si="15"/>
        <v>公共部分装修</v>
      </c>
      <c r="AA36" s="1353">
        <f t="shared" si="3"/>
        <v>1</v>
      </c>
      <c r="AB36" s="1353">
        <f t="shared" si="4"/>
        <v>1</v>
      </c>
      <c r="AC36" s="1962">
        <f t="shared" si="5"/>
        <v>1</v>
      </c>
    </row>
    <row r="37" spans="1:29" ht="15">
      <c r="A37" s="423"/>
      <c r="B37" s="375" t="s">
        <v>1786</v>
      </c>
      <c r="C37" s="425">
        <v>1</v>
      </c>
      <c r="D37" s="386">
        <v>100</v>
      </c>
      <c r="E37" s="425">
        <v>1</v>
      </c>
      <c r="F37" s="412">
        <f>LOOKUP(E37,111:111,112:112)-LOOKUP(C37,111:111,112:112)+100</f>
        <v>100</v>
      </c>
      <c r="G37" s="425">
        <v>1</v>
      </c>
      <c r="H37" s="412">
        <f>LOOKUP(G37,111:111,112:112)-LOOKUP(C37,111:111,112:112)+100</f>
        <v>100</v>
      </c>
      <c r="I37" s="425">
        <v>1</v>
      </c>
      <c r="J37" s="386">
        <f>LOOKUP(I37,111:111,112:112)-LOOKUP(C37,111:111,112:112)+100</f>
        <v>100</v>
      </c>
      <c r="K37" s="561"/>
      <c r="L37" s="2722"/>
      <c r="M37" s="2716"/>
      <c r="N37" s="2716"/>
      <c r="O37" s="2716"/>
      <c r="P37" s="3887"/>
      <c r="Q37" s="1352" t="str">
        <f t="shared" si="11"/>
        <v>成新度</v>
      </c>
      <c r="R37" s="705" t="s">
        <v>14</v>
      </c>
      <c r="S37" s="706">
        <f t="shared" si="12"/>
        <v>100</v>
      </c>
      <c r="T37" s="705" t="s">
        <v>14</v>
      </c>
      <c r="U37" s="706">
        <f t="shared" si="13"/>
        <v>100</v>
      </c>
      <c r="V37" s="705" t="s">
        <v>14</v>
      </c>
      <c r="W37" s="706">
        <f t="shared" si="14"/>
        <v>100</v>
      </c>
      <c r="X37" s="1355"/>
      <c r="Y37" s="3889"/>
      <c r="Z37" s="1356" t="str">
        <f t="shared" si="15"/>
        <v>成新度</v>
      </c>
      <c r="AA37" s="1353">
        <f t="shared" si="3"/>
        <v>1</v>
      </c>
      <c r="AB37" s="1353">
        <f t="shared" si="4"/>
        <v>1</v>
      </c>
      <c r="AC37" s="1962">
        <f t="shared" si="5"/>
        <v>1</v>
      </c>
    </row>
    <row r="38" spans="1:29" s="108" customFormat="1" ht="15">
      <c r="A38" s="424"/>
      <c r="B38" s="375" t="s">
        <v>1818</v>
      </c>
      <c r="C38" s="411" t="s">
        <v>3708</v>
      </c>
      <c r="D38" s="127">
        <v>100</v>
      </c>
      <c r="E38" s="411" t="s">
        <v>3708</v>
      </c>
      <c r="F38" s="412">
        <f>SUMIF(113:113,E38,114:114)-SUMIF(113:113,C38,114:114)+100</f>
        <v>100</v>
      </c>
      <c r="G38" s="411" t="s">
        <v>3708</v>
      </c>
      <c r="H38" s="386">
        <f>SUMIF(113:113,G38,114:114)-SUMIF(113:113,C38,114:114)+100</f>
        <v>100</v>
      </c>
      <c r="I38" s="411" t="s">
        <v>3708</v>
      </c>
      <c r="J38" s="386">
        <f>SUMIF(113:113,I38,114:114)-SUMIF(113:113,C38,114:114)+100</f>
        <v>100</v>
      </c>
      <c r="K38" s="561"/>
      <c r="L38" s="2717"/>
      <c r="M38" s="2718"/>
      <c r="N38" s="2718"/>
      <c r="O38" s="2718"/>
      <c r="P38" s="3887"/>
      <c r="Q38" s="1343" t="str">
        <f t="shared" si="11"/>
        <v>写字楼等级</v>
      </c>
      <c r="R38" s="701" t="s">
        <v>14</v>
      </c>
      <c r="S38" s="702">
        <f t="shared" si="12"/>
        <v>100</v>
      </c>
      <c r="T38" s="701" t="s">
        <v>14</v>
      </c>
      <c r="U38" s="702">
        <f t="shared" si="13"/>
        <v>100</v>
      </c>
      <c r="V38" s="701" t="s">
        <v>14</v>
      </c>
      <c r="W38" s="702">
        <f t="shared" si="14"/>
        <v>100</v>
      </c>
      <c r="X38" s="703"/>
      <c r="Y38" s="3889"/>
      <c r="Z38" s="52" t="str">
        <f t="shared" si="15"/>
        <v>写字楼等级</v>
      </c>
      <c r="AA38" s="704">
        <f t="shared" si="3"/>
        <v>1</v>
      </c>
      <c r="AB38" s="704">
        <f t="shared" si="4"/>
        <v>1</v>
      </c>
      <c r="AC38" s="1959">
        <f t="shared" si="5"/>
        <v>1</v>
      </c>
    </row>
    <row r="39" spans="1:29" ht="15">
      <c r="A39" s="423"/>
      <c r="B39" s="375" t="s">
        <v>1819</v>
      </c>
      <c r="C39" s="411" t="s">
        <v>3710</v>
      </c>
      <c r="D39" s="386">
        <v>100</v>
      </c>
      <c r="E39" s="411" t="s">
        <v>3710</v>
      </c>
      <c r="F39" s="412">
        <f>SUMIF(115:115,E39,116:116)-SUMIF(115:115,C39,116:116)+100</f>
        <v>100</v>
      </c>
      <c r="G39" s="411" t="s">
        <v>3710</v>
      </c>
      <c r="H39" s="386">
        <f>SUMIF(115:115,G39,116:116)-SUMIF(115:115,C39,116:116)+100</f>
        <v>100</v>
      </c>
      <c r="I39" s="411" t="s">
        <v>3710</v>
      </c>
      <c r="J39" s="386">
        <f>SUMIF(115:115,I39,116:116)-SUMIF(115:115,C39,116:116)+100</f>
        <v>100</v>
      </c>
      <c r="K39" s="561"/>
      <c r="L39" s="2722"/>
      <c r="M39" s="2716"/>
      <c r="N39" s="2716"/>
      <c r="O39" s="2716"/>
      <c r="P39" s="3887" t="s">
        <v>1696</v>
      </c>
      <c r="Q39" s="1352" t="str">
        <f t="shared" si="11"/>
        <v>物业管理</v>
      </c>
      <c r="R39" s="705" t="s">
        <v>14</v>
      </c>
      <c r="S39" s="706">
        <f t="shared" si="12"/>
        <v>100</v>
      </c>
      <c r="T39" s="705" t="s">
        <v>14</v>
      </c>
      <c r="U39" s="706">
        <f t="shared" si="13"/>
        <v>100</v>
      </c>
      <c r="V39" s="705" t="s">
        <v>14</v>
      </c>
      <c r="W39" s="706">
        <f t="shared" si="14"/>
        <v>100</v>
      </c>
      <c r="X39" s="1355"/>
      <c r="Y39" s="3889" t="s">
        <v>1696</v>
      </c>
      <c r="Z39" s="1356" t="str">
        <f t="shared" si="15"/>
        <v>物业管理</v>
      </c>
      <c r="AA39" s="1353">
        <f t="shared" si="3"/>
        <v>1</v>
      </c>
      <c r="AB39" s="1353">
        <f t="shared" si="4"/>
        <v>1</v>
      </c>
      <c r="AC39" s="1962">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2"/>
      <c r="M40" s="2716"/>
      <c r="N40" s="2716"/>
      <c r="O40" s="2716"/>
      <c r="P40" s="3887"/>
      <c r="Q40" s="1352" t="str">
        <f t="shared" si="11"/>
        <v>市政基础设施</v>
      </c>
      <c r="R40" s="705" t="s">
        <v>14</v>
      </c>
      <c r="S40" s="706">
        <f t="shared" si="12"/>
        <v>100</v>
      </c>
      <c r="T40" s="705" t="s">
        <v>14</v>
      </c>
      <c r="U40" s="706">
        <f t="shared" si="13"/>
        <v>100</v>
      </c>
      <c r="V40" s="705" t="s">
        <v>14</v>
      </c>
      <c r="W40" s="706">
        <f t="shared" si="14"/>
        <v>100</v>
      </c>
      <c r="X40" s="1355"/>
      <c r="Y40" s="3889"/>
      <c r="Z40" s="1356" t="str">
        <f t="shared" si="15"/>
        <v>市政基础设施</v>
      </c>
      <c r="AA40" s="1353">
        <f t="shared" si="3"/>
        <v>1</v>
      </c>
      <c r="AB40" s="1353">
        <f t="shared" si="4"/>
        <v>1</v>
      </c>
      <c r="AC40" s="1962">
        <f t="shared" si="5"/>
        <v>1</v>
      </c>
    </row>
    <row r="41" spans="1:29" ht="15" hidden="1">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887"/>
      <c r="Q41" s="1352" t="str">
        <f t="shared" si="11"/>
        <v>层高</v>
      </c>
      <c r="R41" s="705" t="s">
        <v>14</v>
      </c>
      <c r="S41" s="706">
        <f t="shared" si="12"/>
        <v>100</v>
      </c>
      <c r="T41" s="705" t="s">
        <v>14</v>
      </c>
      <c r="U41" s="706">
        <f t="shared" si="13"/>
        <v>100</v>
      </c>
      <c r="V41" s="705" t="s">
        <v>14</v>
      </c>
      <c r="W41" s="706">
        <f t="shared" si="14"/>
        <v>100</v>
      </c>
      <c r="X41" s="1355"/>
      <c r="Y41" s="3889"/>
      <c r="Z41" s="1356" t="str">
        <f t="shared" si="15"/>
        <v>层高</v>
      </c>
      <c r="AA41" s="1353">
        <f t="shared" si="3"/>
        <v>1</v>
      </c>
      <c r="AB41" s="1353">
        <f t="shared" si="4"/>
        <v>1</v>
      </c>
      <c r="AC41" s="1962">
        <f t="shared" si="5"/>
        <v>1</v>
      </c>
    </row>
    <row r="42" spans="1:29" s="422" customFormat="1" ht="15" hidden="1">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887"/>
      <c r="Q42" s="707" t="str">
        <f t="shared" si="11"/>
        <v>单套建筑面积</v>
      </c>
      <c r="R42" s="708" t="s">
        <v>14</v>
      </c>
      <c r="S42" s="709">
        <f t="shared" si="12"/>
        <v>100</v>
      </c>
      <c r="T42" s="708" t="s">
        <v>14</v>
      </c>
      <c r="U42" s="709">
        <f t="shared" si="13"/>
        <v>100</v>
      </c>
      <c r="V42" s="708" t="s">
        <v>14</v>
      </c>
      <c r="W42" s="709">
        <f t="shared" si="14"/>
        <v>100</v>
      </c>
      <c r="X42" s="710"/>
      <c r="Y42" s="3889"/>
      <c r="Z42" s="711" t="str">
        <f t="shared" si="15"/>
        <v>单套建筑面积</v>
      </c>
      <c r="AA42" s="1353">
        <f t="shared" si="3"/>
        <v>1</v>
      </c>
      <c r="AB42" s="1353">
        <f t="shared" si="4"/>
        <v>1</v>
      </c>
      <c r="AC42" s="1962">
        <f t="shared" si="5"/>
        <v>1</v>
      </c>
    </row>
    <row r="43" spans="1:29" ht="15" hidden="1">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2"/>
      <c r="M43" s="2716"/>
      <c r="N43" s="2716"/>
      <c r="O43" s="2716"/>
      <c r="P43" s="3887"/>
      <c r="Q43" s="1352" t="str">
        <f t="shared" si="11"/>
        <v>内部装修</v>
      </c>
      <c r="R43" s="705" t="s">
        <v>14</v>
      </c>
      <c r="S43" s="706">
        <f t="shared" si="12"/>
        <v>100</v>
      </c>
      <c r="T43" s="705" t="s">
        <v>14</v>
      </c>
      <c r="U43" s="706">
        <f t="shared" si="13"/>
        <v>100</v>
      </c>
      <c r="V43" s="705" t="s">
        <v>14</v>
      </c>
      <c r="W43" s="706">
        <f t="shared" si="14"/>
        <v>100</v>
      </c>
      <c r="X43" s="1355"/>
      <c r="Y43" s="3889"/>
      <c r="Z43" s="1356" t="str">
        <f t="shared" si="15"/>
        <v>内部装修</v>
      </c>
      <c r="AA43" s="1353">
        <f t="shared" si="3"/>
        <v>1</v>
      </c>
      <c r="AB43" s="1353">
        <f t="shared" si="4"/>
        <v>1</v>
      </c>
      <c r="AC43" s="1962">
        <f t="shared" si="5"/>
        <v>1</v>
      </c>
    </row>
    <row r="44" spans="1:29" ht="29.4" thickBot="1">
      <c r="A44" s="423"/>
      <c r="B44" s="375" t="s">
        <v>1707</v>
      </c>
      <c r="C44" s="411" t="s">
        <v>3683</v>
      </c>
      <c r="D44" s="386">
        <v>100</v>
      </c>
      <c r="E44" s="411" t="s">
        <v>3683</v>
      </c>
      <c r="F44" s="412">
        <f>SUMIF(125:125,E44,126:126)-SUMIF(125:125,C44,126:126)+100</f>
        <v>100</v>
      </c>
      <c r="G44" s="411" t="s">
        <v>3683</v>
      </c>
      <c r="H44" s="386">
        <f>SUMIF(125:125,G44,126:126)-SUMIF(125:125,C44,126:126)+100</f>
        <v>100</v>
      </c>
      <c r="I44" s="411" t="s">
        <v>3683</v>
      </c>
      <c r="J44" s="386">
        <f>SUMIF(125:125,I44,126:126)-SUMIF(125:125,C44,126:126)+100</f>
        <v>100</v>
      </c>
      <c r="K44" s="561"/>
      <c r="L44" s="2722"/>
      <c r="M44" s="2716"/>
      <c r="N44" s="2716"/>
      <c r="O44" s="2716"/>
      <c r="P44" s="3887"/>
      <c r="Q44" s="1352" t="str">
        <f t="shared" si="11"/>
        <v>内部装修维护情况</v>
      </c>
      <c r="R44" s="705" t="s">
        <v>14</v>
      </c>
      <c r="S44" s="706">
        <f t="shared" si="12"/>
        <v>100</v>
      </c>
      <c r="T44" s="705" t="s">
        <v>14</v>
      </c>
      <c r="U44" s="706">
        <f t="shared" si="13"/>
        <v>100</v>
      </c>
      <c r="V44" s="705" t="s">
        <v>14</v>
      </c>
      <c r="W44" s="706">
        <f t="shared" si="14"/>
        <v>100</v>
      </c>
      <c r="X44" s="1355"/>
      <c r="Y44" s="3889"/>
      <c r="Z44" s="1356" t="str">
        <f t="shared" si="15"/>
        <v>内部装修维护情况</v>
      </c>
      <c r="AA44" s="1353">
        <f t="shared" si="3"/>
        <v>1</v>
      </c>
      <c r="AB44" s="1353">
        <f t="shared" si="4"/>
        <v>1</v>
      </c>
      <c r="AC44" s="1962">
        <f t="shared" si="5"/>
        <v>1</v>
      </c>
    </row>
    <row r="45" spans="1:29" s="108" customFormat="1" ht="15" hidden="1">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887"/>
      <c r="Q45" s="1343">
        <f t="shared" si="11"/>
        <v>111</v>
      </c>
      <c r="R45" s="701" t="s">
        <v>14</v>
      </c>
      <c r="S45" s="702">
        <f t="shared" si="12"/>
        <v>100</v>
      </c>
      <c r="T45" s="701" t="s">
        <v>14</v>
      </c>
      <c r="U45" s="702">
        <f t="shared" si="13"/>
        <v>100</v>
      </c>
      <c r="V45" s="701" t="s">
        <v>14</v>
      </c>
      <c r="W45" s="702">
        <f t="shared" si="14"/>
        <v>100</v>
      </c>
      <c r="X45" s="703"/>
      <c r="Y45" s="3889"/>
      <c r="Z45" s="52">
        <f t="shared" si="15"/>
        <v>111</v>
      </c>
      <c r="AA45" s="704">
        <f t="shared" si="3"/>
        <v>1</v>
      </c>
      <c r="AB45" s="704">
        <f t="shared" si="4"/>
        <v>1</v>
      </c>
      <c r="AC45" s="1959">
        <f t="shared" si="5"/>
        <v>1</v>
      </c>
    </row>
    <row r="46" spans="1:29" ht="15" hidden="1">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887"/>
      <c r="Q46" s="1352">
        <f t="shared" si="11"/>
        <v>111</v>
      </c>
      <c r="R46" s="705" t="s">
        <v>14</v>
      </c>
      <c r="S46" s="706">
        <f t="shared" si="12"/>
        <v>100</v>
      </c>
      <c r="T46" s="705" t="s">
        <v>14</v>
      </c>
      <c r="U46" s="706">
        <f t="shared" si="13"/>
        <v>100</v>
      </c>
      <c r="V46" s="705" t="s">
        <v>14</v>
      </c>
      <c r="W46" s="706">
        <f t="shared" si="14"/>
        <v>100</v>
      </c>
      <c r="X46" s="1355"/>
      <c r="Y46" s="3889"/>
      <c r="Z46" s="1356">
        <f t="shared" si="15"/>
        <v>111</v>
      </c>
      <c r="AA46" s="1353">
        <f t="shared" si="3"/>
        <v>1</v>
      </c>
      <c r="AB46" s="1353">
        <f t="shared" si="4"/>
        <v>1</v>
      </c>
      <c r="AC46" s="1962">
        <f t="shared" si="5"/>
        <v>1</v>
      </c>
    </row>
    <row r="47" spans="1:29" ht="15.6" hidden="1"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888"/>
      <c r="Q47" s="1352">
        <f t="shared" si="11"/>
        <v>111</v>
      </c>
      <c r="R47" s="705" t="s">
        <v>14</v>
      </c>
      <c r="S47" s="706">
        <f t="shared" si="12"/>
        <v>100</v>
      </c>
      <c r="T47" s="705" t="s">
        <v>14</v>
      </c>
      <c r="U47" s="706">
        <f t="shared" si="13"/>
        <v>100</v>
      </c>
      <c r="V47" s="705" t="s">
        <v>14</v>
      </c>
      <c r="W47" s="706">
        <f t="shared" si="14"/>
        <v>100</v>
      </c>
      <c r="X47" s="1355"/>
      <c r="Y47" s="3890"/>
      <c r="Z47" s="1356">
        <f t="shared" si="15"/>
        <v>111</v>
      </c>
      <c r="AA47" s="1353">
        <f t="shared" si="3"/>
        <v>1</v>
      </c>
      <c r="AB47" s="1353">
        <f t="shared" si="4"/>
        <v>1</v>
      </c>
      <c r="AC47" s="1962">
        <f t="shared" si="5"/>
        <v>1</v>
      </c>
    </row>
    <row r="48" spans="1:29" ht="14.4">
      <c r="A48" s="430" t="s">
        <v>1708</v>
      </c>
      <c r="B48" s="431"/>
      <c r="C48" s="1154" t="s">
        <v>0</v>
      </c>
      <c r="D48" s="1155"/>
      <c r="E48" s="1156">
        <v>7</v>
      </c>
      <c r="F48" s="1157"/>
      <c r="G48" s="1158">
        <v>7</v>
      </c>
      <c r="H48" s="1159"/>
      <c r="I48" s="1156">
        <v>7</v>
      </c>
      <c r="J48" s="436"/>
      <c r="K48" s="714"/>
      <c r="L48" s="2724"/>
      <c r="M48" s="2716"/>
      <c r="N48" s="2716"/>
      <c r="O48" s="2716"/>
      <c r="P48" s="3881" t="str">
        <f>A48</f>
        <v>成交单价（元/平方米）</v>
      </c>
      <c r="Q48" s="3891"/>
      <c r="R48" s="3892">
        <f>E48</f>
        <v>7</v>
      </c>
      <c r="S48" s="3892"/>
      <c r="T48" s="3892">
        <f>G48</f>
        <v>7</v>
      </c>
      <c r="U48" s="3892"/>
      <c r="V48" s="3892">
        <f>I48</f>
        <v>7</v>
      </c>
      <c r="W48" s="3892"/>
      <c r="X48" s="397"/>
      <c r="Y48" s="712"/>
      <c r="Z48" s="397"/>
      <c r="AA48" s="397"/>
      <c r="AB48" s="397"/>
      <c r="AC48" s="578"/>
    </row>
    <row r="49" spans="1:29" ht="15" thickBot="1">
      <c r="A49" s="437" t="s">
        <v>1793</v>
      </c>
      <c r="B49" s="438"/>
      <c r="C49" s="1160">
        <f>R50</f>
        <v>6.8</v>
      </c>
      <c r="D49" s="2317" t="s">
        <v>2138</v>
      </c>
      <c r="E49" s="1161">
        <f>R49</f>
        <v>6.6</v>
      </c>
      <c r="F49" s="2318"/>
      <c r="G49" s="1160">
        <f>T49</f>
        <v>7</v>
      </c>
      <c r="H49" s="2318"/>
      <c r="I49" s="1161">
        <f>V49</f>
        <v>6.9</v>
      </c>
      <c r="J49" s="2318"/>
      <c r="K49" s="2320">
        <f>F49+H49+J49</f>
        <v>0</v>
      </c>
      <c r="L49" s="2724"/>
      <c r="M49" s="2716"/>
      <c r="N49" s="2716"/>
      <c r="O49" s="2716"/>
      <c r="P49" s="3881" t="str">
        <f>A49</f>
        <v>比较价值（元/平方米）</v>
      </c>
      <c r="Q49" s="3891"/>
      <c r="R49" s="3892">
        <f>IF(F1="售价",ROUND(PRODUCT(R48,AA7:AA47),0),ROUND(PRODUCT(R48,AA7:AA47),1))</f>
        <v>6.6</v>
      </c>
      <c r="S49" s="3892"/>
      <c r="T49" s="3892">
        <f>IF(F1="售价",ROUND(PRODUCT(T48,AB7:AB47),0),ROUND(PRODUCT(T48,AB7:AB47),1))</f>
        <v>7</v>
      </c>
      <c r="U49" s="3892"/>
      <c r="V49" s="3892">
        <f>IF(F1="售价",ROUND(PRODUCT(V48,AC7:AC47),0),ROUND(PRODUCT(V48,AC7:AC47),1))</f>
        <v>6.9</v>
      </c>
      <c r="W49" s="3892"/>
      <c r="X49" s="397"/>
      <c r="Y49" s="397"/>
      <c r="Z49" s="397"/>
      <c r="AA49" s="397"/>
      <c r="AB49" s="397"/>
      <c r="AC49" s="578"/>
    </row>
    <row r="50" spans="1:29" ht="15" thickBot="1">
      <c r="A50" s="441" t="s">
        <v>1794</v>
      </c>
      <c r="B50" s="442"/>
      <c r="C50" s="1163">
        <f>R50</f>
        <v>6.8</v>
      </c>
      <c r="D50" s="1163"/>
      <c r="E50" s="1163"/>
      <c r="F50" s="1163"/>
      <c r="G50" s="1163"/>
      <c r="H50" s="1163"/>
      <c r="I50" s="1163"/>
      <c r="J50" s="443"/>
      <c r="K50" s="715"/>
      <c r="L50" s="2724"/>
      <c r="M50" s="2716"/>
      <c r="N50" s="2716"/>
      <c r="O50" s="2716"/>
      <c r="P50" s="3940" t="str">
        <f>A50</f>
        <v>估价对象XX用房的比较价值（楼面单价，元/平方米）</v>
      </c>
      <c r="Q50" s="3941"/>
      <c r="R50" s="3942">
        <f>IF(F1="售价",ROUND(IF(D49="简单平均",AVERAGE(R49:V49),R49*F49+T49*H49+V49*J49),0),ROUND(IF(D49="简单平均",AVERAGE(R49:V49),R49*F49+T49*H49+V49*J49),1))</f>
        <v>6.8</v>
      </c>
      <c r="S50" s="3942"/>
      <c r="T50" s="3942"/>
      <c r="U50" s="3942"/>
      <c r="V50" s="3942"/>
      <c r="W50" s="3942"/>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f>IF(E48&lt;E49,E49/E48-1,E48/E49-1)</f>
        <v>6.0606060606060552E-2</v>
      </c>
      <c r="F53" s="449" t="str">
        <f>IF(OR(E53&gt;=0.3,E53&lt;=-0.3),"超过30%","")</f>
        <v/>
      </c>
      <c r="G53" s="448">
        <f>IF(G48&lt;G49,G49/G48-1,G48/G49-1)</f>
        <v>0</v>
      </c>
      <c r="H53" s="449" t="str">
        <f>IF(OR(G53&gt;=0.3,G53&lt;=-0.3),"超过30%","")</f>
        <v/>
      </c>
      <c r="I53" s="448">
        <f>IF(I48&lt;I49,I49/I48-1,I48/I49-1)</f>
        <v>1.4492753623188248E-2</v>
      </c>
      <c r="J53" s="449" t="str">
        <f>IF(OR(I53&gt;=0.3,I53&lt;=-0.3),"超过30%","")</f>
        <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f>IF(E49&lt;G49,G49/E49-1,E49/G49-1)</f>
        <v>6.0606060606060552E-2</v>
      </c>
      <c r="F54" s="449" t="str">
        <f>IF(OR(E54&gt;=0.2,E54&lt;=-0.2),"超过20%","")</f>
        <v/>
      </c>
      <c r="G54" s="448">
        <f>IF(G49&lt;I49,I49/G49-1,G49/I49-1)</f>
        <v>1.4492753623188248E-2</v>
      </c>
      <c r="H54" s="449" t="str">
        <f>IF(OR(G54&gt;=0.2,G54&lt;=-0.2),"超过20%","")</f>
        <v/>
      </c>
      <c r="I54" s="448">
        <f>IF(I49&lt;E49,E49/I49-1,I49/E49-1)</f>
        <v>4.5454545454545636E-2</v>
      </c>
      <c r="J54" s="449" t="str">
        <f>IF(OR(I54&gt;=0.2,I54&lt;=-0.2),"超过20%","")</f>
        <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f>IF(E48&lt;G48,G48/E48-1,E48/G48-1)</f>
        <v>0</v>
      </c>
      <c r="F55" s="449" t="str">
        <f>IF(OR(E55&gt;=0.3,E55&lt;=-0.3),"超过30%","")</f>
        <v/>
      </c>
      <c r="G55" s="448">
        <f>IF(G48&lt;I48,I48/G48-1,G48/I48-1)</f>
        <v>0</v>
      </c>
      <c r="H55" s="449" t="str">
        <f>IF(OR(G55&gt;=0.3,G55&lt;=-0.3),"超过30%","")</f>
        <v/>
      </c>
      <c r="I55" s="448">
        <f>IF(I48&lt;E48,E48/I48-1,I48/E48-1)</f>
        <v>0</v>
      </c>
      <c r="J55" s="449" t="str">
        <f>IF(OR(I55&gt;=0.3,I55&lt;=-0.3),"超过30%","")</f>
        <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2.2"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4.4">
      <c r="A59" s="454" t="s">
        <v>1679</v>
      </c>
      <c r="B59" s="455"/>
      <c r="C59" s="1184" t="str">
        <f>YEAR(C7)&amp;"-"&amp;MONTH(C7)</f>
        <v>2024-7</v>
      </c>
      <c r="D59" s="1185">
        <f>EDATE(C59,-1)</f>
        <v>45444</v>
      </c>
      <c r="E59" s="1185">
        <f>EDATE(D59,-1)</f>
        <v>45413</v>
      </c>
      <c r="F59" s="1185">
        <f t="shared" ref="F59:O59" si="16">EDATE(E59,-1)</f>
        <v>45383</v>
      </c>
      <c r="G59" s="1185">
        <f t="shared" si="16"/>
        <v>45352</v>
      </c>
      <c r="H59" s="1185">
        <f t="shared" si="16"/>
        <v>45323</v>
      </c>
      <c r="I59" s="1185">
        <f t="shared" si="16"/>
        <v>45292</v>
      </c>
      <c r="J59" s="1185">
        <f t="shared" si="16"/>
        <v>45261</v>
      </c>
      <c r="K59" s="1185">
        <f t="shared" si="16"/>
        <v>45231</v>
      </c>
      <c r="L59" s="1185">
        <f t="shared" si="16"/>
        <v>45200</v>
      </c>
      <c r="M59" s="1185">
        <f t="shared" si="16"/>
        <v>45170</v>
      </c>
      <c r="N59" s="1185">
        <f t="shared" si="16"/>
        <v>45139</v>
      </c>
      <c r="O59" s="1185">
        <f t="shared" si="16"/>
        <v>45108</v>
      </c>
      <c r="P59" s="2759"/>
      <c r="Q59" s="2741"/>
      <c r="R59" s="2741"/>
      <c r="S59" s="2741"/>
      <c r="T59" s="2741"/>
      <c r="U59" s="2741"/>
      <c r="V59" s="2741"/>
      <c r="W59" s="2741"/>
      <c r="X59" s="2741"/>
      <c r="Y59" s="2741"/>
      <c r="Z59" s="2741"/>
      <c r="AA59" s="2741"/>
      <c r="AB59" s="2741"/>
      <c r="AC59" s="2741"/>
    </row>
    <row r="60" spans="1:29" s="108" customFormat="1">
      <c r="A60" s="458"/>
      <c r="B60" s="459"/>
      <c r="C60" s="1183">
        <v>100</v>
      </c>
      <c r="D60" s="461"/>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4.4">
      <c r="A62" s="470" t="s">
        <v>1681</v>
      </c>
      <c r="B62" s="459"/>
      <c r="C62" s="471" t="s">
        <v>1776</v>
      </c>
      <c r="D62" s="472"/>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4.4" thickBot="1">
      <c r="A63" s="470"/>
      <c r="B63" s="459"/>
      <c r="C63" s="460">
        <v>100</v>
      </c>
      <c r="D63" s="461"/>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ht="14.4">
      <c r="A64" s="476" t="s">
        <v>1719</v>
      </c>
      <c r="B64" s="477" t="s">
        <v>1685</v>
      </c>
      <c r="C64" s="478" t="str">
        <f>C9</f>
        <v>办公</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4.4"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9.4"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4.4"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4.4"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4.4"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4.4"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4.4"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4.4"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4.4"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4.4"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ht="14.4">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4.4" thickBot="1">
      <c r="A78" s="483"/>
      <c r="B78" s="492"/>
      <c r="C78" s="493">
        <v>100</v>
      </c>
      <c r="D78" s="493">
        <f>C78-$K15</f>
        <v>100</v>
      </c>
      <c r="E78" s="493">
        <f>D78-$K15</f>
        <v>100</v>
      </c>
      <c r="F78" s="493">
        <f>E78-$K15</f>
        <v>100</v>
      </c>
      <c r="G78" s="493">
        <f>F78-$K15</f>
        <v>100</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4.4" thickBot="1">
      <c r="A80" s="483"/>
      <c r="B80" s="492"/>
      <c r="C80" s="493">
        <v>100</v>
      </c>
      <c r="D80" s="493">
        <f>C80-$K17</f>
        <v>100</v>
      </c>
      <c r="E80" s="493">
        <f>D80-$K17</f>
        <v>100</v>
      </c>
      <c r="F80" s="493">
        <f>E80-$K17</f>
        <v>100</v>
      </c>
      <c r="G80" s="493">
        <f>F80-$K17</f>
        <v>100</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4.4" thickBot="1">
      <c r="A82" s="483"/>
      <c r="B82" s="492"/>
      <c r="C82" s="493">
        <v>100</v>
      </c>
      <c r="D82" s="493">
        <f>C82-$K19</f>
        <v>100</v>
      </c>
      <c r="E82" s="493">
        <f>D82-$K19</f>
        <v>100</v>
      </c>
      <c r="F82" s="493">
        <f>E82-$K19</f>
        <v>100</v>
      </c>
      <c r="G82" s="493">
        <f>F82-$K19</f>
        <v>100</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4.4" thickBot="1">
      <c r="A84" s="483"/>
      <c r="B84" s="495"/>
      <c r="C84" s="493">
        <v>100</v>
      </c>
      <c r="D84" s="493">
        <f>C84-$K21</f>
        <v>100</v>
      </c>
      <c r="E84" s="493">
        <f>D84-$K21</f>
        <v>100</v>
      </c>
      <c r="F84" s="493">
        <f>E84-$K21</f>
        <v>100</v>
      </c>
      <c r="G84" s="493">
        <f>F84-$K21</f>
        <v>100</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4.4" thickBot="1">
      <c r="A86" s="483"/>
      <c r="B86" s="492"/>
      <c r="C86" s="493">
        <v>100</v>
      </c>
      <c r="D86" s="493">
        <f>C86-$K23</f>
        <v>100</v>
      </c>
      <c r="E86" s="493">
        <f>D86-$K23</f>
        <v>100</v>
      </c>
      <c r="F86" s="493">
        <f>E86-$K23</f>
        <v>100</v>
      </c>
      <c r="G86" s="493">
        <f>F86-$K23</f>
        <v>100</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9.4" thickTop="1">
      <c r="A87" s="528"/>
      <c r="B87" s="487" t="s">
        <v>1823</v>
      </c>
      <c r="C87" s="503" t="s">
        <v>3715</v>
      </c>
      <c r="D87" s="503" t="s">
        <v>3716</v>
      </c>
      <c r="E87" s="503"/>
      <c r="F87" s="503"/>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4.4"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4"/>
      <c r="O88" s="2754"/>
      <c r="P88" s="2762"/>
      <c r="Q88" s="2739"/>
      <c r="R88" s="2661"/>
      <c r="S88" s="2661"/>
      <c r="T88" s="2661"/>
      <c r="U88" s="2661"/>
      <c r="V88" s="2661"/>
      <c r="W88" s="2661"/>
      <c r="X88" s="2661"/>
      <c r="Y88" s="2661"/>
      <c r="Z88" s="2661"/>
      <c r="AA88" s="2661"/>
      <c r="AB88" s="2661"/>
      <c r="AC88" s="2661"/>
    </row>
    <row r="89" spans="1:29" s="108" customFormat="1" ht="14.4" thickTop="1">
      <c r="A89" s="528"/>
      <c r="B89" s="487" t="str">
        <f>B27</f>
        <v>楼层</v>
      </c>
      <c r="C89" s="503"/>
      <c r="D89" s="503"/>
      <c r="E89" s="503"/>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4.4"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4"/>
      <c r="O90" s="2754"/>
      <c r="P90" s="2762"/>
      <c r="Q90" s="2739"/>
      <c r="R90" s="2661"/>
      <c r="S90" s="2661"/>
      <c r="T90" s="2661"/>
      <c r="U90" s="2661"/>
      <c r="V90" s="2661"/>
      <c r="W90" s="2661"/>
      <c r="X90" s="2661"/>
      <c r="Y90" s="2661"/>
      <c r="Z90" s="2661"/>
      <c r="AA90" s="2661"/>
      <c r="AB90" s="2661"/>
      <c r="AC90" s="2661"/>
    </row>
    <row r="91" spans="1:29" s="422" customFormat="1" ht="14.4"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4.4"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4.4" thickTop="1">
      <c r="A93" s="483"/>
      <c r="B93" s="487" t="str">
        <f>B29</f>
        <v>楼层</v>
      </c>
      <c r="C93" s="503" t="str">
        <f>C29</f>
        <v>中楼层/28</v>
      </c>
      <c r="D93" s="503" t="str">
        <f>E29</f>
        <v>高楼层/28</v>
      </c>
      <c r="E93" s="503" t="str">
        <f>G29</f>
        <v>中楼层/20</v>
      </c>
      <c r="F93" s="503" t="str">
        <f>I29</f>
        <v>高楼层/17</v>
      </c>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4.4" thickBot="1">
      <c r="A94" s="483"/>
      <c r="B94" s="492"/>
      <c r="C94" s="509">
        <v>100</v>
      </c>
      <c r="D94" s="485">
        <v>102</v>
      </c>
      <c r="E94" s="485">
        <v>100</v>
      </c>
      <c r="F94" s="485">
        <v>102</v>
      </c>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4.4"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4.4"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4.4"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4.4"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4.4"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4.4"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ht="14.4">
      <c r="A101" s="476" t="s">
        <v>1694</v>
      </c>
      <c r="B101" s="477" t="s">
        <v>1736</v>
      </c>
      <c r="C101" s="479"/>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4.4"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4"/>
      <c r="O102" s="2754"/>
      <c r="P102" s="2762"/>
      <c r="Q102" s="2739"/>
      <c r="R102" s="2725"/>
      <c r="S102" s="2725"/>
      <c r="T102" s="2725"/>
      <c r="U102" s="2725"/>
      <c r="V102" s="2725"/>
      <c r="W102" s="2725"/>
      <c r="X102" s="2725"/>
      <c r="Y102" s="2725"/>
      <c r="Z102" s="2725"/>
      <c r="AA102" s="2725"/>
      <c r="AB102" s="2725"/>
      <c r="AC102" s="2725"/>
    </row>
    <row r="103" spans="1:29" ht="28.2" thickTop="1">
      <c r="A103" s="483"/>
      <c r="B103" s="487" t="s">
        <v>1737</v>
      </c>
      <c r="C103" s="527" t="str">
        <f>C104&amp;"(含)"&amp;"-"&amp;D104</f>
        <v>0(含)-500</v>
      </c>
      <c r="D103" s="527" t="str">
        <f t="shared" ref="D103:L103" si="23">D104&amp;"(含)"&amp;"-"&amp;E104</f>
        <v>500(含)-1000</v>
      </c>
      <c r="E103" s="527" t="str">
        <f t="shared" si="23"/>
        <v>1000(含)-1500</v>
      </c>
      <c r="F103" s="527" t="str">
        <f t="shared" si="23"/>
        <v>1500(含)-2000</v>
      </c>
      <c r="G103" s="527" t="str">
        <f t="shared" si="23"/>
        <v>2000(含)-2500</v>
      </c>
      <c r="H103" s="527" t="str">
        <f t="shared" si="23"/>
        <v>2500(含)-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v>0</v>
      </c>
      <c r="D104" s="544">
        <v>500</v>
      </c>
      <c r="E104" s="544">
        <v>1000</v>
      </c>
      <c r="F104" s="544">
        <v>1500</v>
      </c>
      <c r="G104" s="544">
        <v>2000</v>
      </c>
      <c r="H104" s="544">
        <v>2500</v>
      </c>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4.4" thickBot="1">
      <c r="A105" s="502"/>
      <c r="B105" s="492"/>
      <c r="C105" s="509">
        <v>100</v>
      </c>
      <c r="D105" s="485">
        <v>98</v>
      </c>
      <c r="E105" s="485">
        <v>96</v>
      </c>
      <c r="F105" s="485">
        <v>94</v>
      </c>
      <c r="G105" s="485">
        <v>92</v>
      </c>
      <c r="H105" s="485">
        <v>90</v>
      </c>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3570" t="s">
        <v>3705</v>
      </c>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4.4"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3570" t="s">
        <v>3707</v>
      </c>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4.4"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4.4"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3570" t="s">
        <v>3709</v>
      </c>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4.4"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3570" t="s">
        <v>3711</v>
      </c>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4.4"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3570" t="s">
        <v>3712</v>
      </c>
      <c r="D117" s="3570" t="s">
        <v>3713</v>
      </c>
      <c r="E117" s="3570" t="s">
        <v>3714</v>
      </c>
      <c r="F117" s="503"/>
      <c r="G117" s="503"/>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4.4" thickBot="1">
      <c r="A118" s="483"/>
      <c r="B118" s="492"/>
      <c r="C118" s="493">
        <v>100</v>
      </c>
      <c r="D118" s="493">
        <f>C118-$K40</f>
        <v>100</v>
      </c>
      <c r="E118" s="493">
        <f>D118-$K40</f>
        <v>100</v>
      </c>
      <c r="F118" s="493">
        <f>E118-$K40</f>
        <v>100</v>
      </c>
      <c r="G118" s="493">
        <f>F118-$K40</f>
        <v>100</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4.4"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4.4"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503"/>
      <c r="D123" s="503"/>
      <c r="E123" s="503"/>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4.4"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4"/>
      <c r="O124" s="2754"/>
      <c r="P124" s="2762"/>
      <c r="Q124" s="2739"/>
      <c r="R124" s="2725"/>
      <c r="S124" s="2725"/>
      <c r="T124" s="2725"/>
      <c r="U124" s="2725"/>
      <c r="V124" s="2725"/>
      <c r="W124" s="2725"/>
      <c r="X124" s="2725"/>
      <c r="Y124" s="2725"/>
      <c r="Z124" s="2725"/>
      <c r="AA124" s="2725"/>
      <c r="AB124" s="2725"/>
      <c r="AC124" s="2725"/>
    </row>
    <row r="125" spans="1:29" ht="29.4"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4.4" thickBot="1">
      <c r="A126" s="483"/>
      <c r="B126" s="492"/>
      <c r="C126" s="493">
        <v>100</v>
      </c>
      <c r="D126" s="493">
        <f>C126-$K44</f>
        <v>100</v>
      </c>
      <c r="E126" s="493">
        <f>D126-$K44</f>
        <v>100</v>
      </c>
      <c r="F126" s="493">
        <f>E126-$K44</f>
        <v>100</v>
      </c>
      <c r="G126" s="493">
        <f>F126-$K44</f>
        <v>100</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4.4"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4.4"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4.4"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4.4"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4.4"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4.4"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18" priority="20" stopIfTrue="1" operator="containsText" text="超过">
      <formula>NOT(ISERROR(SEARCH("超过",F53)))</formula>
    </cfRule>
  </conditionalFormatting>
  <conditionalFormatting sqref="H55">
    <cfRule type="containsText" dxfId="117" priority="19" stopIfTrue="1" operator="containsText" text="超过">
      <formula>NOT(ISERROR(SEARCH("超过",H55)))</formula>
    </cfRule>
  </conditionalFormatting>
  <conditionalFormatting sqref="F55">
    <cfRule type="containsText" dxfId="116" priority="18" stopIfTrue="1" operator="containsText" text="超过">
      <formula>NOT(ISERROR(SEARCH("超过",F55)))</formula>
    </cfRule>
  </conditionalFormatting>
  <conditionalFormatting sqref="F54 H54">
    <cfRule type="containsText" dxfId="115" priority="17" stopIfTrue="1" operator="containsText" text="超过">
      <formula>NOT(ISERROR(SEARCH("超过",F54)))</formula>
    </cfRule>
  </conditionalFormatting>
  <conditionalFormatting sqref="E53">
    <cfRule type="expression" dxfId="114" priority="16" stopIfTrue="1">
      <formula>$F$53="超过30%"</formula>
    </cfRule>
  </conditionalFormatting>
  <conditionalFormatting sqref="E54">
    <cfRule type="expression" dxfId="113" priority="15" stopIfTrue="1">
      <formula>$F$54="超过20%"</formula>
    </cfRule>
  </conditionalFormatting>
  <conditionalFormatting sqref="E55">
    <cfRule type="expression" dxfId="112" priority="14" stopIfTrue="1">
      <formula>$F$55="超过30%"</formula>
    </cfRule>
  </conditionalFormatting>
  <conditionalFormatting sqref="G55">
    <cfRule type="expression" dxfId="111" priority="13" stopIfTrue="1">
      <formula>$H$55="超过30%"</formula>
    </cfRule>
  </conditionalFormatting>
  <conditionalFormatting sqref="G53">
    <cfRule type="expression" dxfId="110" priority="12" stopIfTrue="1">
      <formula>$H$53="超过30%"</formula>
    </cfRule>
  </conditionalFormatting>
  <conditionalFormatting sqref="G54">
    <cfRule type="expression" dxfId="109" priority="11" stopIfTrue="1">
      <formula>$H$54="超过20%"</formula>
    </cfRule>
  </conditionalFormatting>
  <conditionalFormatting sqref="J53">
    <cfRule type="containsText" dxfId="108" priority="10" stopIfTrue="1" operator="containsText" text="超过">
      <formula>NOT(ISERROR(SEARCH("超过",J53)))</formula>
    </cfRule>
  </conditionalFormatting>
  <conditionalFormatting sqref="J55">
    <cfRule type="containsText" dxfId="107" priority="9" stopIfTrue="1" operator="containsText" text="超过">
      <formula>NOT(ISERROR(SEARCH("超过",J55)))</formula>
    </cfRule>
  </conditionalFormatting>
  <conditionalFormatting sqref="J54">
    <cfRule type="containsText" dxfId="106" priority="8" stopIfTrue="1" operator="containsText" text="超过">
      <formula>NOT(ISERROR(SEARCH("超过",J54)))</formula>
    </cfRule>
  </conditionalFormatting>
  <conditionalFormatting sqref="I53">
    <cfRule type="expression" dxfId="105" priority="7" stopIfTrue="1">
      <formula>$J$53="超过30%"</formula>
    </cfRule>
  </conditionalFormatting>
  <conditionalFormatting sqref="I54">
    <cfRule type="expression" dxfId="104" priority="6" stopIfTrue="1">
      <formula>$J$53+$J$54="超过20%"</formula>
    </cfRule>
  </conditionalFormatting>
  <conditionalFormatting sqref="I55">
    <cfRule type="expression" dxfId="103" priority="5" stopIfTrue="1">
      <formula>$J$55="超过30%"</formula>
    </cfRule>
  </conditionalFormatting>
  <conditionalFormatting sqref="F49">
    <cfRule type="expression" dxfId="102" priority="4">
      <formula>$D$49="简单平均"</formula>
    </cfRule>
  </conditionalFormatting>
  <conditionalFormatting sqref="H49">
    <cfRule type="expression" dxfId="101" priority="3">
      <formula>$D$49="简单平均"</formula>
    </cfRule>
  </conditionalFormatting>
  <conditionalFormatting sqref="J49">
    <cfRule type="expression" dxfId="100" priority="2">
      <formula>$D$49="简单平均"</formula>
    </cfRule>
  </conditionalFormatting>
  <conditionalFormatting sqref="F7:F47 H7:H47 J7:J47">
    <cfRule type="cellIs" dxfId="99"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79998168889431442"/>
  </sheetPr>
  <dimension ref="A1:D9"/>
  <sheetViews>
    <sheetView topLeftCell="A20" workbookViewId="0">
      <selection activeCell="J11" sqref="J11"/>
    </sheetView>
  </sheetViews>
  <sheetFormatPr defaultRowHeight="14.4"/>
  <cols>
    <col min="1" max="1" width="17.33203125" customWidth="1"/>
    <col min="2" max="2" width="14.109375" customWidth="1"/>
  </cols>
  <sheetData>
    <row r="1" spans="1:4">
      <c r="A1" s="3456" t="s">
        <v>3686</v>
      </c>
    </row>
    <row r="2" spans="1:4">
      <c r="A2" s="3456" t="s">
        <v>3687</v>
      </c>
    </row>
    <row r="3" spans="1:4">
      <c r="A3" s="3456" t="s">
        <v>3688</v>
      </c>
    </row>
    <row r="4" spans="1:4">
      <c r="A4" s="3456" t="s">
        <v>3689</v>
      </c>
    </row>
    <row r="5" spans="1:4">
      <c r="A5" s="3456" t="s">
        <v>3690</v>
      </c>
      <c r="B5" s="3456" t="s">
        <v>3694</v>
      </c>
      <c r="C5" s="3456" t="s">
        <v>3695</v>
      </c>
    </row>
    <row r="7" spans="1:4">
      <c r="A7" s="3456" t="s">
        <v>3691</v>
      </c>
    </row>
    <row r="8" spans="1:4">
      <c r="A8" s="3456" t="s">
        <v>3692</v>
      </c>
      <c r="B8" s="3456" t="s">
        <v>3696</v>
      </c>
      <c r="C8" s="3456" t="s">
        <v>3697</v>
      </c>
      <c r="D8" s="3456" t="s">
        <v>3698</v>
      </c>
    </row>
    <row r="9" spans="1:4">
      <c r="A9" s="3456" t="s">
        <v>3693</v>
      </c>
      <c r="B9" s="3456" t="s">
        <v>3696</v>
      </c>
      <c r="C9" s="3456" t="s">
        <v>3697</v>
      </c>
    </row>
  </sheetData>
  <phoneticPr fontId="134" type="noConversion"/>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3.8"/>
  <cols>
    <col min="1" max="1" width="10.441406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3" customFormat="1" ht="28.5" customHeight="1" thickBot="1">
      <c r="A1" s="1222" t="s">
        <v>1660</v>
      </c>
      <c r="B1" s="1957" t="s">
        <v>1826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2414.4300000000003</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4.4">
      <c r="A4" s="355" t="s">
        <v>1769</v>
      </c>
      <c r="B4" s="356"/>
      <c r="C4" s="3853" t="s">
        <v>1770</v>
      </c>
      <c r="D4" s="3854"/>
      <c r="E4" s="3855" t="s">
        <v>1771</v>
      </c>
      <c r="F4" s="3856"/>
      <c r="G4" s="3853" t="s">
        <v>1772</v>
      </c>
      <c r="H4" s="3854"/>
      <c r="I4" s="3853" t="s">
        <v>1773</v>
      </c>
      <c r="J4" s="3854"/>
      <c r="K4" s="559" t="s">
        <v>1774</v>
      </c>
      <c r="L4" s="913"/>
      <c r="M4" s="914"/>
      <c r="N4" s="914"/>
      <c r="O4" s="914"/>
      <c r="P4" s="3857" t="s">
        <v>1775</v>
      </c>
      <c r="Q4" s="3858"/>
      <c r="R4" s="3863" t="s">
        <v>1771</v>
      </c>
      <c r="S4" s="3864"/>
      <c r="T4" s="3863" t="s">
        <v>1772</v>
      </c>
      <c r="U4" s="3864"/>
      <c r="V4" s="3877" t="s">
        <v>1773</v>
      </c>
      <c r="W4" s="3877"/>
      <c r="X4" s="1355"/>
      <c r="Y4" s="3863" t="s">
        <v>1775</v>
      </c>
      <c r="Z4" s="3864"/>
      <c r="AA4" s="3850" t="s">
        <v>1771</v>
      </c>
      <c r="AB4" s="3851" t="s">
        <v>1772</v>
      </c>
      <c r="AC4" s="3850" t="s">
        <v>1773</v>
      </c>
    </row>
    <row r="5" spans="1:29">
      <c r="A5" s="358"/>
      <c r="B5" s="359"/>
      <c r="C5" s="3896" t="s">
        <v>1673</v>
      </c>
      <c r="D5" s="3868"/>
      <c r="E5" s="3926" t="s">
        <v>1674</v>
      </c>
      <c r="F5" s="3870"/>
      <c r="G5" s="3896" t="s">
        <v>1675</v>
      </c>
      <c r="H5" s="3868"/>
      <c r="I5" s="3896" t="s">
        <v>1676</v>
      </c>
      <c r="J5" s="3868"/>
      <c r="K5" s="559"/>
      <c r="L5" s="913"/>
      <c r="M5" s="914"/>
      <c r="N5" s="914"/>
      <c r="O5" s="914"/>
      <c r="P5" s="3859"/>
      <c r="Q5" s="3860"/>
      <c r="R5" s="3865"/>
      <c r="S5" s="3866"/>
      <c r="T5" s="3865"/>
      <c r="U5" s="3866"/>
      <c r="V5" s="3877"/>
      <c r="W5" s="3877"/>
      <c r="X5" s="1355"/>
      <c r="Y5" s="3865"/>
      <c r="Z5" s="3866"/>
      <c r="AA5" s="3851"/>
      <c r="AB5" s="3851"/>
      <c r="AC5" s="3851"/>
    </row>
    <row r="6" spans="1:29" ht="15" thickBot="1">
      <c r="A6" s="360"/>
      <c r="B6" s="361"/>
      <c r="C6" s="3871" t="s">
        <v>1677</v>
      </c>
      <c r="D6" s="3872"/>
      <c r="E6" s="3873" t="s">
        <v>1677</v>
      </c>
      <c r="F6" s="3874"/>
      <c r="G6" s="3871" t="s">
        <v>1677</v>
      </c>
      <c r="H6" s="3872"/>
      <c r="I6" s="3871" t="s">
        <v>1677</v>
      </c>
      <c r="J6" s="3872"/>
      <c r="K6" s="559" t="s">
        <v>1678</v>
      </c>
      <c r="L6" s="913"/>
      <c r="M6" s="914"/>
      <c r="N6" s="914"/>
      <c r="O6" s="914"/>
      <c r="P6" s="3861"/>
      <c r="Q6" s="3862"/>
      <c r="R6" s="3865"/>
      <c r="S6" s="3866"/>
      <c r="T6" s="3875"/>
      <c r="U6" s="3876"/>
      <c r="V6" s="3877"/>
      <c r="W6" s="3877"/>
      <c r="X6" s="1355"/>
      <c r="Y6" s="3875"/>
      <c r="Z6" s="3876"/>
      <c r="AA6" s="3852"/>
      <c r="AB6" s="3852"/>
      <c r="AC6" s="3852"/>
    </row>
    <row r="7" spans="1:29" s="108" customFormat="1" ht="15" thickBot="1">
      <c r="A7" s="362" t="s">
        <v>1679</v>
      </c>
      <c r="B7" s="363"/>
      <c r="C7" s="364">
        <f>'数据-取费表'!B2</f>
        <v>45478</v>
      </c>
      <c r="D7" s="365">
        <v>100</v>
      </c>
      <c r="E7" s="366"/>
      <c r="F7" s="367">
        <f>SUMIF(52:52,YEAR(E7)&amp;"-"&amp;MONTH(E7),53:53)</f>
        <v>0</v>
      </c>
      <c r="G7" s="366"/>
      <c r="H7" s="365">
        <f>SUMIF(52:52,YEAR(G7)&amp;"-"&amp;MONTH(G7),53:53)</f>
        <v>0</v>
      </c>
      <c r="I7" s="366"/>
      <c r="J7" s="365">
        <f>SUMIF(52:52,YEAR(I7)&amp;"-"&amp;MONTH(I7),53:53)</f>
        <v>0</v>
      </c>
      <c r="K7" s="560"/>
      <c r="L7" s="915"/>
      <c r="M7" s="916"/>
      <c r="N7" s="916"/>
      <c r="O7" s="916"/>
      <c r="P7" s="3878" t="s">
        <v>1680</v>
      </c>
      <c r="Q7" s="3879"/>
      <c r="R7" s="701" t="s">
        <v>14</v>
      </c>
      <c r="S7" s="702">
        <f t="shared" ref="S7:S15" si="0">F7</f>
        <v>0</v>
      </c>
      <c r="T7" s="701" t="s">
        <v>14</v>
      </c>
      <c r="U7" s="702">
        <f t="shared" ref="U7:U15" si="1">H7</f>
        <v>0</v>
      </c>
      <c r="V7" s="701" t="s">
        <v>14</v>
      </c>
      <c r="W7" s="702">
        <f t="shared" ref="W7:W15" si="2">J7</f>
        <v>0</v>
      </c>
      <c r="X7" s="703"/>
      <c r="Y7" s="3878" t="s">
        <v>1680</v>
      </c>
      <c r="Z7" s="3880"/>
      <c r="AA7" s="704" t="e">
        <f>D7/F7</f>
        <v>#DIV/0!</v>
      </c>
      <c r="AB7" s="704" t="e">
        <f>D7/H7</f>
        <v>#DIV/0!</v>
      </c>
      <c r="AC7" s="704" t="e">
        <f>D7/J7</f>
        <v>#DIV/0!</v>
      </c>
    </row>
    <row r="8" spans="1:29" s="108" customFormat="1" ht="1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878" t="s">
        <v>1683</v>
      </c>
      <c r="Q8" s="3880"/>
      <c r="R8" s="701" t="s">
        <v>14</v>
      </c>
      <c r="S8" s="702">
        <f t="shared" si="0"/>
        <v>100</v>
      </c>
      <c r="T8" s="701" t="s">
        <v>14</v>
      </c>
      <c r="U8" s="702">
        <f t="shared" si="1"/>
        <v>100</v>
      </c>
      <c r="V8" s="701" t="s">
        <v>14</v>
      </c>
      <c r="W8" s="702">
        <f t="shared" si="2"/>
        <v>100</v>
      </c>
      <c r="X8" s="703"/>
      <c r="Y8" s="3878" t="s">
        <v>1683</v>
      </c>
      <c r="Z8" s="3880"/>
      <c r="AA8" s="704">
        <f t="shared" ref="AA8:AA40" si="3">D8/F8</f>
        <v>1</v>
      </c>
      <c r="AB8" s="704">
        <f t="shared" ref="AB8:AB40" si="4">D8/H8</f>
        <v>1</v>
      </c>
      <c r="AC8" s="704">
        <f t="shared" ref="AC8:AC40" si="5">D8/J8</f>
        <v>1</v>
      </c>
    </row>
    <row r="9" spans="1:29" s="108" customFormat="1" ht="14.4">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891" t="s">
        <v>1686</v>
      </c>
      <c r="Q9" s="1343" t="str">
        <f t="shared" ref="Q9:Q15" si="6">B9</f>
        <v>用途</v>
      </c>
      <c r="R9" s="701" t="s">
        <v>14</v>
      </c>
      <c r="S9" s="702">
        <f t="shared" si="0"/>
        <v>100</v>
      </c>
      <c r="T9" s="701" t="s">
        <v>14</v>
      </c>
      <c r="U9" s="702">
        <f t="shared" si="1"/>
        <v>100</v>
      </c>
      <c r="V9" s="701" t="s">
        <v>14</v>
      </c>
      <c r="W9" s="702">
        <f t="shared" si="2"/>
        <v>100</v>
      </c>
      <c r="X9" s="703"/>
      <c r="Y9" s="3706" t="s">
        <v>1687</v>
      </c>
      <c r="Z9" s="52" t="str">
        <f t="shared" ref="Z9:Z15" si="7">Q9</f>
        <v>用途</v>
      </c>
      <c r="AA9" s="704">
        <f t="shared" si="3"/>
        <v>1</v>
      </c>
      <c r="AB9" s="704">
        <f t="shared" si="4"/>
        <v>1</v>
      </c>
      <c r="AC9" s="704">
        <f t="shared" si="5"/>
        <v>1</v>
      </c>
    </row>
    <row r="10" spans="1:29" s="378" customFormat="1" ht="28.8">
      <c r="A10" s="374"/>
      <c r="B10" s="375" t="s">
        <v>1688</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891"/>
      <c r="Q10" s="1343" t="str">
        <f t="shared" si="6"/>
        <v>土地使用年限（年）</v>
      </c>
      <c r="R10" s="701" t="s">
        <v>14</v>
      </c>
      <c r="S10" s="702">
        <f t="shared" si="0"/>
        <v>100</v>
      </c>
      <c r="T10" s="701" t="s">
        <v>14</v>
      </c>
      <c r="U10" s="702">
        <f t="shared" si="1"/>
        <v>100</v>
      </c>
      <c r="V10" s="701" t="s">
        <v>14</v>
      </c>
      <c r="W10" s="702">
        <f t="shared" si="2"/>
        <v>100</v>
      </c>
      <c r="X10" s="703"/>
      <c r="Y10" s="3706"/>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891"/>
      <c r="Q11" s="1343" t="str">
        <f t="shared" si="6"/>
        <v>容积率</v>
      </c>
      <c r="R11" s="701" t="s">
        <v>14</v>
      </c>
      <c r="S11" s="702">
        <f t="shared" si="0"/>
        <v>100</v>
      </c>
      <c r="T11" s="701" t="s">
        <v>14</v>
      </c>
      <c r="U11" s="702">
        <f t="shared" si="1"/>
        <v>100</v>
      </c>
      <c r="V11" s="701" t="s">
        <v>14</v>
      </c>
      <c r="W11" s="702">
        <f t="shared" si="2"/>
        <v>100</v>
      </c>
      <c r="X11" s="703"/>
      <c r="Y11" s="3706"/>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891"/>
      <c r="Q12" s="1343">
        <f t="shared" si="6"/>
        <v>111</v>
      </c>
      <c r="R12" s="701" t="s">
        <v>14</v>
      </c>
      <c r="S12" s="702">
        <f t="shared" si="0"/>
        <v>100</v>
      </c>
      <c r="T12" s="701" t="s">
        <v>14</v>
      </c>
      <c r="U12" s="702">
        <f t="shared" si="1"/>
        <v>100</v>
      </c>
      <c r="V12" s="701" t="s">
        <v>14</v>
      </c>
      <c r="W12" s="702">
        <f t="shared" si="2"/>
        <v>100</v>
      </c>
      <c r="X12" s="703"/>
      <c r="Y12" s="3706"/>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891"/>
      <c r="Q13" s="1343">
        <f t="shared" si="6"/>
        <v>111</v>
      </c>
      <c r="R13" s="701" t="s">
        <v>14</v>
      </c>
      <c r="S13" s="702">
        <f t="shared" si="0"/>
        <v>100</v>
      </c>
      <c r="T13" s="701" t="s">
        <v>14</v>
      </c>
      <c r="U13" s="702">
        <f t="shared" si="1"/>
        <v>100</v>
      </c>
      <c r="V13" s="701" t="s">
        <v>14</v>
      </c>
      <c r="W13" s="702">
        <f t="shared" si="2"/>
        <v>100</v>
      </c>
      <c r="X13" s="703"/>
      <c r="Y13" s="3706"/>
      <c r="Z13" s="52">
        <f t="shared" si="7"/>
        <v>111</v>
      </c>
      <c r="AA13" s="704">
        <f t="shared" si="3"/>
        <v>1</v>
      </c>
      <c r="AB13" s="704">
        <f t="shared" si="4"/>
        <v>1</v>
      </c>
      <c r="AC13" s="704">
        <f t="shared" si="5"/>
        <v>1</v>
      </c>
    </row>
    <row r="14" spans="1:29" ht="15.6"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891"/>
      <c r="Q14" s="1343">
        <f t="shared" si="6"/>
        <v>111</v>
      </c>
      <c r="R14" s="701" t="s">
        <v>14</v>
      </c>
      <c r="S14" s="702">
        <f t="shared" si="0"/>
        <v>100</v>
      </c>
      <c r="T14" s="701" t="s">
        <v>14</v>
      </c>
      <c r="U14" s="702">
        <f t="shared" si="1"/>
        <v>100</v>
      </c>
      <c r="V14" s="701" t="s">
        <v>14</v>
      </c>
      <c r="W14" s="702">
        <f t="shared" si="2"/>
        <v>100</v>
      </c>
      <c r="X14" s="703"/>
      <c r="Y14" s="3706"/>
      <c r="Z14" s="52">
        <f t="shared" si="7"/>
        <v>111</v>
      </c>
      <c r="AA14" s="704">
        <f t="shared" si="3"/>
        <v>1</v>
      </c>
      <c r="AB14" s="704">
        <f t="shared" si="4"/>
        <v>1</v>
      </c>
      <c r="AC14" s="704">
        <f t="shared" si="5"/>
        <v>1</v>
      </c>
    </row>
    <row r="15" spans="1:29" ht="69">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884" t="s">
        <v>1691</v>
      </c>
      <c r="Q15" s="1352" t="str">
        <f t="shared" si="6"/>
        <v>产业集聚程度</v>
      </c>
      <c r="R15" s="705" t="s">
        <v>14</v>
      </c>
      <c r="S15" s="706">
        <f t="shared" si="0"/>
        <v>100</v>
      </c>
      <c r="T15" s="705" t="s">
        <v>14</v>
      </c>
      <c r="U15" s="706">
        <f t="shared" si="1"/>
        <v>100</v>
      </c>
      <c r="V15" s="705" t="s">
        <v>14</v>
      </c>
      <c r="W15" s="706">
        <f t="shared" si="2"/>
        <v>100</v>
      </c>
      <c r="X15" s="1355"/>
      <c r="Y15" s="3884"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885"/>
      <c r="Q16" s="1352"/>
      <c r="R16" s="705"/>
      <c r="S16" s="706"/>
      <c r="T16" s="705"/>
      <c r="U16" s="706"/>
      <c r="V16" s="705"/>
      <c r="W16" s="706"/>
      <c r="X16" s="1355"/>
      <c r="Y16" s="3885"/>
      <c r="Z16" s="1356"/>
      <c r="AA16" s="1353">
        <v>1</v>
      </c>
      <c r="AB16" s="1353">
        <v>1</v>
      </c>
      <c r="AC16" s="1353">
        <v>1</v>
      </c>
    </row>
    <row r="17" spans="1:29" ht="96.6">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885"/>
      <c r="Q17" s="1352" t="str">
        <f>B17</f>
        <v>交通便捷度</v>
      </c>
      <c r="R17" s="705" t="s">
        <v>14</v>
      </c>
      <c r="S17" s="706">
        <f>F17</f>
        <v>100</v>
      </c>
      <c r="T17" s="705" t="s">
        <v>14</v>
      </c>
      <c r="U17" s="706">
        <f>H17</f>
        <v>100</v>
      </c>
      <c r="V17" s="705" t="s">
        <v>14</v>
      </c>
      <c r="W17" s="706">
        <f>J17</f>
        <v>100</v>
      </c>
      <c r="X17" s="1355"/>
      <c r="Y17" s="3885"/>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885"/>
      <c r="Q18" s="1352"/>
      <c r="R18" s="705"/>
      <c r="S18" s="706"/>
      <c r="T18" s="705"/>
      <c r="U18" s="706"/>
      <c r="V18" s="705"/>
      <c r="W18" s="706"/>
      <c r="X18" s="1355"/>
      <c r="Y18" s="3885"/>
      <c r="Z18" s="1356"/>
      <c r="AA18" s="1353">
        <v>1</v>
      </c>
      <c r="AB18" s="1353">
        <v>1</v>
      </c>
      <c r="AC18" s="1353">
        <v>1</v>
      </c>
    </row>
    <row r="19" spans="1:29" ht="41.4">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885"/>
      <c r="Q19" s="1352" t="str">
        <f>B19</f>
        <v>公共配套设施</v>
      </c>
      <c r="R19" s="705" t="s">
        <v>14</v>
      </c>
      <c r="S19" s="706">
        <f>F19</f>
        <v>100</v>
      </c>
      <c r="T19" s="705" t="s">
        <v>14</v>
      </c>
      <c r="U19" s="706">
        <f>H19</f>
        <v>100</v>
      </c>
      <c r="V19" s="705" t="s">
        <v>14</v>
      </c>
      <c r="W19" s="706">
        <f>J19</f>
        <v>100</v>
      </c>
      <c r="X19" s="1355"/>
      <c r="Y19" s="3885"/>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885"/>
      <c r="Q20" s="1352"/>
      <c r="R20" s="705"/>
      <c r="S20" s="706"/>
      <c r="T20" s="705"/>
      <c r="U20" s="706"/>
      <c r="V20" s="705"/>
      <c r="W20" s="706"/>
      <c r="X20" s="1355"/>
      <c r="Y20" s="3885"/>
      <c r="Z20" s="1356"/>
      <c r="AA20" s="1353">
        <v>1</v>
      </c>
      <c r="AB20" s="1353">
        <v>1</v>
      </c>
      <c r="AC20" s="1353">
        <v>1</v>
      </c>
    </row>
    <row r="21" spans="1:29" ht="41.4">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885"/>
      <c r="Q21" s="1352" t="str">
        <f>B21</f>
        <v>基础设施水平</v>
      </c>
      <c r="R21" s="705" t="s">
        <v>14</v>
      </c>
      <c r="S21" s="706">
        <f>F21</f>
        <v>100</v>
      </c>
      <c r="T21" s="705" t="s">
        <v>14</v>
      </c>
      <c r="U21" s="706">
        <f>H21</f>
        <v>100</v>
      </c>
      <c r="V21" s="705" t="s">
        <v>14</v>
      </c>
      <c r="W21" s="706">
        <f>J21</f>
        <v>100</v>
      </c>
      <c r="X21" s="1355"/>
      <c r="Y21" s="3885"/>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885"/>
      <c r="Q22" s="1352"/>
      <c r="R22" s="705"/>
      <c r="S22" s="706"/>
      <c r="T22" s="705"/>
      <c r="U22" s="706"/>
      <c r="V22" s="705"/>
      <c r="W22" s="706"/>
      <c r="X22" s="1355"/>
      <c r="Y22" s="3885"/>
      <c r="Z22" s="1356"/>
      <c r="AA22" s="1353">
        <v>1</v>
      </c>
      <c r="AB22" s="1353">
        <v>1</v>
      </c>
      <c r="AC22" s="1353">
        <v>1</v>
      </c>
    </row>
    <row r="23" spans="1:29" ht="82.8">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885"/>
      <c r="Q23" s="1352" t="str">
        <f>B23</f>
        <v>环境质量</v>
      </c>
      <c r="R23" s="705" t="s">
        <v>14</v>
      </c>
      <c r="S23" s="706">
        <f>F23</f>
        <v>100</v>
      </c>
      <c r="T23" s="705" t="s">
        <v>14</v>
      </c>
      <c r="U23" s="706">
        <f>H23</f>
        <v>100</v>
      </c>
      <c r="V23" s="705" t="s">
        <v>14</v>
      </c>
      <c r="W23" s="706">
        <f>J23</f>
        <v>100</v>
      </c>
      <c r="X23" s="1355"/>
      <c r="Y23" s="3885"/>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885"/>
      <c r="Q24" s="1352"/>
      <c r="R24" s="705"/>
      <c r="S24" s="706"/>
      <c r="T24" s="705"/>
      <c r="U24" s="706"/>
      <c r="V24" s="705"/>
      <c r="W24" s="706"/>
      <c r="X24" s="1355"/>
      <c r="Y24" s="3885"/>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885"/>
      <c r="Q25" s="1352">
        <f>B25</f>
        <v>111</v>
      </c>
      <c r="R25" s="705" t="s">
        <v>14</v>
      </c>
      <c r="S25" s="706">
        <f>F25</f>
        <v>100</v>
      </c>
      <c r="T25" s="705" t="s">
        <v>14</v>
      </c>
      <c r="U25" s="706">
        <f>H25</f>
        <v>100</v>
      </c>
      <c r="V25" s="705" t="s">
        <v>14</v>
      </c>
      <c r="W25" s="706">
        <f>J25</f>
        <v>100</v>
      </c>
      <c r="X25" s="1355"/>
      <c r="Y25" s="3885"/>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885"/>
      <c r="Q26" s="1352">
        <f t="shared" ref="Q26:Q40" si="11">B26</f>
        <v>111</v>
      </c>
      <c r="R26" s="705" t="s">
        <v>14</v>
      </c>
      <c r="S26" s="706">
        <f>F26</f>
        <v>100</v>
      </c>
      <c r="T26" s="705" t="s">
        <v>14</v>
      </c>
      <c r="U26" s="706">
        <f>H26</f>
        <v>100</v>
      </c>
      <c r="V26" s="705" t="s">
        <v>14</v>
      </c>
      <c r="W26" s="706">
        <f>J26</f>
        <v>100</v>
      </c>
      <c r="X26" s="1355"/>
      <c r="Y26" s="3885"/>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885"/>
      <c r="Q27" s="1343">
        <f t="shared" si="11"/>
        <v>111</v>
      </c>
      <c r="R27" s="701" t="s">
        <v>14</v>
      </c>
      <c r="S27" s="702">
        <f>F27</f>
        <v>100</v>
      </c>
      <c r="T27" s="701" t="s">
        <v>14</v>
      </c>
      <c r="U27" s="702">
        <f>H27</f>
        <v>100</v>
      </c>
      <c r="V27" s="701" t="s">
        <v>14</v>
      </c>
      <c r="W27" s="702">
        <f>J27</f>
        <v>100</v>
      </c>
      <c r="X27" s="703"/>
      <c r="Y27" s="3885"/>
      <c r="Z27" s="52">
        <f>Q27</f>
        <v>111</v>
      </c>
      <c r="AA27" s="1353">
        <f>D27/F27</f>
        <v>1</v>
      </c>
      <c r="AB27" s="1353">
        <f>D27/H27</f>
        <v>1</v>
      </c>
      <c r="AC27" s="1353">
        <f>D27/J27</f>
        <v>1</v>
      </c>
    </row>
    <row r="28" spans="1:29" ht="15.6"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885"/>
      <c r="Q28" s="1352">
        <f t="shared" si="11"/>
        <v>111</v>
      </c>
      <c r="R28" s="705" t="s">
        <v>14</v>
      </c>
      <c r="S28" s="706">
        <f t="shared" ref="S28:S40" si="12">F28</f>
        <v>100</v>
      </c>
      <c r="T28" s="705" t="s">
        <v>14</v>
      </c>
      <c r="U28" s="706">
        <f t="shared" ref="U28:U40" si="13">H28</f>
        <v>100</v>
      </c>
      <c r="V28" s="705" t="s">
        <v>14</v>
      </c>
      <c r="W28" s="706">
        <f t="shared" ref="W28:W40" si="14">J28</f>
        <v>100</v>
      </c>
      <c r="X28" s="1355"/>
      <c r="Y28" s="3885"/>
      <c r="Z28" s="1356">
        <f t="shared" ref="Z28:Z40" si="15">Q28</f>
        <v>111</v>
      </c>
      <c r="AA28" s="1353">
        <f t="shared" si="3"/>
        <v>1</v>
      </c>
      <c r="AB28" s="1353">
        <f t="shared" si="4"/>
        <v>1</v>
      </c>
      <c r="AC28" s="1353">
        <f t="shared" si="5"/>
        <v>1</v>
      </c>
    </row>
    <row r="29" spans="1:29" ht="30">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943" t="s">
        <v>1696</v>
      </c>
      <c r="Q29" s="1352" t="str">
        <f t="shared" si="11"/>
        <v>建筑类型</v>
      </c>
      <c r="R29" s="705" t="s">
        <v>14</v>
      </c>
      <c r="S29" s="706">
        <f t="shared" si="12"/>
        <v>100</v>
      </c>
      <c r="T29" s="705" t="s">
        <v>14</v>
      </c>
      <c r="U29" s="706">
        <f t="shared" si="13"/>
        <v>100</v>
      </c>
      <c r="V29" s="705" t="s">
        <v>14</v>
      </c>
      <c r="W29" s="706">
        <f t="shared" si="14"/>
        <v>100</v>
      </c>
      <c r="X29" s="1355"/>
      <c r="Y29" s="3889"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889"/>
      <c r="Q30" s="707" t="str">
        <f t="shared" si="11"/>
        <v>项目建筑规模</v>
      </c>
      <c r="R30" s="708" t="s">
        <v>14</v>
      </c>
      <c r="S30" s="709" t="e">
        <f t="shared" si="12"/>
        <v>#N/A</v>
      </c>
      <c r="T30" s="708" t="s">
        <v>14</v>
      </c>
      <c r="U30" s="709" t="e">
        <f t="shared" si="13"/>
        <v>#N/A</v>
      </c>
      <c r="V30" s="708" t="s">
        <v>14</v>
      </c>
      <c r="W30" s="709" t="e">
        <f t="shared" si="14"/>
        <v>#N/A</v>
      </c>
      <c r="X30" s="710"/>
      <c r="Y30" s="3889"/>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889"/>
      <c r="Q31" s="1352" t="str">
        <f t="shared" si="11"/>
        <v>建筑结构</v>
      </c>
      <c r="R31" s="705" t="s">
        <v>14</v>
      </c>
      <c r="S31" s="706">
        <f t="shared" si="12"/>
        <v>100</v>
      </c>
      <c r="T31" s="705" t="s">
        <v>14</v>
      </c>
      <c r="U31" s="706">
        <f t="shared" si="13"/>
        <v>100</v>
      </c>
      <c r="V31" s="705" t="s">
        <v>14</v>
      </c>
      <c r="W31" s="706">
        <f t="shared" si="14"/>
        <v>100</v>
      </c>
      <c r="X31" s="1355"/>
      <c r="Y31" s="3889"/>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889"/>
      <c r="Q32" s="1352" t="str">
        <f t="shared" si="11"/>
        <v>公共部分装修</v>
      </c>
      <c r="R32" s="705" t="s">
        <v>14</v>
      </c>
      <c r="S32" s="706">
        <f t="shared" si="12"/>
        <v>100</v>
      </c>
      <c r="T32" s="705" t="s">
        <v>14</v>
      </c>
      <c r="U32" s="706">
        <f t="shared" si="13"/>
        <v>100</v>
      </c>
      <c r="V32" s="705" t="s">
        <v>14</v>
      </c>
      <c r="W32" s="706">
        <f t="shared" si="14"/>
        <v>100</v>
      </c>
      <c r="X32" s="1355"/>
      <c r="Y32" s="3889"/>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889"/>
      <c r="Q33" s="1352" t="str">
        <f t="shared" si="11"/>
        <v>成新度</v>
      </c>
      <c r="R33" s="705" t="s">
        <v>14</v>
      </c>
      <c r="S33" s="706" t="e">
        <f t="shared" si="12"/>
        <v>#N/A</v>
      </c>
      <c r="T33" s="705" t="s">
        <v>14</v>
      </c>
      <c r="U33" s="706" t="e">
        <f t="shared" si="13"/>
        <v>#N/A</v>
      </c>
      <c r="V33" s="705" t="s">
        <v>14</v>
      </c>
      <c r="W33" s="706" t="e">
        <f t="shared" si="14"/>
        <v>#N/A</v>
      </c>
      <c r="X33" s="1355"/>
      <c r="Y33" s="3889"/>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889"/>
      <c r="Q34" s="1343" t="str">
        <f t="shared" si="11"/>
        <v>物业管理</v>
      </c>
      <c r="R34" s="701" t="s">
        <v>14</v>
      </c>
      <c r="S34" s="702">
        <f t="shared" si="12"/>
        <v>100</v>
      </c>
      <c r="T34" s="701" t="s">
        <v>14</v>
      </c>
      <c r="U34" s="702">
        <f t="shared" si="13"/>
        <v>100</v>
      </c>
      <c r="V34" s="701" t="s">
        <v>14</v>
      </c>
      <c r="W34" s="702">
        <f t="shared" si="14"/>
        <v>100</v>
      </c>
      <c r="X34" s="703"/>
      <c r="Y34" s="3889"/>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889" t="s">
        <v>1696</v>
      </c>
      <c r="Q35" s="1352" t="str">
        <f t="shared" si="11"/>
        <v>市政基础设施</v>
      </c>
      <c r="R35" s="705" t="s">
        <v>14</v>
      </c>
      <c r="S35" s="706">
        <f t="shared" si="12"/>
        <v>100</v>
      </c>
      <c r="T35" s="705" t="s">
        <v>14</v>
      </c>
      <c r="U35" s="706">
        <f t="shared" si="13"/>
        <v>100</v>
      </c>
      <c r="V35" s="705" t="s">
        <v>14</v>
      </c>
      <c r="W35" s="706">
        <f t="shared" si="14"/>
        <v>100</v>
      </c>
      <c r="X35" s="1355"/>
      <c r="Y35" s="3889"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889"/>
      <c r="Q36" s="1352" t="str">
        <f t="shared" si="11"/>
        <v>内部装修</v>
      </c>
      <c r="R36" s="705" t="s">
        <v>14</v>
      </c>
      <c r="S36" s="706">
        <f t="shared" si="12"/>
        <v>100</v>
      </c>
      <c r="T36" s="705" t="s">
        <v>14</v>
      </c>
      <c r="U36" s="706">
        <f t="shared" si="13"/>
        <v>100</v>
      </c>
      <c r="V36" s="705" t="s">
        <v>14</v>
      </c>
      <c r="W36" s="706">
        <f t="shared" si="14"/>
        <v>100</v>
      </c>
      <c r="X36" s="1355"/>
      <c r="Y36" s="3889"/>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889"/>
      <c r="Q37" s="1352" t="str">
        <f t="shared" si="11"/>
        <v>内部装修状况</v>
      </c>
      <c r="R37" s="705" t="s">
        <v>14</v>
      </c>
      <c r="S37" s="706">
        <f t="shared" si="12"/>
        <v>100</v>
      </c>
      <c r="T37" s="705" t="s">
        <v>14</v>
      </c>
      <c r="U37" s="706">
        <f t="shared" si="13"/>
        <v>100</v>
      </c>
      <c r="V37" s="705" t="s">
        <v>14</v>
      </c>
      <c r="W37" s="706">
        <f t="shared" si="14"/>
        <v>100</v>
      </c>
      <c r="X37" s="1355"/>
      <c r="Y37" s="3889"/>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889"/>
      <c r="Q38" s="707">
        <f t="shared" si="11"/>
        <v>111</v>
      </c>
      <c r="R38" s="708" t="s">
        <v>14</v>
      </c>
      <c r="S38" s="709">
        <f t="shared" si="12"/>
        <v>100</v>
      </c>
      <c r="T38" s="708" t="s">
        <v>14</v>
      </c>
      <c r="U38" s="709">
        <f t="shared" si="13"/>
        <v>100</v>
      </c>
      <c r="V38" s="708" t="s">
        <v>14</v>
      </c>
      <c r="W38" s="709">
        <f t="shared" si="14"/>
        <v>100</v>
      </c>
      <c r="X38" s="710"/>
      <c r="Y38" s="3889"/>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889"/>
      <c r="Q39" s="1352">
        <f t="shared" si="11"/>
        <v>111</v>
      </c>
      <c r="R39" s="705" t="s">
        <v>14</v>
      </c>
      <c r="S39" s="706">
        <f t="shared" si="12"/>
        <v>100</v>
      </c>
      <c r="T39" s="705" t="s">
        <v>14</v>
      </c>
      <c r="U39" s="706">
        <f t="shared" si="13"/>
        <v>100</v>
      </c>
      <c r="V39" s="705" t="s">
        <v>14</v>
      </c>
      <c r="W39" s="706">
        <f t="shared" si="14"/>
        <v>100</v>
      </c>
      <c r="X39" s="1355"/>
      <c r="Y39" s="3889"/>
      <c r="Z39" s="1356">
        <f t="shared" si="15"/>
        <v>111</v>
      </c>
      <c r="AA39" s="1353">
        <f t="shared" si="3"/>
        <v>1</v>
      </c>
      <c r="AB39" s="1353">
        <f t="shared" si="4"/>
        <v>1</v>
      </c>
      <c r="AC39" s="1353">
        <f t="shared" si="5"/>
        <v>1</v>
      </c>
    </row>
    <row r="40" spans="1:29" ht="15.6"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890"/>
      <c r="Q40" s="1352">
        <f t="shared" si="11"/>
        <v>111</v>
      </c>
      <c r="R40" s="705" t="s">
        <v>14</v>
      </c>
      <c r="S40" s="706">
        <f t="shared" si="12"/>
        <v>100</v>
      </c>
      <c r="T40" s="705" t="s">
        <v>14</v>
      </c>
      <c r="U40" s="706">
        <f t="shared" si="13"/>
        <v>100</v>
      </c>
      <c r="V40" s="705" t="s">
        <v>14</v>
      </c>
      <c r="W40" s="706">
        <f t="shared" si="14"/>
        <v>100</v>
      </c>
      <c r="X40" s="1355"/>
      <c r="Y40" s="3890"/>
      <c r="Z40" s="1356">
        <f t="shared" si="15"/>
        <v>111</v>
      </c>
      <c r="AA40" s="1353">
        <f t="shared" si="3"/>
        <v>1</v>
      </c>
      <c r="AB40" s="1353">
        <f t="shared" si="4"/>
        <v>1</v>
      </c>
      <c r="AC40" s="1353">
        <f t="shared" si="5"/>
        <v>1</v>
      </c>
    </row>
    <row r="41" spans="1:29" ht="14.4">
      <c r="A41" s="430" t="s">
        <v>1708</v>
      </c>
      <c r="B41" s="431"/>
      <c r="C41" s="1154" t="s">
        <v>0</v>
      </c>
      <c r="D41" s="1155"/>
      <c r="E41" s="1156"/>
      <c r="F41" s="1157"/>
      <c r="G41" s="1158"/>
      <c r="H41" s="1159"/>
      <c r="I41" s="1156"/>
      <c r="J41" s="1159"/>
      <c r="K41" s="714"/>
      <c r="L41" s="926"/>
      <c r="M41" s="927"/>
      <c r="N41" s="914"/>
      <c r="O41" s="927"/>
      <c r="P41" s="3891" t="str">
        <f>A41</f>
        <v>成交单价（元/平方米）</v>
      </c>
      <c r="Q41" s="3891"/>
      <c r="R41" s="3892">
        <f>E41</f>
        <v>0</v>
      </c>
      <c r="S41" s="3892"/>
      <c r="T41" s="3892">
        <f>G41</f>
        <v>0</v>
      </c>
      <c r="U41" s="3892"/>
      <c r="V41" s="3892">
        <f>I41</f>
        <v>0</v>
      </c>
      <c r="W41" s="3892"/>
      <c r="X41" s="690"/>
      <c r="Y41" s="712"/>
      <c r="Z41" s="690"/>
      <c r="AA41" s="690"/>
      <c r="AB41" s="690"/>
      <c r="AC41" s="690"/>
    </row>
    <row r="42" spans="1:29" ht="1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891" t="str">
        <f>A42</f>
        <v>比较价值（元/平方米）</v>
      </c>
      <c r="Q42" s="3891"/>
      <c r="R42" s="3892" t="e">
        <f>IF(F1="售价",ROUND(PRODUCT(R41,AA7:AA40),0),ROUND(PRODUCT(R41,AA7:AA40),1))</f>
        <v>#DIV/0!</v>
      </c>
      <c r="S42" s="3892"/>
      <c r="T42" s="3892" t="e">
        <f>IF(F1="售价",ROUND(PRODUCT(T41,AB7:AB40),0),ROUND(PRODUCT(T41,AB7:AB40),1))</f>
        <v>#DIV/0!</v>
      </c>
      <c r="U42" s="3892"/>
      <c r="V42" s="3892" t="e">
        <f>IF(F1="售价",ROUND(PRODUCT(V41,AC7:AC40),0),ROUND(PRODUCT(V41,AC7:AC40),1))</f>
        <v>#DIV/0!</v>
      </c>
      <c r="W42" s="3892"/>
      <c r="X42" s="690"/>
      <c r="Y42" s="690"/>
      <c r="Z42" s="690"/>
      <c r="AA42" s="690"/>
      <c r="AB42" s="690"/>
      <c r="AC42" s="690"/>
    </row>
    <row r="43" spans="1:29" ht="15" thickBot="1">
      <c r="A43" s="441" t="s">
        <v>1794</v>
      </c>
      <c r="B43" s="442"/>
      <c r="C43" s="1163" t="e">
        <f>R43</f>
        <v>#DIV/0!</v>
      </c>
      <c r="D43" s="1163"/>
      <c r="E43" s="1163"/>
      <c r="F43" s="1163"/>
      <c r="G43" s="1163"/>
      <c r="H43" s="1163"/>
      <c r="I43" s="1163"/>
      <c r="J43" s="1163"/>
      <c r="K43" s="715"/>
      <c r="L43" s="926"/>
      <c r="M43" s="927"/>
      <c r="N43" s="927"/>
      <c r="O43" s="927"/>
      <c r="P43" s="3893" t="str">
        <f>A43</f>
        <v>估价对象XX用房的比较价值（楼面单价，元/平方米）</v>
      </c>
      <c r="Q43" s="3894"/>
      <c r="R43" s="3895" t="e">
        <f>IF(F1="售价",ROUND(IF(D42="简单平均",AVERAGE(R42:V42),R42*F42+T42*H42+V42*J42),0),ROUND(IF(D42="简单平均",AVERAGE(R42:V42),R42*F42+T42*H42+V42*J42),1))</f>
        <v>#DIV/0!</v>
      </c>
      <c r="S43" s="3895"/>
      <c r="T43" s="3895"/>
      <c r="U43" s="3895"/>
      <c r="V43" s="3895"/>
      <c r="W43" s="3895"/>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2.2" thickBot="1">
      <c r="A51" s="694" t="s">
        <v>1798</v>
      </c>
      <c r="B51" s="690"/>
      <c r="C51" s="695"/>
      <c r="D51" s="695"/>
      <c r="E51" s="695"/>
      <c r="F51" s="696"/>
      <c r="G51" s="696"/>
      <c r="H51" s="695"/>
      <c r="I51" s="695"/>
      <c r="J51" s="695"/>
      <c r="K51" s="941"/>
      <c r="L51" s="942"/>
      <c r="M51" s="940"/>
      <c r="N51" s="940"/>
      <c r="O51" s="940"/>
      <c r="P51" s="452"/>
      <c r="Q51" s="453"/>
    </row>
    <row r="52" spans="1:17" s="457" customFormat="1" ht="14.4">
      <c r="A52" s="454" t="s">
        <v>1679</v>
      </c>
      <c r="B52" s="455"/>
      <c r="C52" s="1184" t="str">
        <f>YEAR(C7)&amp;"-"&amp;MONTH(C7)</f>
        <v>2024-7</v>
      </c>
      <c r="D52" s="1185">
        <f>EDATE(C52,-1)</f>
        <v>45444</v>
      </c>
      <c r="E52" s="1185">
        <f t="shared" ref="E52:O52" si="16">EDATE(D52,-1)</f>
        <v>45413</v>
      </c>
      <c r="F52" s="1185">
        <f t="shared" si="16"/>
        <v>45383</v>
      </c>
      <c r="G52" s="1185">
        <f t="shared" si="16"/>
        <v>45352</v>
      </c>
      <c r="H52" s="1185">
        <f t="shared" si="16"/>
        <v>45323</v>
      </c>
      <c r="I52" s="1185">
        <f t="shared" si="16"/>
        <v>45292</v>
      </c>
      <c r="J52" s="1185">
        <f t="shared" si="16"/>
        <v>45261</v>
      </c>
      <c r="K52" s="1185">
        <f t="shared" si="16"/>
        <v>45231</v>
      </c>
      <c r="L52" s="1185">
        <f t="shared" si="16"/>
        <v>45200</v>
      </c>
      <c r="M52" s="1185">
        <f t="shared" si="16"/>
        <v>45170</v>
      </c>
      <c r="N52" s="1185">
        <f t="shared" si="16"/>
        <v>45139</v>
      </c>
      <c r="O52" s="1185">
        <f t="shared" si="16"/>
        <v>45108</v>
      </c>
      <c r="P52" s="456"/>
    </row>
    <row r="53" spans="1:17" s="108" customFormat="1">
      <c r="A53" s="458"/>
      <c r="B53" s="459"/>
      <c r="C53" s="1183">
        <v>100</v>
      </c>
      <c r="D53" s="461"/>
      <c r="E53" s="461"/>
      <c r="F53" s="461"/>
      <c r="G53" s="461"/>
      <c r="H53" s="461"/>
      <c r="I53" s="461"/>
      <c r="J53" s="461"/>
      <c r="K53" s="461"/>
      <c r="L53" s="461"/>
      <c r="M53" s="462"/>
      <c r="N53" s="461"/>
      <c r="O53" s="463"/>
      <c r="P53" s="453"/>
    </row>
    <row r="54" spans="1:17" s="108" customFormat="1" ht="15" thickBot="1">
      <c r="A54" s="464" t="s">
        <v>1716</v>
      </c>
      <c r="B54" s="465"/>
      <c r="C54" s="466"/>
      <c r="D54" s="467"/>
      <c r="E54" s="467"/>
      <c r="F54" s="467"/>
      <c r="G54" s="467"/>
      <c r="H54" s="467"/>
      <c r="I54" s="467"/>
      <c r="J54" s="467"/>
      <c r="K54" s="467"/>
      <c r="L54" s="467"/>
      <c r="M54" s="468"/>
      <c r="N54" s="2770"/>
      <c r="O54" s="2771"/>
      <c r="P54" s="453"/>
      <c r="Q54" s="453"/>
    </row>
    <row r="55" spans="1:17" s="108" customFormat="1" ht="14.4">
      <c r="A55" s="470" t="s">
        <v>1681</v>
      </c>
      <c r="B55" s="459"/>
      <c r="C55" s="471" t="s">
        <v>1776</v>
      </c>
      <c r="D55" s="472"/>
      <c r="E55" s="472"/>
      <c r="F55" s="472"/>
      <c r="G55" s="472"/>
      <c r="H55" s="472"/>
      <c r="I55" s="472"/>
      <c r="J55" s="472"/>
      <c r="K55" s="472"/>
      <c r="L55" s="473"/>
      <c r="M55" s="474"/>
      <c r="N55" s="932"/>
      <c r="O55" s="932"/>
      <c r="P55" s="475"/>
      <c r="Q55" s="453"/>
    </row>
    <row r="56" spans="1:17" s="108" customFormat="1" ht="14.4" thickBot="1">
      <c r="A56" s="470"/>
      <c r="B56" s="459"/>
      <c r="C56" s="587">
        <v>100</v>
      </c>
      <c r="D56" s="461"/>
      <c r="E56" s="461"/>
      <c r="F56" s="461"/>
      <c r="G56" s="461"/>
      <c r="H56" s="461"/>
      <c r="I56" s="461"/>
      <c r="J56" s="461"/>
      <c r="K56" s="461"/>
      <c r="L56" s="461"/>
      <c r="M56" s="463"/>
      <c r="N56" s="932"/>
      <c r="O56" s="932"/>
      <c r="P56" s="453"/>
      <c r="Q56" s="453"/>
    </row>
    <row r="57" spans="1:17" ht="14.4">
      <c r="A57" s="476" t="s">
        <v>1719</v>
      </c>
      <c r="B57" s="477" t="s">
        <v>1685</v>
      </c>
      <c r="C57" s="478">
        <f>C9</f>
        <v>0</v>
      </c>
      <c r="D57" s="479"/>
      <c r="E57" s="479"/>
      <c r="F57" s="479"/>
      <c r="G57" s="479"/>
      <c r="H57" s="479"/>
      <c r="I57" s="479"/>
      <c r="J57" s="479"/>
      <c r="K57" s="480"/>
      <c r="L57" s="481"/>
      <c r="M57" s="482"/>
      <c r="N57" s="933"/>
      <c r="O57" s="933"/>
      <c r="P57" s="42"/>
      <c r="Q57" s="453"/>
    </row>
    <row r="58" spans="1:17" ht="14.4" thickBot="1">
      <c r="A58" s="483"/>
      <c r="B58" s="484"/>
      <c r="C58" s="485">
        <v>100</v>
      </c>
      <c r="D58" s="485"/>
      <c r="E58" s="485"/>
      <c r="F58" s="485"/>
      <c r="G58" s="485"/>
      <c r="H58" s="485"/>
      <c r="I58" s="485"/>
      <c r="J58" s="485"/>
      <c r="K58" s="485"/>
      <c r="L58" s="485"/>
      <c r="M58" s="486"/>
      <c r="N58" s="934"/>
      <c r="O58" s="934"/>
      <c r="P58" s="42"/>
      <c r="Q58" s="453"/>
    </row>
    <row r="59" spans="1:17" ht="29.4" thickTop="1">
      <c r="A59" s="483"/>
      <c r="B59" s="487" t="s">
        <v>1688</v>
      </c>
      <c r="C59" s="532"/>
      <c r="D59" s="532"/>
      <c r="E59" s="532"/>
      <c r="F59" s="532"/>
      <c r="G59" s="532"/>
      <c r="H59" s="532"/>
      <c r="I59" s="532"/>
      <c r="J59" s="532"/>
      <c r="K59" s="533"/>
      <c r="L59" s="534"/>
      <c r="M59" s="535"/>
      <c r="N59" s="933"/>
      <c r="O59" s="933"/>
      <c r="P59" s="42"/>
      <c r="Q59" s="453"/>
    </row>
    <row r="60" spans="1:17" ht="14.4" thickBot="1">
      <c r="A60" s="483"/>
      <c r="B60" s="492"/>
      <c r="C60" s="485"/>
      <c r="D60" s="485"/>
      <c r="E60" s="485"/>
      <c r="F60" s="485"/>
      <c r="G60" s="485"/>
      <c r="H60" s="485"/>
      <c r="I60" s="485"/>
      <c r="J60" s="485"/>
      <c r="K60" s="485"/>
      <c r="L60" s="485"/>
      <c r="M60" s="486"/>
      <c r="N60" s="934"/>
      <c r="O60" s="934"/>
      <c r="P60" s="42"/>
      <c r="Q60" s="453"/>
    </row>
    <row r="61" spans="1:17" ht="1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c r="A62" s="483"/>
      <c r="B62" s="497"/>
      <c r="C62" s="498">
        <v>0</v>
      </c>
      <c r="D62" s="498">
        <v>2</v>
      </c>
      <c r="E62" s="498"/>
      <c r="F62" s="498"/>
      <c r="G62" s="498"/>
      <c r="H62" s="498"/>
      <c r="I62" s="498"/>
      <c r="J62" s="498"/>
      <c r="K62" s="499"/>
      <c r="L62" s="500"/>
      <c r="M62" s="501"/>
      <c r="N62" s="933"/>
      <c r="O62" s="933"/>
      <c r="P62" s="42"/>
      <c r="Q62" s="453"/>
    </row>
    <row r="63" spans="1:17" ht="14.4"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4.4" thickTop="1">
      <c r="A64" s="502"/>
      <c r="B64" s="487">
        <f>B12</f>
        <v>111</v>
      </c>
      <c r="C64" s="503"/>
      <c r="D64" s="503"/>
      <c r="E64" s="503"/>
      <c r="F64" s="503"/>
      <c r="G64" s="503"/>
      <c r="H64" s="504"/>
      <c r="I64" s="504"/>
      <c r="J64" s="504"/>
      <c r="K64" s="504"/>
      <c r="L64" s="505"/>
      <c r="M64" s="506"/>
      <c r="N64" s="935"/>
      <c r="O64" s="935"/>
      <c r="P64" s="507"/>
      <c r="Q64" s="508"/>
    </row>
    <row r="65" spans="1:17" s="422" customFormat="1" ht="14.4" thickBot="1">
      <c r="A65" s="502"/>
      <c r="B65" s="492"/>
      <c r="C65" s="509"/>
      <c r="D65" s="485"/>
      <c r="E65" s="485"/>
      <c r="F65" s="485"/>
      <c r="G65" s="485"/>
      <c r="H65" s="485"/>
      <c r="I65" s="485"/>
      <c r="J65" s="485"/>
      <c r="K65" s="485"/>
      <c r="L65" s="485"/>
      <c r="M65" s="486"/>
      <c r="N65" s="934"/>
      <c r="O65" s="934"/>
      <c r="P65" s="507"/>
      <c r="Q65" s="508"/>
    </row>
    <row r="66" spans="1:17" s="422" customFormat="1" ht="14.4" thickTop="1">
      <c r="A66" s="502"/>
      <c r="B66" s="487">
        <f>B13</f>
        <v>111</v>
      </c>
      <c r="C66" s="503"/>
      <c r="D66" s="503"/>
      <c r="E66" s="503"/>
      <c r="F66" s="503"/>
      <c r="G66" s="503"/>
      <c r="H66" s="504"/>
      <c r="I66" s="504"/>
      <c r="J66" s="504"/>
      <c r="K66" s="504"/>
      <c r="L66" s="505"/>
      <c r="M66" s="506"/>
      <c r="N66" s="935"/>
      <c r="O66" s="935"/>
      <c r="P66" s="421"/>
      <c r="Q66" s="510"/>
    </row>
    <row r="67" spans="1:17" s="422" customFormat="1" ht="14.4" thickBot="1">
      <c r="A67" s="502"/>
      <c r="B67" s="492"/>
      <c r="C67" s="509"/>
      <c r="D67" s="485"/>
      <c r="E67" s="485"/>
      <c r="F67" s="485"/>
      <c r="G67" s="509"/>
      <c r="H67" s="511"/>
      <c r="I67" s="511"/>
      <c r="J67" s="511"/>
      <c r="K67" s="511"/>
      <c r="L67" s="511"/>
      <c r="M67" s="512"/>
      <c r="N67" s="935"/>
      <c r="O67" s="935"/>
      <c r="P67" s="507"/>
      <c r="Q67" s="508"/>
    </row>
    <row r="68" spans="1:17" s="422" customFormat="1" ht="14.4" thickTop="1">
      <c r="A68" s="502"/>
      <c r="B68" s="495">
        <f>B14</f>
        <v>111</v>
      </c>
      <c r="C68" s="472"/>
      <c r="D68" s="472"/>
      <c r="E68" s="472"/>
      <c r="F68" s="472"/>
      <c r="G68" s="472"/>
      <c r="H68" s="513"/>
      <c r="I68" s="513"/>
      <c r="J68" s="513"/>
      <c r="K68" s="513"/>
      <c r="L68" s="514"/>
      <c r="M68" s="515"/>
      <c r="N68" s="935"/>
      <c r="O68" s="935"/>
      <c r="P68" s="516"/>
      <c r="Q68" s="508"/>
    </row>
    <row r="69" spans="1:17" s="422" customFormat="1" ht="14.4" thickBot="1">
      <c r="A69" s="517"/>
      <c r="B69" s="518"/>
      <c r="C69" s="519"/>
      <c r="D69" s="519"/>
      <c r="E69" s="519"/>
      <c r="F69" s="519"/>
      <c r="G69" s="519"/>
      <c r="H69" s="520"/>
      <c r="I69" s="520"/>
      <c r="J69" s="520"/>
      <c r="K69" s="520"/>
      <c r="L69" s="520"/>
      <c r="M69" s="521"/>
      <c r="N69" s="935"/>
      <c r="O69" s="935"/>
      <c r="P69" s="507"/>
      <c r="Q69" s="508"/>
    </row>
    <row r="70" spans="1:17" ht="14.4">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4.4"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4.4"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4.4"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4.4"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4.4"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4.4" thickTop="1">
      <c r="A80" s="528"/>
      <c r="B80" s="487">
        <f>B25</f>
        <v>111</v>
      </c>
      <c r="C80" s="503"/>
      <c r="D80" s="503"/>
      <c r="E80" s="503"/>
      <c r="F80" s="503"/>
      <c r="G80" s="503"/>
      <c r="H80" s="503"/>
      <c r="I80" s="503"/>
      <c r="J80" s="503"/>
      <c r="K80" s="503"/>
      <c r="L80" s="529"/>
      <c r="M80" s="530"/>
      <c r="N80" s="932"/>
      <c r="O80" s="932"/>
      <c r="P80" s="42"/>
      <c r="Q80" s="453"/>
    </row>
    <row r="81" spans="1:17" s="108" customFormat="1" ht="14.4" thickBot="1">
      <c r="A81" s="528"/>
      <c r="B81" s="492"/>
      <c r="C81" s="509"/>
      <c r="D81" s="485"/>
      <c r="E81" s="485"/>
      <c r="F81" s="485"/>
      <c r="G81" s="485"/>
      <c r="H81" s="485"/>
      <c r="I81" s="485"/>
      <c r="J81" s="485"/>
      <c r="K81" s="485"/>
      <c r="L81" s="485"/>
      <c r="M81" s="486"/>
      <c r="N81" s="934"/>
      <c r="O81" s="934"/>
      <c r="P81" s="42"/>
      <c r="Q81" s="453"/>
    </row>
    <row r="82" spans="1:17" s="108" customFormat="1" ht="14.4" thickTop="1">
      <c r="A82" s="528"/>
      <c r="B82" s="487">
        <f>B26</f>
        <v>111</v>
      </c>
      <c r="C82" s="503"/>
      <c r="D82" s="503"/>
      <c r="E82" s="503"/>
      <c r="F82" s="503"/>
      <c r="G82" s="503"/>
      <c r="H82" s="503"/>
      <c r="I82" s="503"/>
      <c r="J82" s="503"/>
      <c r="K82" s="503"/>
      <c r="L82" s="529"/>
      <c r="M82" s="530"/>
      <c r="N82" s="932"/>
      <c r="O82" s="932"/>
      <c r="P82" s="42"/>
      <c r="Q82" s="453"/>
    </row>
    <row r="83" spans="1:17" s="108" customFormat="1" ht="14.4" thickBot="1">
      <c r="A83" s="528"/>
      <c r="B83" s="492"/>
      <c r="C83" s="509"/>
      <c r="D83" s="485"/>
      <c r="E83" s="485"/>
      <c r="F83" s="485"/>
      <c r="G83" s="485"/>
      <c r="H83" s="485"/>
      <c r="I83" s="485"/>
      <c r="J83" s="485"/>
      <c r="K83" s="485"/>
      <c r="L83" s="485"/>
      <c r="M83" s="486"/>
      <c r="N83" s="934"/>
      <c r="O83" s="934"/>
      <c r="P83" s="42"/>
      <c r="Q83" s="453"/>
    </row>
    <row r="84" spans="1:17" s="422" customFormat="1" ht="14.4" thickTop="1">
      <c r="A84" s="502"/>
      <c r="B84" s="487">
        <f>B27</f>
        <v>111</v>
      </c>
      <c r="C84" s="503"/>
      <c r="D84" s="503"/>
      <c r="E84" s="503"/>
      <c r="F84" s="503"/>
      <c r="G84" s="503"/>
      <c r="H84" s="503"/>
      <c r="I84" s="503"/>
      <c r="J84" s="503"/>
      <c r="K84" s="503"/>
      <c r="L84" s="529"/>
      <c r="M84" s="530"/>
      <c r="N84" s="935"/>
      <c r="O84" s="935"/>
      <c r="P84" s="507"/>
      <c r="Q84" s="508"/>
    </row>
    <row r="85" spans="1:17" s="422" customFormat="1" ht="14.4" thickBot="1">
      <c r="A85" s="502"/>
      <c r="B85" s="492"/>
      <c r="C85" s="509"/>
      <c r="D85" s="485"/>
      <c r="E85" s="485"/>
      <c r="F85" s="485"/>
      <c r="G85" s="485"/>
      <c r="H85" s="485"/>
      <c r="I85" s="485"/>
      <c r="J85" s="485"/>
      <c r="K85" s="485"/>
      <c r="L85" s="485"/>
      <c r="M85" s="486"/>
      <c r="N85" s="935"/>
      <c r="O85" s="935"/>
      <c r="P85" s="507"/>
      <c r="Q85" s="508"/>
    </row>
    <row r="86" spans="1:17" ht="14.4" thickTop="1">
      <c r="A86" s="483"/>
      <c r="B86" s="495">
        <f>B28</f>
        <v>111</v>
      </c>
      <c r="C86" s="472"/>
      <c r="D86" s="472"/>
      <c r="E86" s="472"/>
      <c r="F86" s="472"/>
      <c r="G86" s="536"/>
      <c r="H86" s="536"/>
      <c r="I86" s="536"/>
      <c r="J86" s="536"/>
      <c r="K86" s="537"/>
      <c r="L86" s="538"/>
      <c r="M86" s="539"/>
      <c r="N86" s="933"/>
      <c r="O86" s="933"/>
      <c r="P86" s="42"/>
      <c r="Q86" s="453"/>
    </row>
    <row r="87" spans="1:17" ht="14.4" thickBot="1">
      <c r="A87" s="1928"/>
      <c r="B87" s="518"/>
      <c r="C87" s="519"/>
      <c r="D87" s="519"/>
      <c r="E87" s="519"/>
      <c r="F87" s="519"/>
      <c r="G87" s="540"/>
      <c r="H87" s="540"/>
      <c r="I87" s="540"/>
      <c r="J87" s="540"/>
      <c r="K87" s="540"/>
      <c r="L87" s="540"/>
      <c r="M87" s="541"/>
      <c r="N87" s="934"/>
      <c r="O87" s="934"/>
      <c r="P87" s="42"/>
      <c r="Q87" s="453"/>
    </row>
    <row r="88" spans="1:17" ht="14.4">
      <c r="A88" s="476" t="s">
        <v>1694</v>
      </c>
      <c r="B88" s="477" t="s">
        <v>1736</v>
      </c>
      <c r="C88" s="479"/>
      <c r="D88" s="479"/>
      <c r="E88" s="479"/>
      <c r="F88" s="479"/>
      <c r="G88" s="479"/>
      <c r="H88" s="479"/>
      <c r="I88" s="479"/>
      <c r="J88" s="479"/>
      <c r="K88" s="480"/>
      <c r="L88" s="481"/>
      <c r="M88" s="482"/>
      <c r="N88" s="933"/>
      <c r="O88" s="933"/>
      <c r="P88" s="42"/>
      <c r="Q88" s="453"/>
    </row>
    <row r="89" spans="1:17" ht="14.4"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4.4"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4.4"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4.4"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4.4"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4.4"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4.4"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4.4"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29.4"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4.4"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4.4"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4.4" thickBot="1">
      <c r="A109" s="502"/>
      <c r="B109" s="484"/>
      <c r="C109" s="509"/>
      <c r="D109" s="485"/>
      <c r="E109" s="485"/>
      <c r="F109" s="485"/>
      <c r="G109" s="509"/>
      <c r="H109" s="511"/>
      <c r="I109" s="511"/>
      <c r="J109" s="511"/>
      <c r="K109" s="511"/>
      <c r="L109" s="511"/>
      <c r="M109" s="512"/>
      <c r="N109" s="935"/>
      <c r="O109" s="935"/>
      <c r="P109" s="507"/>
      <c r="Q109" s="508"/>
    </row>
    <row r="110" spans="1:17" ht="14.4" thickTop="1">
      <c r="A110" s="548"/>
      <c r="B110" s="487">
        <f>B39</f>
        <v>111</v>
      </c>
      <c r="C110" s="503"/>
      <c r="D110" s="503"/>
      <c r="E110" s="503"/>
      <c r="F110" s="503"/>
      <c r="G110" s="503"/>
      <c r="H110" s="504"/>
      <c r="I110" s="504"/>
      <c r="J110" s="504"/>
      <c r="K110" s="504"/>
      <c r="L110" s="505"/>
      <c r="M110" s="506"/>
      <c r="N110" s="933"/>
      <c r="O110" s="933"/>
      <c r="P110" s="42"/>
      <c r="Q110" s="453"/>
    </row>
    <row r="111" spans="1:17" ht="14.4" thickBot="1">
      <c r="A111" s="483"/>
      <c r="B111" s="492"/>
      <c r="C111" s="509"/>
      <c r="D111" s="485"/>
      <c r="E111" s="485"/>
      <c r="F111" s="485"/>
      <c r="G111" s="509"/>
      <c r="H111" s="511"/>
      <c r="I111" s="511"/>
      <c r="J111" s="511"/>
      <c r="K111" s="511"/>
      <c r="L111" s="511"/>
      <c r="M111" s="512"/>
      <c r="N111" s="934"/>
      <c r="O111" s="934"/>
      <c r="P111" s="42"/>
      <c r="Q111" s="453"/>
    </row>
    <row r="112" spans="1:17" ht="14.4" thickTop="1">
      <c r="A112" s="548"/>
      <c r="B112" s="495">
        <f>B40</f>
        <v>111</v>
      </c>
      <c r="C112" s="472"/>
      <c r="D112" s="472"/>
      <c r="E112" s="472"/>
      <c r="F112" s="472"/>
      <c r="G112" s="536"/>
      <c r="H112" s="536"/>
      <c r="I112" s="536"/>
      <c r="J112" s="536"/>
      <c r="K112" s="472"/>
      <c r="L112" s="473"/>
      <c r="M112" s="539"/>
      <c r="N112" s="933"/>
      <c r="O112" s="933"/>
      <c r="P112" s="42"/>
      <c r="Q112" s="453"/>
    </row>
    <row r="113" spans="1:17" ht="14.4"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3.8"/>
  <cols>
    <col min="1" max="1" width="10.441406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5.44140625" style="357" customWidth="1"/>
    <col min="10" max="10" width="12.21875" style="357" customWidth="1"/>
    <col min="11" max="11" width="12.21875" style="444" customWidth="1"/>
    <col min="12" max="12" width="12.21875" style="445" customWidth="1"/>
    <col min="13" max="15" width="12.21875" style="357" customWidth="1"/>
    <col min="16" max="16" width="4.77734375" style="906"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3" customFormat="1" ht="28.5" customHeight="1" thickBot="1">
      <c r="A1" s="1222" t="s">
        <v>1831</v>
      </c>
      <c r="B1" s="1223" t="s">
        <v>3337</v>
      </c>
      <c r="C1" s="1224" t="s">
        <v>1662</v>
      </c>
      <c r="D1" s="1225"/>
      <c r="E1" s="3433"/>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4.4">
      <c r="A4" s="355" t="s">
        <v>1769</v>
      </c>
      <c r="B4" s="356"/>
      <c r="C4" s="3853" t="s">
        <v>1770</v>
      </c>
      <c r="D4" s="3854"/>
      <c r="E4" s="3855" t="s">
        <v>1771</v>
      </c>
      <c r="F4" s="3856"/>
      <c r="G4" s="3853" t="s">
        <v>1772</v>
      </c>
      <c r="H4" s="3854"/>
      <c r="I4" s="3853" t="s">
        <v>1773</v>
      </c>
      <c r="J4" s="3854"/>
      <c r="K4" s="559" t="s">
        <v>1774</v>
      </c>
      <c r="L4" s="2715"/>
      <c r="M4" s="2716"/>
      <c r="N4" s="2716"/>
      <c r="O4" s="2716"/>
      <c r="P4" s="3857" t="s">
        <v>1775</v>
      </c>
      <c r="Q4" s="3858"/>
      <c r="R4" s="3863" t="s">
        <v>1771</v>
      </c>
      <c r="S4" s="3864"/>
      <c r="T4" s="3863" t="s">
        <v>1772</v>
      </c>
      <c r="U4" s="3864"/>
      <c r="V4" s="3877" t="s">
        <v>1773</v>
      </c>
      <c r="W4" s="3877"/>
      <c r="X4" s="1355"/>
      <c r="Y4" s="3863" t="s">
        <v>1775</v>
      </c>
      <c r="Z4" s="3864"/>
      <c r="AA4" s="3850" t="s">
        <v>1771</v>
      </c>
      <c r="AB4" s="3851" t="s">
        <v>1772</v>
      </c>
      <c r="AC4" s="3850" t="s">
        <v>1773</v>
      </c>
    </row>
    <row r="5" spans="1:29">
      <c r="A5" s="358"/>
      <c r="B5" s="359"/>
      <c r="C5" s="3896" t="s">
        <v>1673</v>
      </c>
      <c r="D5" s="3868"/>
      <c r="E5" s="3926" t="s">
        <v>1674</v>
      </c>
      <c r="F5" s="3870"/>
      <c r="G5" s="3896" t="s">
        <v>1675</v>
      </c>
      <c r="H5" s="3868"/>
      <c r="I5" s="3896" t="s">
        <v>1676</v>
      </c>
      <c r="J5" s="3868"/>
      <c r="K5" s="559"/>
      <c r="L5" s="2715"/>
      <c r="M5" s="2716"/>
      <c r="N5" s="2716"/>
      <c r="O5" s="2716"/>
      <c r="P5" s="3859"/>
      <c r="Q5" s="3860"/>
      <c r="R5" s="3865"/>
      <c r="S5" s="3866"/>
      <c r="T5" s="3865"/>
      <c r="U5" s="3866"/>
      <c r="V5" s="3877"/>
      <c r="W5" s="3877"/>
      <c r="X5" s="1355"/>
      <c r="Y5" s="3865"/>
      <c r="Z5" s="3866"/>
      <c r="AA5" s="3851"/>
      <c r="AB5" s="3851"/>
      <c r="AC5" s="3851"/>
    </row>
    <row r="6" spans="1:29" ht="15" thickBot="1">
      <c r="A6" s="360"/>
      <c r="B6" s="361"/>
      <c r="C6" s="3871" t="s">
        <v>1677</v>
      </c>
      <c r="D6" s="3872"/>
      <c r="E6" s="3873" t="s">
        <v>1677</v>
      </c>
      <c r="F6" s="3874"/>
      <c r="G6" s="3871" t="s">
        <v>1677</v>
      </c>
      <c r="H6" s="3872"/>
      <c r="I6" s="3871" t="s">
        <v>1677</v>
      </c>
      <c r="J6" s="3872"/>
      <c r="K6" s="559" t="s">
        <v>1678</v>
      </c>
      <c r="L6" s="2715"/>
      <c r="M6" s="2716"/>
      <c r="N6" s="2716"/>
      <c r="O6" s="2716"/>
      <c r="P6" s="3861"/>
      <c r="Q6" s="3862"/>
      <c r="R6" s="3865"/>
      <c r="S6" s="3866"/>
      <c r="T6" s="3875"/>
      <c r="U6" s="3876"/>
      <c r="V6" s="3877"/>
      <c r="W6" s="3877"/>
      <c r="X6" s="1355"/>
      <c r="Y6" s="3875"/>
      <c r="Z6" s="3876"/>
      <c r="AA6" s="3852"/>
      <c r="AB6" s="3852"/>
      <c r="AC6" s="3852"/>
    </row>
    <row r="7" spans="1:29" s="108" customFormat="1" ht="15" thickBot="1">
      <c r="A7" s="362" t="s">
        <v>1679</v>
      </c>
      <c r="B7" s="363"/>
      <c r="C7" s="364">
        <f>'数据-取费表'!B2</f>
        <v>45478</v>
      </c>
      <c r="D7" s="365">
        <v>100</v>
      </c>
      <c r="E7" s="366"/>
      <c r="F7" s="367">
        <f>SUMIF(48:48,YEAR(E7)&amp;"-"&amp;MONTH(E7),49:49)</f>
        <v>0</v>
      </c>
      <c r="G7" s="366"/>
      <c r="H7" s="365">
        <f>SUMIF(48:48,YEAR(G7)&amp;"-"&amp;MONTH(G7),49:49)</f>
        <v>0</v>
      </c>
      <c r="I7" s="366"/>
      <c r="J7" s="365">
        <f>SUMIF(48:48,YEAR(I7)&amp;"-"&amp;MONTH(I7),49:49)</f>
        <v>0</v>
      </c>
      <c r="K7" s="560"/>
      <c r="L7" s="2717"/>
      <c r="M7" s="2718"/>
      <c r="N7" s="2718"/>
      <c r="O7" s="2718"/>
      <c r="P7" s="3878" t="s">
        <v>1680</v>
      </c>
      <c r="Q7" s="3879"/>
      <c r="R7" s="701" t="s">
        <v>14</v>
      </c>
      <c r="S7" s="702">
        <f t="shared" ref="S7:S14" si="0">F7</f>
        <v>0</v>
      </c>
      <c r="T7" s="701" t="s">
        <v>14</v>
      </c>
      <c r="U7" s="702">
        <f t="shared" ref="U7:U14" si="1">H7</f>
        <v>0</v>
      </c>
      <c r="V7" s="701" t="s">
        <v>14</v>
      </c>
      <c r="W7" s="702">
        <f t="shared" ref="W7:W14" si="2">J7</f>
        <v>0</v>
      </c>
      <c r="X7" s="703"/>
      <c r="Y7" s="3878" t="s">
        <v>1680</v>
      </c>
      <c r="Z7" s="3880"/>
      <c r="AA7" s="704" t="e">
        <f>D7/F7</f>
        <v>#DIV/0!</v>
      </c>
      <c r="AB7" s="704" t="e">
        <f>D7/H7</f>
        <v>#DIV/0!</v>
      </c>
      <c r="AC7" s="704" t="e">
        <f>D7/J7</f>
        <v>#DIV/0!</v>
      </c>
    </row>
    <row r="8" spans="1:29" s="108" customFormat="1" ht="1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878" t="s">
        <v>1683</v>
      </c>
      <c r="Q8" s="3880"/>
      <c r="R8" s="701" t="s">
        <v>14</v>
      </c>
      <c r="S8" s="702">
        <f t="shared" si="0"/>
        <v>100</v>
      </c>
      <c r="T8" s="701" t="s">
        <v>14</v>
      </c>
      <c r="U8" s="702">
        <f t="shared" si="1"/>
        <v>100</v>
      </c>
      <c r="V8" s="701" t="s">
        <v>14</v>
      </c>
      <c r="W8" s="702">
        <f t="shared" si="2"/>
        <v>100</v>
      </c>
      <c r="X8" s="703"/>
      <c r="Y8" s="3878" t="s">
        <v>1683</v>
      </c>
      <c r="Z8" s="3880"/>
      <c r="AA8" s="704">
        <f t="shared" ref="AA8:AA36" si="3">D8/F8</f>
        <v>1</v>
      </c>
      <c r="AB8" s="704">
        <f t="shared" ref="AB8:AB36" si="4">D8/H8</f>
        <v>1</v>
      </c>
      <c r="AC8" s="704">
        <f t="shared" ref="AC8:AC36" si="5">D8/J8</f>
        <v>1</v>
      </c>
    </row>
    <row r="9" spans="1:29" s="108" customFormat="1" ht="14.4">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891" t="s">
        <v>1686</v>
      </c>
      <c r="Q9" s="1343" t="str">
        <f t="shared" ref="Q9:Q14" si="6">B9</f>
        <v>用途</v>
      </c>
      <c r="R9" s="701" t="s">
        <v>14</v>
      </c>
      <c r="S9" s="702">
        <f t="shared" si="0"/>
        <v>100</v>
      </c>
      <c r="T9" s="701" t="s">
        <v>14</v>
      </c>
      <c r="U9" s="702">
        <f t="shared" si="1"/>
        <v>100</v>
      </c>
      <c r="V9" s="701" t="s">
        <v>14</v>
      </c>
      <c r="W9" s="702">
        <f t="shared" si="2"/>
        <v>100</v>
      </c>
      <c r="X9" s="703"/>
      <c r="Y9" s="3706" t="s">
        <v>1687</v>
      </c>
      <c r="Z9" s="52" t="str">
        <f t="shared" ref="Z9:Z14" si="7">Q9</f>
        <v>用途</v>
      </c>
      <c r="AA9" s="704">
        <f t="shared" si="3"/>
        <v>1</v>
      </c>
      <c r="AB9" s="704">
        <f t="shared" si="4"/>
        <v>1</v>
      </c>
      <c r="AC9" s="704">
        <f t="shared" si="5"/>
        <v>1</v>
      </c>
    </row>
    <row r="10" spans="1:29" s="378" customFormat="1" ht="28.8">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891"/>
      <c r="Q10" s="1343" t="str">
        <f t="shared" si="6"/>
        <v>土地使用年限（年）</v>
      </c>
      <c r="R10" s="701" t="s">
        <v>14</v>
      </c>
      <c r="S10" s="702">
        <f t="shared" si="0"/>
        <v>100</v>
      </c>
      <c r="T10" s="701" t="s">
        <v>14</v>
      </c>
      <c r="U10" s="702">
        <f t="shared" si="1"/>
        <v>100</v>
      </c>
      <c r="V10" s="701" t="s">
        <v>14</v>
      </c>
      <c r="W10" s="702">
        <f t="shared" si="2"/>
        <v>100</v>
      </c>
      <c r="X10" s="703"/>
      <c r="Y10" s="3706"/>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891"/>
      <c r="Q11" s="1343">
        <f t="shared" si="6"/>
        <v>111</v>
      </c>
      <c r="R11" s="701" t="s">
        <v>14</v>
      </c>
      <c r="S11" s="702">
        <f t="shared" si="0"/>
        <v>100</v>
      </c>
      <c r="T11" s="701" t="s">
        <v>14</v>
      </c>
      <c r="U11" s="702">
        <f t="shared" si="1"/>
        <v>100</v>
      </c>
      <c r="V11" s="701" t="s">
        <v>14</v>
      </c>
      <c r="W11" s="702">
        <f t="shared" si="2"/>
        <v>100</v>
      </c>
      <c r="X11" s="703"/>
      <c r="Y11" s="3706"/>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891"/>
      <c r="Q12" s="1343">
        <f t="shared" si="6"/>
        <v>111</v>
      </c>
      <c r="R12" s="701" t="s">
        <v>14</v>
      </c>
      <c r="S12" s="702">
        <f t="shared" si="0"/>
        <v>100</v>
      </c>
      <c r="T12" s="701" t="s">
        <v>14</v>
      </c>
      <c r="U12" s="702">
        <f t="shared" si="1"/>
        <v>100</v>
      </c>
      <c r="V12" s="701" t="s">
        <v>14</v>
      </c>
      <c r="W12" s="702">
        <f t="shared" si="2"/>
        <v>100</v>
      </c>
      <c r="X12" s="703"/>
      <c r="Y12" s="3706"/>
      <c r="Z12" s="52">
        <f t="shared" si="7"/>
        <v>111</v>
      </c>
      <c r="AA12" s="704">
        <f>D12/F12</f>
        <v>1</v>
      </c>
      <c r="AB12" s="704">
        <f>D12/H12</f>
        <v>1</v>
      </c>
      <c r="AC12" s="704">
        <f>D12/J12</f>
        <v>1</v>
      </c>
    </row>
    <row r="13" spans="1:29" ht="15.6"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891"/>
      <c r="Q13" s="1343">
        <f t="shared" si="6"/>
        <v>111</v>
      </c>
      <c r="R13" s="701" t="s">
        <v>14</v>
      </c>
      <c r="S13" s="702">
        <f t="shared" si="0"/>
        <v>100</v>
      </c>
      <c r="T13" s="701" t="s">
        <v>14</v>
      </c>
      <c r="U13" s="702">
        <f t="shared" si="1"/>
        <v>100</v>
      </c>
      <c r="V13" s="701" t="s">
        <v>14</v>
      </c>
      <c r="W13" s="702">
        <f t="shared" si="2"/>
        <v>100</v>
      </c>
      <c r="X13" s="703"/>
      <c r="Y13" s="3706"/>
      <c r="Z13" s="52">
        <f t="shared" si="7"/>
        <v>111</v>
      </c>
      <c r="AA13" s="704">
        <f t="shared" si="3"/>
        <v>1</v>
      </c>
      <c r="AB13" s="704">
        <f t="shared" si="4"/>
        <v>1</v>
      </c>
      <c r="AC13" s="704">
        <f t="shared" si="5"/>
        <v>1</v>
      </c>
    </row>
    <row r="14" spans="1:29" ht="96.6">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884" t="s">
        <v>1691</v>
      </c>
      <c r="Q14" s="1352" t="str">
        <f t="shared" si="6"/>
        <v>交通便捷度</v>
      </c>
      <c r="R14" s="705" t="s">
        <v>14</v>
      </c>
      <c r="S14" s="706">
        <f t="shared" si="0"/>
        <v>100</v>
      </c>
      <c r="T14" s="705" t="s">
        <v>14</v>
      </c>
      <c r="U14" s="706">
        <f t="shared" si="1"/>
        <v>100</v>
      </c>
      <c r="V14" s="705" t="s">
        <v>14</v>
      </c>
      <c r="W14" s="706">
        <f t="shared" si="2"/>
        <v>100</v>
      </c>
      <c r="X14" s="1355"/>
      <c r="Y14" s="3884"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885"/>
      <c r="Q15" s="1352"/>
      <c r="R15" s="705"/>
      <c r="S15" s="706"/>
      <c r="T15" s="705"/>
      <c r="U15" s="706"/>
      <c r="V15" s="705"/>
      <c r="W15" s="706"/>
      <c r="X15" s="1355"/>
      <c r="Y15" s="3885"/>
      <c r="Z15" s="1356"/>
      <c r="AA15" s="1353">
        <v>1</v>
      </c>
      <c r="AB15" s="1353">
        <v>1</v>
      </c>
      <c r="AC15" s="1353">
        <v>1</v>
      </c>
    </row>
    <row r="16" spans="1:29" ht="41.4">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885"/>
      <c r="Q16" s="1352" t="str">
        <f>B16</f>
        <v>公共配套设施</v>
      </c>
      <c r="R16" s="705" t="s">
        <v>14</v>
      </c>
      <c r="S16" s="706">
        <f>F16</f>
        <v>100</v>
      </c>
      <c r="T16" s="705" t="s">
        <v>14</v>
      </c>
      <c r="U16" s="706">
        <f>H16</f>
        <v>100</v>
      </c>
      <c r="V16" s="705" t="s">
        <v>14</v>
      </c>
      <c r="W16" s="706">
        <f>J16</f>
        <v>100</v>
      </c>
      <c r="X16" s="1355"/>
      <c r="Y16" s="3885"/>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885"/>
      <c r="Q17" s="1352"/>
      <c r="R17" s="705"/>
      <c r="S17" s="706"/>
      <c r="T17" s="705"/>
      <c r="U17" s="706"/>
      <c r="V17" s="705"/>
      <c r="W17" s="706"/>
      <c r="X17" s="1355"/>
      <c r="Y17" s="3885"/>
      <c r="Z17" s="1356"/>
      <c r="AA17" s="1353">
        <v>1</v>
      </c>
      <c r="AB17" s="1353">
        <v>1</v>
      </c>
      <c r="AC17" s="1353">
        <v>1</v>
      </c>
    </row>
    <row r="18" spans="1:29" ht="41.4">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885"/>
      <c r="Q18" s="1352" t="str">
        <f>B18</f>
        <v>基础设施水平</v>
      </c>
      <c r="R18" s="705" t="s">
        <v>14</v>
      </c>
      <c r="S18" s="706">
        <f>F18</f>
        <v>100</v>
      </c>
      <c r="T18" s="705" t="s">
        <v>14</v>
      </c>
      <c r="U18" s="706">
        <f>H18</f>
        <v>100</v>
      </c>
      <c r="V18" s="705" t="s">
        <v>14</v>
      </c>
      <c r="W18" s="706">
        <f>J18</f>
        <v>100</v>
      </c>
      <c r="X18" s="1355"/>
      <c r="Y18" s="3885"/>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885"/>
      <c r="Q19" s="1352"/>
      <c r="R19" s="705"/>
      <c r="S19" s="706"/>
      <c r="T19" s="705"/>
      <c r="U19" s="706"/>
      <c r="V19" s="705"/>
      <c r="W19" s="706"/>
      <c r="X19" s="1355"/>
      <c r="Y19" s="3885"/>
      <c r="Z19" s="1356"/>
      <c r="AA19" s="1353">
        <v>1</v>
      </c>
      <c r="AB19" s="1353">
        <v>1</v>
      </c>
      <c r="AC19" s="1353">
        <v>1</v>
      </c>
    </row>
    <row r="20" spans="1:29" ht="55.2">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885"/>
      <c r="Q20" s="1352" t="str">
        <f>B20</f>
        <v>自然及人文环境</v>
      </c>
      <c r="R20" s="705" t="s">
        <v>14</v>
      </c>
      <c r="S20" s="706">
        <f>F20</f>
        <v>100</v>
      </c>
      <c r="T20" s="705" t="s">
        <v>14</v>
      </c>
      <c r="U20" s="706">
        <f>H20</f>
        <v>100</v>
      </c>
      <c r="V20" s="705" t="s">
        <v>14</v>
      </c>
      <c r="W20" s="706">
        <f>J20</f>
        <v>100</v>
      </c>
      <c r="X20" s="1355"/>
      <c r="Y20" s="3885"/>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885"/>
      <c r="Q21" s="1352"/>
      <c r="R21" s="705"/>
      <c r="S21" s="706"/>
      <c r="T21" s="705"/>
      <c r="U21" s="706"/>
      <c r="V21" s="705"/>
      <c r="W21" s="706"/>
      <c r="X21" s="1355"/>
      <c r="Y21" s="3885"/>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885"/>
      <c r="Q22" s="1352" t="str">
        <f>B22</f>
        <v>楼层</v>
      </c>
      <c r="R22" s="705" t="s">
        <v>14</v>
      </c>
      <c r="S22" s="706">
        <f>F22</f>
        <v>100</v>
      </c>
      <c r="T22" s="705" t="s">
        <v>14</v>
      </c>
      <c r="U22" s="706">
        <f>H22</f>
        <v>100</v>
      </c>
      <c r="V22" s="705" t="s">
        <v>14</v>
      </c>
      <c r="W22" s="706">
        <f>J22</f>
        <v>100</v>
      </c>
      <c r="X22" s="1355"/>
      <c r="Y22" s="3885"/>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885"/>
      <c r="Q23" s="1352">
        <f>B23</f>
        <v>111</v>
      </c>
      <c r="R23" s="705" t="s">
        <v>14</v>
      </c>
      <c r="S23" s="706">
        <f>F23</f>
        <v>100</v>
      </c>
      <c r="T23" s="705" t="s">
        <v>14</v>
      </c>
      <c r="U23" s="706">
        <f>H23</f>
        <v>100</v>
      </c>
      <c r="V23" s="705" t="s">
        <v>14</v>
      </c>
      <c r="W23" s="706">
        <f>J23</f>
        <v>100</v>
      </c>
      <c r="X23" s="1355"/>
      <c r="Y23" s="3885"/>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885"/>
      <c r="Q24" s="1352">
        <f t="shared" ref="Q24:Q36" si="11">B24</f>
        <v>111</v>
      </c>
      <c r="R24" s="705" t="s">
        <v>14</v>
      </c>
      <c r="S24" s="706">
        <f>F24</f>
        <v>100</v>
      </c>
      <c r="T24" s="705" t="s">
        <v>14</v>
      </c>
      <c r="U24" s="706">
        <f>H24</f>
        <v>100</v>
      </c>
      <c r="V24" s="705" t="s">
        <v>14</v>
      </c>
      <c r="W24" s="706">
        <f>J24</f>
        <v>100</v>
      </c>
      <c r="X24" s="1355"/>
      <c r="Y24" s="3885"/>
      <c r="Z24" s="1356">
        <f>Q24</f>
        <v>111</v>
      </c>
      <c r="AA24" s="1353">
        <f t="shared" si="3"/>
        <v>1</v>
      </c>
      <c r="AB24" s="1353">
        <f t="shared" si="4"/>
        <v>1</v>
      </c>
      <c r="AC24" s="1353">
        <f t="shared" si="5"/>
        <v>1</v>
      </c>
    </row>
    <row r="25" spans="1:29" s="108" customFormat="1" ht="15.6"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885"/>
      <c r="Q25" s="1343">
        <f t="shared" si="11"/>
        <v>111</v>
      </c>
      <c r="R25" s="701" t="s">
        <v>14</v>
      </c>
      <c r="S25" s="702">
        <f>F25</f>
        <v>100</v>
      </c>
      <c r="T25" s="701" t="s">
        <v>14</v>
      </c>
      <c r="U25" s="702">
        <f>H25</f>
        <v>100</v>
      </c>
      <c r="V25" s="701" t="s">
        <v>14</v>
      </c>
      <c r="W25" s="702">
        <f>J25</f>
        <v>100</v>
      </c>
      <c r="X25" s="703"/>
      <c r="Y25" s="3885"/>
      <c r="Z25" s="52">
        <f>Q25</f>
        <v>111</v>
      </c>
      <c r="AA25" s="1353">
        <f>D25/F25</f>
        <v>1</v>
      </c>
      <c r="AB25" s="1353">
        <f>D25/H25</f>
        <v>1</v>
      </c>
      <c r="AC25" s="1353">
        <f>D25/J25</f>
        <v>1</v>
      </c>
    </row>
    <row r="26" spans="1:29" ht="30">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943"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889"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889"/>
      <c r="Q27" s="707" t="str">
        <f t="shared" si="11"/>
        <v>项目停车位配比</v>
      </c>
      <c r="R27" s="708" t="s">
        <v>14</v>
      </c>
      <c r="S27" s="709">
        <f t="shared" si="12"/>
        <v>100</v>
      </c>
      <c r="T27" s="708" t="s">
        <v>14</v>
      </c>
      <c r="U27" s="709">
        <f t="shared" si="13"/>
        <v>100</v>
      </c>
      <c r="V27" s="708" t="s">
        <v>14</v>
      </c>
      <c r="W27" s="709">
        <f t="shared" si="14"/>
        <v>100</v>
      </c>
      <c r="X27" s="710"/>
      <c r="Y27" s="3889"/>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889"/>
      <c r="Q28" s="1352" t="str">
        <f t="shared" si="11"/>
        <v>公共部分装修</v>
      </c>
      <c r="R28" s="705" t="s">
        <v>14</v>
      </c>
      <c r="S28" s="706">
        <f t="shared" si="12"/>
        <v>100</v>
      </c>
      <c r="T28" s="705" t="s">
        <v>14</v>
      </c>
      <c r="U28" s="706">
        <f t="shared" si="13"/>
        <v>100</v>
      </c>
      <c r="V28" s="705" t="s">
        <v>14</v>
      </c>
      <c r="W28" s="706">
        <f t="shared" si="14"/>
        <v>100</v>
      </c>
      <c r="X28" s="1355"/>
      <c r="Y28" s="3889"/>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889"/>
      <c r="Q29" s="1352" t="str">
        <f t="shared" si="11"/>
        <v>成新率</v>
      </c>
      <c r="R29" s="705" t="s">
        <v>14</v>
      </c>
      <c r="S29" s="706" t="e">
        <f t="shared" si="12"/>
        <v>#N/A</v>
      </c>
      <c r="T29" s="705" t="s">
        <v>14</v>
      </c>
      <c r="U29" s="706" t="e">
        <f t="shared" si="13"/>
        <v>#N/A</v>
      </c>
      <c r="V29" s="705" t="s">
        <v>14</v>
      </c>
      <c r="W29" s="706" t="e">
        <f t="shared" si="14"/>
        <v>#N/A</v>
      </c>
      <c r="X29" s="1355"/>
      <c r="Y29" s="3889"/>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889"/>
      <c r="Q30" s="1352" t="str">
        <f t="shared" si="11"/>
        <v>物业等级</v>
      </c>
      <c r="R30" s="705" t="s">
        <v>14</v>
      </c>
      <c r="S30" s="706">
        <f t="shared" si="12"/>
        <v>100</v>
      </c>
      <c r="T30" s="705" t="s">
        <v>14</v>
      </c>
      <c r="U30" s="706">
        <f t="shared" si="13"/>
        <v>100</v>
      </c>
      <c r="V30" s="705" t="s">
        <v>14</v>
      </c>
      <c r="W30" s="706">
        <f t="shared" si="14"/>
        <v>100</v>
      </c>
      <c r="X30" s="1355"/>
      <c r="Y30" s="3889"/>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889"/>
      <c r="Q31" s="1343" t="str">
        <f t="shared" si="11"/>
        <v>停车位面积</v>
      </c>
      <c r="R31" s="701" t="s">
        <v>14</v>
      </c>
      <c r="S31" s="702" t="e">
        <f t="shared" si="12"/>
        <v>#N/A</v>
      </c>
      <c r="T31" s="701" t="s">
        <v>14</v>
      </c>
      <c r="U31" s="702" t="e">
        <f t="shared" si="13"/>
        <v>#N/A</v>
      </c>
      <c r="V31" s="701" t="s">
        <v>14</v>
      </c>
      <c r="W31" s="702" t="e">
        <f t="shared" si="14"/>
        <v>#N/A</v>
      </c>
      <c r="X31" s="703"/>
      <c r="Y31" s="3889"/>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889" t="s">
        <v>1696</v>
      </c>
      <c r="Q32" s="1352" t="str">
        <f t="shared" si="11"/>
        <v>车位类型</v>
      </c>
      <c r="R32" s="705" t="s">
        <v>14</v>
      </c>
      <c r="S32" s="706">
        <f t="shared" si="12"/>
        <v>100</v>
      </c>
      <c r="T32" s="705" t="s">
        <v>14</v>
      </c>
      <c r="U32" s="706">
        <f t="shared" si="13"/>
        <v>100</v>
      </c>
      <c r="V32" s="705" t="s">
        <v>14</v>
      </c>
      <c r="W32" s="706">
        <f t="shared" si="14"/>
        <v>100</v>
      </c>
      <c r="X32" s="1355"/>
      <c r="Y32" s="3889"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889"/>
      <c r="Q33" s="1352" t="str">
        <f t="shared" si="11"/>
        <v>是否直接入户</v>
      </c>
      <c r="R33" s="705" t="s">
        <v>14</v>
      </c>
      <c r="S33" s="706">
        <f t="shared" si="12"/>
        <v>100</v>
      </c>
      <c r="T33" s="705" t="s">
        <v>14</v>
      </c>
      <c r="U33" s="706">
        <f t="shared" si="13"/>
        <v>100</v>
      </c>
      <c r="V33" s="705" t="s">
        <v>14</v>
      </c>
      <c r="W33" s="706">
        <f t="shared" si="14"/>
        <v>100</v>
      </c>
      <c r="X33" s="1355"/>
      <c r="Y33" s="3889"/>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889"/>
      <c r="Q34" s="1352">
        <f t="shared" si="11"/>
        <v>111</v>
      </c>
      <c r="R34" s="705" t="s">
        <v>14</v>
      </c>
      <c r="S34" s="706">
        <f t="shared" si="12"/>
        <v>100</v>
      </c>
      <c r="T34" s="705" t="s">
        <v>14</v>
      </c>
      <c r="U34" s="706">
        <f t="shared" si="13"/>
        <v>100</v>
      </c>
      <c r="V34" s="705" t="s">
        <v>14</v>
      </c>
      <c r="W34" s="706">
        <f t="shared" si="14"/>
        <v>100</v>
      </c>
      <c r="X34" s="1355"/>
      <c r="Y34" s="3889"/>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889"/>
      <c r="Q35" s="707">
        <f t="shared" si="11"/>
        <v>111</v>
      </c>
      <c r="R35" s="708" t="s">
        <v>14</v>
      </c>
      <c r="S35" s="709">
        <f t="shared" si="12"/>
        <v>100</v>
      </c>
      <c r="T35" s="708" t="s">
        <v>14</v>
      </c>
      <c r="U35" s="709">
        <f t="shared" si="13"/>
        <v>100</v>
      </c>
      <c r="V35" s="708" t="s">
        <v>14</v>
      </c>
      <c r="W35" s="709">
        <f t="shared" si="14"/>
        <v>100</v>
      </c>
      <c r="X35" s="710"/>
      <c r="Y35" s="3889"/>
      <c r="Z35" s="711">
        <f t="shared" si="15"/>
        <v>111</v>
      </c>
      <c r="AA35" s="1353">
        <f t="shared" si="3"/>
        <v>1</v>
      </c>
      <c r="AB35" s="1353">
        <f t="shared" si="4"/>
        <v>1</v>
      </c>
      <c r="AC35" s="1353">
        <f t="shared" si="5"/>
        <v>1</v>
      </c>
    </row>
    <row r="36" spans="1:29" ht="15.6"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889"/>
      <c r="Q36" s="1352">
        <f t="shared" si="11"/>
        <v>111</v>
      </c>
      <c r="R36" s="705" t="s">
        <v>14</v>
      </c>
      <c r="S36" s="706">
        <f t="shared" si="12"/>
        <v>100</v>
      </c>
      <c r="T36" s="705" t="s">
        <v>14</v>
      </c>
      <c r="U36" s="706">
        <f t="shared" si="13"/>
        <v>100</v>
      </c>
      <c r="V36" s="705" t="s">
        <v>14</v>
      </c>
      <c r="W36" s="706">
        <f t="shared" si="14"/>
        <v>100</v>
      </c>
      <c r="X36" s="1355"/>
      <c r="Y36" s="3889"/>
      <c r="Z36" s="1356">
        <f t="shared" si="15"/>
        <v>111</v>
      </c>
      <c r="AA36" s="1353">
        <f t="shared" si="3"/>
        <v>1</v>
      </c>
      <c r="AB36" s="1353">
        <f t="shared" si="4"/>
        <v>1</v>
      </c>
      <c r="AC36" s="1353">
        <f t="shared" si="5"/>
        <v>1</v>
      </c>
    </row>
    <row r="37" spans="1:29" ht="14.4">
      <c r="A37" s="430" t="s">
        <v>1844</v>
      </c>
      <c r="B37" s="1973" t="s">
        <v>3358</v>
      </c>
      <c r="C37" s="1154" t="s">
        <v>0</v>
      </c>
      <c r="D37" s="1155"/>
      <c r="E37" s="1156"/>
      <c r="F37" s="1157"/>
      <c r="G37" s="1158"/>
      <c r="H37" s="1159"/>
      <c r="I37" s="1156"/>
      <c r="J37" s="1159"/>
      <c r="K37" s="568"/>
      <c r="L37" s="2724"/>
      <c r="M37" s="2725"/>
      <c r="N37" s="2716"/>
      <c r="O37" s="2725"/>
      <c r="P37" s="3891" t="str">
        <f>A37</f>
        <v>成交单价</v>
      </c>
      <c r="Q37" s="3891"/>
      <c r="R37" s="3892">
        <f>E37</f>
        <v>0</v>
      </c>
      <c r="S37" s="3892"/>
      <c r="T37" s="3892">
        <f>G37</f>
        <v>0</v>
      </c>
      <c r="U37" s="3892"/>
      <c r="V37" s="3892">
        <f>I37</f>
        <v>0</v>
      </c>
      <c r="W37" s="3892"/>
      <c r="X37" s="690"/>
      <c r="Y37" s="712"/>
      <c r="Z37" s="690"/>
      <c r="AA37" s="690"/>
      <c r="AB37" s="690"/>
      <c r="AC37" s="690"/>
    </row>
    <row r="38" spans="1:29" ht="15" thickBot="1">
      <c r="A38" s="437" t="s">
        <v>1845</v>
      </c>
      <c r="B38" s="438" t="str">
        <f>B37</f>
        <v>元/平方米</v>
      </c>
      <c r="C38" s="1160" t="e">
        <f>R39</f>
        <v>#DIV/0!</v>
      </c>
      <c r="D38" s="2317" t="s">
        <v>2138</v>
      </c>
      <c r="E38" s="1161" t="e">
        <f>R38</f>
        <v>#DIV/0!</v>
      </c>
      <c r="F38" s="2318"/>
      <c r="G38" s="1160" t="e">
        <f>T38</f>
        <v>#DIV/0!</v>
      </c>
      <c r="H38" s="2318"/>
      <c r="I38" s="1161" t="e">
        <f>V38</f>
        <v>#DIV/0!</v>
      </c>
      <c r="J38" s="2318"/>
      <c r="K38" s="2320">
        <f>F38+H38+J38</f>
        <v>0</v>
      </c>
      <c r="L38" s="2724"/>
      <c r="M38" s="2725"/>
      <c r="N38" s="2725"/>
      <c r="O38" s="2725"/>
      <c r="P38" s="3891" t="str">
        <f>A38</f>
        <v>比较价值（元/平方米）</v>
      </c>
      <c r="Q38" s="3891"/>
      <c r="R38" s="3892" t="e">
        <f>IF(F1="售价",ROUND(PRODUCT(R37,AA7:AA36),0),ROUND(PRODUCT(R37,AA7:AA36),1))</f>
        <v>#DIV/0!</v>
      </c>
      <c r="S38" s="3892"/>
      <c r="T38" s="3892" t="e">
        <f>IF(F1="售价",ROUND(PRODUCT(T37,AB7:AB36),0),ROUND(PRODUCT(T37,AB7:AB36),1))</f>
        <v>#DIV/0!</v>
      </c>
      <c r="U38" s="3892"/>
      <c r="V38" s="3892" t="e">
        <f>IF(F1="售价",ROUND(PRODUCT(V37,AC7:AC36),0),ROUND(PRODUCT(V37,AC7:AC36),1))</f>
        <v>#DIV/0!</v>
      </c>
      <c r="W38" s="3892"/>
      <c r="X38" s="690"/>
      <c r="Y38" s="690"/>
      <c r="Z38" s="690"/>
      <c r="AA38" s="690"/>
      <c r="AB38" s="690"/>
      <c r="AC38" s="690"/>
    </row>
    <row r="39" spans="1:29" ht="15" thickBot="1">
      <c r="A39" s="441" t="s">
        <v>1846</v>
      </c>
      <c r="B39" s="442"/>
      <c r="C39" s="1163" t="e">
        <f>R39</f>
        <v>#DIV/0!</v>
      </c>
      <c r="D39" s="1163"/>
      <c r="E39" s="1163"/>
      <c r="F39" s="1163"/>
      <c r="G39" s="1163"/>
      <c r="H39" s="1163"/>
      <c r="I39" s="1163"/>
      <c r="J39" s="1163"/>
      <c r="K39" s="569"/>
      <c r="L39" s="2724"/>
      <c r="M39" s="2725"/>
      <c r="N39" s="2725"/>
      <c r="O39" s="2725"/>
      <c r="P39" s="3893" t="str">
        <f>A39</f>
        <v>估价对象XX用房的比较价值（楼面单价，元/平方米）</v>
      </c>
      <c r="Q39" s="3894"/>
      <c r="R39" s="3944" t="e">
        <f>IF(F1="售价",ROUND(IF(D38="简单平均",AVERAGE(R38:W38),R38*F38+T38*H38+V38*J38),0),ROUND(IF(D38="简单平均",AVERAGE(R38:V38),R38*F38+T38*H38+V38*J38),1))</f>
        <v>#DIV/0!</v>
      </c>
      <c r="S39" s="3944"/>
      <c r="T39" s="3944"/>
      <c r="U39" s="3944"/>
      <c r="V39" s="3944"/>
      <c r="W39" s="3944"/>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2.2"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4.4">
      <c r="A48" s="454" t="s">
        <v>1851</v>
      </c>
      <c r="B48" s="455"/>
      <c r="C48" s="1184" t="str">
        <f>YEAR(C7)&amp;"-"&amp;MONTH(C7)</f>
        <v>2024-7</v>
      </c>
      <c r="D48" s="1185">
        <f>EDATE(C48,-1)</f>
        <v>45444</v>
      </c>
      <c r="E48" s="1185">
        <f t="shared" ref="E48:O48" si="16">EDATE(D48,-1)</f>
        <v>45413</v>
      </c>
      <c r="F48" s="1185">
        <f t="shared" si="16"/>
        <v>45383</v>
      </c>
      <c r="G48" s="1185">
        <f t="shared" si="16"/>
        <v>45352</v>
      </c>
      <c r="H48" s="1185">
        <f t="shared" si="16"/>
        <v>45323</v>
      </c>
      <c r="I48" s="1185">
        <f t="shared" si="16"/>
        <v>45292</v>
      </c>
      <c r="J48" s="1185">
        <f t="shared" si="16"/>
        <v>45261</v>
      </c>
      <c r="K48" s="1185">
        <f t="shared" si="16"/>
        <v>45231</v>
      </c>
      <c r="L48" s="1185">
        <f t="shared" si="16"/>
        <v>45200</v>
      </c>
      <c r="M48" s="1185">
        <f t="shared" si="16"/>
        <v>45170</v>
      </c>
      <c r="N48" s="1185">
        <f t="shared" si="16"/>
        <v>45139</v>
      </c>
      <c r="O48" s="1185">
        <f t="shared" si="16"/>
        <v>45108</v>
      </c>
      <c r="P48" s="2759"/>
      <c r="Q48" s="2741"/>
      <c r="R48" s="2741"/>
      <c r="S48" s="2741"/>
      <c r="T48" s="2741"/>
      <c r="U48" s="2741"/>
      <c r="V48" s="2741"/>
      <c r="W48" s="2741"/>
      <c r="X48" s="2741"/>
      <c r="Y48" s="2741"/>
      <c r="Z48" s="2741"/>
      <c r="AA48" s="2741"/>
      <c r="AB48" s="2741"/>
      <c r="AC48" s="2741"/>
    </row>
    <row r="49" spans="1:29" s="108" customFormat="1">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4.4">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4.4"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ht="14.4">
      <c r="A53" s="476" t="s">
        <v>1719</v>
      </c>
      <c r="B53" s="477" t="s">
        <v>1685</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4.4"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9.4"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4.4"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4.4"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4.4"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4.4"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4.4"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4.4"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4.4"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4.4"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4.4"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4.4"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4.4"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4.4"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4.4"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4.4"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4.4"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4.4"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4.4"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4.4"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9.4" thickTop="1">
      <c r="A79" s="476" t="s">
        <v>1694</v>
      </c>
      <c r="B79" s="477" t="s">
        <v>1853</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4.4"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4.4"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4.4"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4.4"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4.4"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4.4"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4.4"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4.4"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4.4"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4.4"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4.4"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4.4"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4.4"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4.4"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4.4"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3.8"/>
  <cols>
    <col min="1" max="1" width="10.441406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3" customFormat="1" ht="28.5" customHeight="1" thickBot="1">
      <c r="A1" s="1222" t="s">
        <v>1831</v>
      </c>
      <c r="B1" s="1223" t="s">
        <v>3338</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4.4">
      <c r="A4" s="355" t="s">
        <v>1769</v>
      </c>
      <c r="B4" s="356"/>
      <c r="C4" s="3853" t="s">
        <v>1770</v>
      </c>
      <c r="D4" s="3854"/>
      <c r="E4" s="3855" t="s">
        <v>1771</v>
      </c>
      <c r="F4" s="3856"/>
      <c r="G4" s="3853" t="s">
        <v>1772</v>
      </c>
      <c r="H4" s="3854"/>
      <c r="I4" s="3853" t="s">
        <v>1773</v>
      </c>
      <c r="J4" s="3854"/>
      <c r="K4" s="559" t="s">
        <v>1774</v>
      </c>
      <c r="L4" s="2715"/>
      <c r="M4" s="2716"/>
      <c r="N4" s="2716"/>
      <c r="O4" s="2716"/>
      <c r="P4" s="3857" t="s">
        <v>1775</v>
      </c>
      <c r="Q4" s="3858"/>
      <c r="R4" s="3863" t="s">
        <v>1771</v>
      </c>
      <c r="S4" s="3864"/>
      <c r="T4" s="3863" t="s">
        <v>1772</v>
      </c>
      <c r="U4" s="3864"/>
      <c r="V4" s="3877" t="s">
        <v>1773</v>
      </c>
      <c r="W4" s="3877"/>
      <c r="X4" s="1355"/>
      <c r="Y4" s="3863" t="s">
        <v>1775</v>
      </c>
      <c r="Z4" s="3864"/>
      <c r="AA4" s="3850" t="s">
        <v>1771</v>
      </c>
      <c r="AB4" s="3851" t="s">
        <v>1772</v>
      </c>
      <c r="AC4" s="3850" t="s">
        <v>1773</v>
      </c>
    </row>
    <row r="5" spans="1:29">
      <c r="A5" s="358"/>
      <c r="B5" s="359"/>
      <c r="C5" s="3896" t="s">
        <v>1673</v>
      </c>
      <c r="D5" s="3868"/>
      <c r="E5" s="3926" t="s">
        <v>1674</v>
      </c>
      <c r="F5" s="3870"/>
      <c r="G5" s="3896" t="s">
        <v>1675</v>
      </c>
      <c r="H5" s="3868"/>
      <c r="I5" s="3896" t="s">
        <v>1676</v>
      </c>
      <c r="J5" s="3868"/>
      <c r="K5" s="559"/>
      <c r="L5" s="2715"/>
      <c r="M5" s="2716"/>
      <c r="N5" s="2716"/>
      <c r="O5" s="2716"/>
      <c r="P5" s="3859"/>
      <c r="Q5" s="3860"/>
      <c r="R5" s="3865"/>
      <c r="S5" s="3866"/>
      <c r="T5" s="3865"/>
      <c r="U5" s="3866"/>
      <c r="V5" s="3877"/>
      <c r="W5" s="3877"/>
      <c r="X5" s="1355"/>
      <c r="Y5" s="3865"/>
      <c r="Z5" s="3866"/>
      <c r="AA5" s="3851"/>
      <c r="AB5" s="3851"/>
      <c r="AC5" s="3851"/>
    </row>
    <row r="6" spans="1:29" ht="15" thickBot="1">
      <c r="A6" s="360"/>
      <c r="B6" s="361"/>
      <c r="C6" s="3871" t="s">
        <v>1677</v>
      </c>
      <c r="D6" s="3872"/>
      <c r="E6" s="3873" t="s">
        <v>1677</v>
      </c>
      <c r="F6" s="3874"/>
      <c r="G6" s="3871" t="s">
        <v>1677</v>
      </c>
      <c r="H6" s="3872"/>
      <c r="I6" s="3871" t="s">
        <v>1677</v>
      </c>
      <c r="J6" s="3872"/>
      <c r="K6" s="559" t="s">
        <v>1678</v>
      </c>
      <c r="L6" s="2715"/>
      <c r="M6" s="2716"/>
      <c r="N6" s="2716"/>
      <c r="O6" s="2716"/>
      <c r="P6" s="3861"/>
      <c r="Q6" s="3862"/>
      <c r="R6" s="3865"/>
      <c r="S6" s="3866"/>
      <c r="T6" s="3875"/>
      <c r="U6" s="3876"/>
      <c r="V6" s="3877"/>
      <c r="W6" s="3877"/>
      <c r="X6" s="1355"/>
      <c r="Y6" s="3875"/>
      <c r="Z6" s="3876"/>
      <c r="AA6" s="3852"/>
      <c r="AB6" s="3852"/>
      <c r="AC6" s="3852"/>
    </row>
    <row r="7" spans="1:29" s="108" customFormat="1" ht="15" thickBot="1">
      <c r="A7" s="362" t="s">
        <v>1679</v>
      </c>
      <c r="B7" s="363"/>
      <c r="C7" s="364">
        <f>'数据-取费表'!B2</f>
        <v>45478</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878" t="s">
        <v>1680</v>
      </c>
      <c r="Q7" s="3879"/>
      <c r="R7" s="701" t="s">
        <v>14</v>
      </c>
      <c r="S7" s="702">
        <f t="shared" ref="S7:S14" si="0">F7</f>
        <v>0</v>
      </c>
      <c r="T7" s="701" t="s">
        <v>14</v>
      </c>
      <c r="U7" s="702">
        <f t="shared" ref="U7:U14" si="1">H7</f>
        <v>0</v>
      </c>
      <c r="V7" s="701" t="s">
        <v>14</v>
      </c>
      <c r="W7" s="702">
        <f t="shared" ref="W7:W14" si="2">J7</f>
        <v>0</v>
      </c>
      <c r="X7" s="703"/>
      <c r="Y7" s="3878" t="s">
        <v>1680</v>
      </c>
      <c r="Z7" s="3880"/>
      <c r="AA7" s="704" t="e">
        <f>D7/F7</f>
        <v>#DIV/0!</v>
      </c>
      <c r="AB7" s="704" t="e">
        <f>D7/H7</f>
        <v>#DIV/0!</v>
      </c>
      <c r="AC7" s="704" t="e">
        <f>D7/J7</f>
        <v>#DIV/0!</v>
      </c>
    </row>
    <row r="8" spans="1:29" s="108" customFormat="1" ht="1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878" t="s">
        <v>1683</v>
      </c>
      <c r="Q8" s="3880"/>
      <c r="R8" s="701" t="s">
        <v>14</v>
      </c>
      <c r="S8" s="702">
        <f t="shared" si="0"/>
        <v>100</v>
      </c>
      <c r="T8" s="701" t="s">
        <v>14</v>
      </c>
      <c r="U8" s="702">
        <f t="shared" si="1"/>
        <v>100</v>
      </c>
      <c r="V8" s="701" t="s">
        <v>14</v>
      </c>
      <c r="W8" s="702">
        <f t="shared" si="2"/>
        <v>100</v>
      </c>
      <c r="X8" s="703"/>
      <c r="Y8" s="3878" t="s">
        <v>1683</v>
      </c>
      <c r="Z8" s="3880"/>
      <c r="AA8" s="704">
        <f t="shared" ref="AA8:AA34" si="3">D8/F8</f>
        <v>1</v>
      </c>
      <c r="AB8" s="704">
        <f t="shared" ref="AB8:AB34" si="4">D8/H8</f>
        <v>1</v>
      </c>
      <c r="AC8" s="704">
        <f t="shared" ref="AC8:AC34" si="5">D8/J8</f>
        <v>1</v>
      </c>
    </row>
    <row r="9" spans="1:29" s="108" customFormat="1" ht="14.4">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891" t="s">
        <v>1686</v>
      </c>
      <c r="Q9" s="1343" t="str">
        <f t="shared" ref="Q9:Q14" si="6">B9</f>
        <v>用途</v>
      </c>
      <c r="R9" s="701" t="s">
        <v>14</v>
      </c>
      <c r="S9" s="702">
        <f t="shared" si="0"/>
        <v>100</v>
      </c>
      <c r="T9" s="701" t="s">
        <v>14</v>
      </c>
      <c r="U9" s="702">
        <f t="shared" si="1"/>
        <v>100</v>
      </c>
      <c r="V9" s="701" t="s">
        <v>14</v>
      </c>
      <c r="W9" s="702">
        <f t="shared" si="2"/>
        <v>100</v>
      </c>
      <c r="X9" s="703"/>
      <c r="Y9" s="3706" t="s">
        <v>1687</v>
      </c>
      <c r="Z9" s="52" t="str">
        <f t="shared" ref="Z9:Z14" si="7">Q9</f>
        <v>用途</v>
      </c>
      <c r="AA9" s="704">
        <f t="shared" si="3"/>
        <v>1</v>
      </c>
      <c r="AB9" s="704">
        <f t="shared" si="4"/>
        <v>1</v>
      </c>
      <c r="AC9" s="704">
        <f t="shared" si="5"/>
        <v>1</v>
      </c>
    </row>
    <row r="10" spans="1:29" s="378" customFormat="1" ht="28.8">
      <c r="A10" s="374"/>
      <c r="B10" s="375" t="s">
        <v>1688</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891"/>
      <c r="Q10" s="1343" t="str">
        <f t="shared" si="6"/>
        <v>土地使用年限（年）</v>
      </c>
      <c r="R10" s="701" t="s">
        <v>14</v>
      </c>
      <c r="S10" s="702">
        <f t="shared" si="0"/>
        <v>100</v>
      </c>
      <c r="T10" s="701" t="s">
        <v>14</v>
      </c>
      <c r="U10" s="702">
        <f t="shared" si="1"/>
        <v>100</v>
      </c>
      <c r="V10" s="701" t="s">
        <v>14</v>
      </c>
      <c r="W10" s="702">
        <f t="shared" si="2"/>
        <v>100</v>
      </c>
      <c r="X10" s="703"/>
      <c r="Y10" s="3706"/>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891"/>
      <c r="Q11" s="1343">
        <f t="shared" si="6"/>
        <v>111</v>
      </c>
      <c r="R11" s="701" t="s">
        <v>14</v>
      </c>
      <c r="S11" s="702">
        <f t="shared" si="0"/>
        <v>100</v>
      </c>
      <c r="T11" s="701" t="s">
        <v>14</v>
      </c>
      <c r="U11" s="702">
        <f t="shared" si="1"/>
        <v>100</v>
      </c>
      <c r="V11" s="701" t="s">
        <v>14</v>
      </c>
      <c r="W11" s="702">
        <f t="shared" si="2"/>
        <v>100</v>
      </c>
      <c r="X11" s="703"/>
      <c r="Y11" s="3706"/>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891"/>
      <c r="Q12" s="1343">
        <f t="shared" si="6"/>
        <v>111</v>
      </c>
      <c r="R12" s="701" t="s">
        <v>14</v>
      </c>
      <c r="S12" s="702">
        <f t="shared" si="0"/>
        <v>100</v>
      </c>
      <c r="T12" s="701" t="s">
        <v>14</v>
      </c>
      <c r="U12" s="702">
        <f t="shared" si="1"/>
        <v>100</v>
      </c>
      <c r="V12" s="701" t="s">
        <v>14</v>
      </c>
      <c r="W12" s="702">
        <f t="shared" si="2"/>
        <v>100</v>
      </c>
      <c r="X12" s="703"/>
      <c r="Y12" s="3706"/>
      <c r="Z12" s="52">
        <f t="shared" si="7"/>
        <v>111</v>
      </c>
      <c r="AA12" s="704">
        <f>D12/F12</f>
        <v>1</v>
      </c>
      <c r="AB12" s="704">
        <f>D12/H12</f>
        <v>1</v>
      </c>
      <c r="AC12" s="704">
        <f>D12/J12</f>
        <v>1</v>
      </c>
    </row>
    <row r="13" spans="1:29" ht="15.6"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891"/>
      <c r="Q13" s="1343">
        <f t="shared" si="6"/>
        <v>111</v>
      </c>
      <c r="R13" s="701" t="s">
        <v>14</v>
      </c>
      <c r="S13" s="702">
        <f t="shared" si="0"/>
        <v>100</v>
      </c>
      <c r="T13" s="701" t="s">
        <v>14</v>
      </c>
      <c r="U13" s="702">
        <f t="shared" si="1"/>
        <v>100</v>
      </c>
      <c r="V13" s="701" t="s">
        <v>14</v>
      </c>
      <c r="W13" s="702">
        <f t="shared" si="2"/>
        <v>100</v>
      </c>
      <c r="X13" s="703"/>
      <c r="Y13" s="3706"/>
      <c r="Z13" s="52">
        <f t="shared" si="7"/>
        <v>111</v>
      </c>
      <c r="AA13" s="704">
        <f t="shared" si="3"/>
        <v>1</v>
      </c>
      <c r="AB13" s="704">
        <f t="shared" si="4"/>
        <v>1</v>
      </c>
      <c r="AC13" s="704">
        <f t="shared" si="5"/>
        <v>1</v>
      </c>
    </row>
    <row r="14" spans="1:29" ht="96.6">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884" t="s">
        <v>1691</v>
      </c>
      <c r="Q14" s="1352" t="str">
        <f t="shared" si="6"/>
        <v>交通便捷度</v>
      </c>
      <c r="R14" s="705" t="s">
        <v>14</v>
      </c>
      <c r="S14" s="706">
        <f t="shared" si="0"/>
        <v>100</v>
      </c>
      <c r="T14" s="705" t="s">
        <v>14</v>
      </c>
      <c r="U14" s="706">
        <f t="shared" si="1"/>
        <v>100</v>
      </c>
      <c r="V14" s="705" t="s">
        <v>14</v>
      </c>
      <c r="W14" s="706">
        <f t="shared" si="2"/>
        <v>100</v>
      </c>
      <c r="X14" s="1355"/>
      <c r="Y14" s="3884"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885"/>
      <c r="Q15" s="1352"/>
      <c r="R15" s="705"/>
      <c r="S15" s="706"/>
      <c r="T15" s="705"/>
      <c r="U15" s="706"/>
      <c r="V15" s="705"/>
      <c r="W15" s="706"/>
      <c r="X15" s="1355"/>
      <c r="Y15" s="3885"/>
      <c r="Z15" s="1356"/>
      <c r="AA15" s="1353">
        <v>1</v>
      </c>
      <c r="AB15" s="1353">
        <v>1</v>
      </c>
      <c r="AC15" s="1353">
        <v>1</v>
      </c>
    </row>
    <row r="16" spans="1:29" ht="41.4">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885"/>
      <c r="Q16" s="1352" t="str">
        <f>B16</f>
        <v>公共配套设施</v>
      </c>
      <c r="R16" s="705" t="s">
        <v>14</v>
      </c>
      <c r="S16" s="706">
        <f>F16</f>
        <v>100</v>
      </c>
      <c r="T16" s="705" t="s">
        <v>14</v>
      </c>
      <c r="U16" s="706">
        <f>H16</f>
        <v>100</v>
      </c>
      <c r="V16" s="705" t="s">
        <v>14</v>
      </c>
      <c r="W16" s="706">
        <f>J16</f>
        <v>100</v>
      </c>
      <c r="X16" s="1355"/>
      <c r="Y16" s="3885"/>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885"/>
      <c r="Q17" s="1352"/>
      <c r="R17" s="705"/>
      <c r="S17" s="706"/>
      <c r="T17" s="705"/>
      <c r="U17" s="706"/>
      <c r="V17" s="705"/>
      <c r="W17" s="706"/>
      <c r="X17" s="1355"/>
      <c r="Y17" s="3885"/>
      <c r="Z17" s="1356"/>
      <c r="AA17" s="1353">
        <v>1</v>
      </c>
      <c r="AB17" s="1353">
        <v>1</v>
      </c>
      <c r="AC17" s="1353">
        <v>1</v>
      </c>
    </row>
    <row r="18" spans="1:29" ht="41.4">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885"/>
      <c r="Q18" s="1352" t="str">
        <f>B18</f>
        <v>基础设施水平</v>
      </c>
      <c r="R18" s="705" t="s">
        <v>14</v>
      </c>
      <c r="S18" s="706">
        <f>F18</f>
        <v>100</v>
      </c>
      <c r="T18" s="705" t="s">
        <v>14</v>
      </c>
      <c r="U18" s="706">
        <f>H18</f>
        <v>100</v>
      </c>
      <c r="V18" s="705" t="s">
        <v>14</v>
      </c>
      <c r="W18" s="706">
        <f>J18</f>
        <v>100</v>
      </c>
      <c r="X18" s="1355"/>
      <c r="Y18" s="3885"/>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885"/>
      <c r="Q19" s="1352"/>
      <c r="R19" s="705"/>
      <c r="S19" s="706"/>
      <c r="T19" s="705"/>
      <c r="U19" s="706"/>
      <c r="V19" s="705"/>
      <c r="W19" s="706"/>
      <c r="X19" s="1355"/>
      <c r="Y19" s="3885"/>
      <c r="Z19" s="1356"/>
      <c r="AA19" s="1353">
        <v>1</v>
      </c>
      <c r="AB19" s="1353">
        <v>1</v>
      </c>
      <c r="AC19" s="1353">
        <v>1</v>
      </c>
    </row>
    <row r="20" spans="1:29" ht="55.2">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885"/>
      <c r="Q20" s="1352" t="str">
        <f>B20</f>
        <v>自然及人文环境</v>
      </c>
      <c r="R20" s="705" t="s">
        <v>14</v>
      </c>
      <c r="S20" s="706">
        <f>F20</f>
        <v>100</v>
      </c>
      <c r="T20" s="705" t="s">
        <v>14</v>
      </c>
      <c r="U20" s="706">
        <f>H20</f>
        <v>100</v>
      </c>
      <c r="V20" s="705" t="s">
        <v>14</v>
      </c>
      <c r="W20" s="706">
        <f>J20</f>
        <v>100</v>
      </c>
      <c r="X20" s="1355"/>
      <c r="Y20" s="3885"/>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885"/>
      <c r="Q21" s="1352"/>
      <c r="R21" s="705"/>
      <c r="S21" s="706"/>
      <c r="T21" s="705"/>
      <c r="U21" s="706"/>
      <c r="V21" s="705"/>
      <c r="W21" s="706"/>
      <c r="X21" s="1355"/>
      <c r="Y21" s="3885"/>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885"/>
      <c r="Q22" s="1352" t="str">
        <f>B22</f>
        <v>楼层</v>
      </c>
      <c r="R22" s="705" t="s">
        <v>14</v>
      </c>
      <c r="S22" s="706">
        <f>F22</f>
        <v>100</v>
      </c>
      <c r="T22" s="705" t="s">
        <v>14</v>
      </c>
      <c r="U22" s="706">
        <f>H22</f>
        <v>100</v>
      </c>
      <c r="V22" s="705" t="s">
        <v>14</v>
      </c>
      <c r="W22" s="706">
        <f>J22</f>
        <v>100</v>
      </c>
      <c r="X22" s="1355"/>
      <c r="Y22" s="3885"/>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885"/>
      <c r="Q23" s="1352">
        <f>B23</f>
        <v>111</v>
      </c>
      <c r="R23" s="705" t="s">
        <v>14</v>
      </c>
      <c r="S23" s="706">
        <f>F23</f>
        <v>100</v>
      </c>
      <c r="T23" s="705" t="s">
        <v>14</v>
      </c>
      <c r="U23" s="706">
        <f>H23</f>
        <v>100</v>
      </c>
      <c r="V23" s="705" t="s">
        <v>14</v>
      </c>
      <c r="W23" s="706">
        <f>J23</f>
        <v>100</v>
      </c>
      <c r="X23" s="1355"/>
      <c r="Y23" s="3885"/>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885"/>
      <c r="Q24" s="1352">
        <f t="shared" ref="Q24:Q34" si="11">B24</f>
        <v>111</v>
      </c>
      <c r="R24" s="705" t="s">
        <v>14</v>
      </c>
      <c r="S24" s="706">
        <f>F24</f>
        <v>100</v>
      </c>
      <c r="T24" s="705" t="s">
        <v>14</v>
      </c>
      <c r="U24" s="706">
        <f>H24</f>
        <v>100</v>
      </c>
      <c r="V24" s="705" t="s">
        <v>14</v>
      </c>
      <c r="W24" s="706">
        <f>J24</f>
        <v>100</v>
      </c>
      <c r="X24" s="1355"/>
      <c r="Y24" s="3885"/>
      <c r="Z24" s="1356">
        <f>Q24</f>
        <v>111</v>
      </c>
      <c r="AA24" s="1353">
        <f t="shared" si="3"/>
        <v>1</v>
      </c>
      <c r="AB24" s="1353">
        <f t="shared" si="4"/>
        <v>1</v>
      </c>
      <c r="AC24" s="1353">
        <f t="shared" si="5"/>
        <v>1</v>
      </c>
    </row>
    <row r="25" spans="1:29" s="108" customFormat="1" ht="15.6"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885"/>
      <c r="Q25" s="1343">
        <f t="shared" si="11"/>
        <v>111</v>
      </c>
      <c r="R25" s="701" t="s">
        <v>14</v>
      </c>
      <c r="S25" s="702">
        <f>F25</f>
        <v>100</v>
      </c>
      <c r="T25" s="701" t="s">
        <v>14</v>
      </c>
      <c r="U25" s="702">
        <f>H25</f>
        <v>100</v>
      </c>
      <c r="V25" s="701" t="s">
        <v>14</v>
      </c>
      <c r="W25" s="702">
        <f>J25</f>
        <v>100</v>
      </c>
      <c r="X25" s="703"/>
      <c r="Y25" s="3885"/>
      <c r="Z25" s="52">
        <f>Q25</f>
        <v>111</v>
      </c>
      <c r="AA25" s="1353">
        <f>D25/F25</f>
        <v>1</v>
      </c>
      <c r="AB25" s="1353">
        <f>D25/H25</f>
        <v>1</v>
      </c>
      <c r="AC25" s="1353">
        <f>D25/J25</f>
        <v>1</v>
      </c>
    </row>
    <row r="26" spans="1:29" ht="30">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943"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889"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889"/>
      <c r="Q27" s="707" t="str">
        <f t="shared" si="11"/>
        <v>成新率</v>
      </c>
      <c r="R27" s="708" t="s">
        <v>14</v>
      </c>
      <c r="S27" s="709" t="e">
        <f t="shared" si="12"/>
        <v>#N/A</v>
      </c>
      <c r="T27" s="708" t="s">
        <v>14</v>
      </c>
      <c r="U27" s="709" t="e">
        <f t="shared" si="13"/>
        <v>#N/A</v>
      </c>
      <c r="V27" s="708" t="s">
        <v>14</v>
      </c>
      <c r="W27" s="709" t="e">
        <f t="shared" si="14"/>
        <v>#N/A</v>
      </c>
      <c r="X27" s="710"/>
      <c r="Y27" s="3889"/>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889"/>
      <c r="Q28" s="1352" t="str">
        <f t="shared" si="11"/>
        <v>物业等级</v>
      </c>
      <c r="R28" s="705" t="s">
        <v>14</v>
      </c>
      <c r="S28" s="706">
        <f t="shared" si="12"/>
        <v>100</v>
      </c>
      <c r="T28" s="705" t="s">
        <v>14</v>
      </c>
      <c r="U28" s="706">
        <f t="shared" si="13"/>
        <v>100</v>
      </c>
      <c r="V28" s="705" t="s">
        <v>14</v>
      </c>
      <c r="W28" s="706">
        <f t="shared" si="14"/>
        <v>100</v>
      </c>
      <c r="X28" s="1355"/>
      <c r="Y28" s="3889"/>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889"/>
      <c r="Q29" s="1352" t="str">
        <f t="shared" si="11"/>
        <v>有无电梯</v>
      </c>
      <c r="R29" s="705" t="s">
        <v>14</v>
      </c>
      <c r="S29" s="706">
        <f t="shared" si="12"/>
        <v>100</v>
      </c>
      <c r="T29" s="705" t="s">
        <v>14</v>
      </c>
      <c r="U29" s="706">
        <f t="shared" si="13"/>
        <v>100</v>
      </c>
      <c r="V29" s="705" t="s">
        <v>14</v>
      </c>
      <c r="W29" s="706">
        <f t="shared" si="14"/>
        <v>100</v>
      </c>
      <c r="X29" s="1355"/>
      <c r="Y29" s="3889"/>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889"/>
      <c r="Q30" s="1352" t="str">
        <f t="shared" si="11"/>
        <v>建筑面积</v>
      </c>
      <c r="R30" s="705" t="s">
        <v>14</v>
      </c>
      <c r="S30" s="706" t="e">
        <f t="shared" si="12"/>
        <v>#N/A</v>
      </c>
      <c r="T30" s="705" t="s">
        <v>14</v>
      </c>
      <c r="U30" s="706" t="e">
        <f t="shared" si="13"/>
        <v>#N/A</v>
      </c>
      <c r="V30" s="705" t="s">
        <v>14</v>
      </c>
      <c r="W30" s="706" t="e">
        <f t="shared" si="14"/>
        <v>#N/A</v>
      </c>
      <c r="X30" s="1355"/>
      <c r="Y30" s="3889"/>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889"/>
      <c r="Q31" s="1343" t="str">
        <f t="shared" si="11"/>
        <v>是否封闭</v>
      </c>
      <c r="R31" s="701" t="s">
        <v>14</v>
      </c>
      <c r="S31" s="702">
        <f t="shared" si="12"/>
        <v>100</v>
      </c>
      <c r="T31" s="701" t="s">
        <v>14</v>
      </c>
      <c r="U31" s="702">
        <f t="shared" si="13"/>
        <v>100</v>
      </c>
      <c r="V31" s="701" t="s">
        <v>14</v>
      </c>
      <c r="W31" s="702">
        <f t="shared" si="14"/>
        <v>100</v>
      </c>
      <c r="X31" s="703"/>
      <c r="Y31" s="3889"/>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889" t="s">
        <v>1696</v>
      </c>
      <c r="Q32" s="1352">
        <f t="shared" si="11"/>
        <v>111</v>
      </c>
      <c r="R32" s="705" t="s">
        <v>14</v>
      </c>
      <c r="S32" s="706">
        <f t="shared" si="12"/>
        <v>100</v>
      </c>
      <c r="T32" s="705" t="s">
        <v>14</v>
      </c>
      <c r="U32" s="706">
        <f t="shared" si="13"/>
        <v>100</v>
      </c>
      <c r="V32" s="705" t="s">
        <v>14</v>
      </c>
      <c r="W32" s="706">
        <f t="shared" si="14"/>
        <v>100</v>
      </c>
      <c r="X32" s="1355"/>
      <c r="Y32" s="3889"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889"/>
      <c r="Q33" s="1352">
        <f t="shared" si="11"/>
        <v>111</v>
      </c>
      <c r="R33" s="705" t="s">
        <v>14</v>
      </c>
      <c r="S33" s="706">
        <f t="shared" si="12"/>
        <v>100</v>
      </c>
      <c r="T33" s="705" t="s">
        <v>14</v>
      </c>
      <c r="U33" s="706">
        <f t="shared" si="13"/>
        <v>100</v>
      </c>
      <c r="V33" s="705" t="s">
        <v>14</v>
      </c>
      <c r="W33" s="706">
        <f t="shared" si="14"/>
        <v>100</v>
      </c>
      <c r="X33" s="1355"/>
      <c r="Y33" s="3889"/>
      <c r="Z33" s="1356">
        <f t="shared" si="15"/>
        <v>111</v>
      </c>
      <c r="AA33" s="1353">
        <f t="shared" si="3"/>
        <v>1</v>
      </c>
      <c r="AB33" s="1353">
        <f t="shared" si="4"/>
        <v>1</v>
      </c>
      <c r="AC33" s="1353">
        <f t="shared" si="5"/>
        <v>1</v>
      </c>
    </row>
    <row r="34" spans="1:30" ht="15.6"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889"/>
      <c r="Q34" s="1352">
        <f t="shared" si="11"/>
        <v>111</v>
      </c>
      <c r="R34" s="705" t="s">
        <v>14</v>
      </c>
      <c r="S34" s="706">
        <f t="shared" si="12"/>
        <v>100</v>
      </c>
      <c r="T34" s="705" t="s">
        <v>14</v>
      </c>
      <c r="U34" s="706">
        <f t="shared" si="13"/>
        <v>100</v>
      </c>
      <c r="V34" s="705" t="s">
        <v>14</v>
      </c>
      <c r="W34" s="706">
        <f t="shared" si="14"/>
        <v>100</v>
      </c>
      <c r="X34" s="1355"/>
      <c r="Y34" s="3889"/>
      <c r="Z34" s="1356">
        <f t="shared" si="15"/>
        <v>111</v>
      </c>
      <c r="AA34" s="1353">
        <f t="shared" si="3"/>
        <v>1</v>
      </c>
      <c r="AB34" s="1353">
        <f t="shared" si="4"/>
        <v>1</v>
      </c>
      <c r="AC34" s="1353">
        <f t="shared" si="5"/>
        <v>1</v>
      </c>
    </row>
    <row r="35" spans="1:30" ht="14.4">
      <c r="A35" s="430" t="s">
        <v>1708</v>
      </c>
      <c r="B35" s="431"/>
      <c r="C35" s="1154" t="s">
        <v>0</v>
      </c>
      <c r="D35" s="1155"/>
      <c r="E35" s="1156"/>
      <c r="F35" s="1157"/>
      <c r="G35" s="1158"/>
      <c r="H35" s="1159"/>
      <c r="I35" s="1156"/>
      <c r="J35" s="1159"/>
      <c r="K35" s="714"/>
      <c r="L35" s="2724"/>
      <c r="M35" s="2725"/>
      <c r="N35" s="2716"/>
      <c r="O35" s="2725"/>
      <c r="P35" s="3891" t="str">
        <f>A35</f>
        <v>成交单价（元/平方米）</v>
      </c>
      <c r="Q35" s="3891"/>
      <c r="R35" s="3892">
        <f>E35</f>
        <v>0</v>
      </c>
      <c r="S35" s="3892"/>
      <c r="T35" s="3892">
        <f>G35</f>
        <v>0</v>
      </c>
      <c r="U35" s="3892"/>
      <c r="V35" s="3892">
        <f>I35</f>
        <v>0</v>
      </c>
      <c r="W35" s="3892"/>
      <c r="X35" s="690"/>
      <c r="Y35" s="712"/>
      <c r="Z35" s="690"/>
      <c r="AA35" s="690"/>
      <c r="AB35" s="690"/>
      <c r="AC35" s="690"/>
    </row>
    <row r="36" spans="1:30" ht="15" thickBot="1">
      <c r="A36" s="437" t="s">
        <v>1793</v>
      </c>
      <c r="B36" s="438"/>
      <c r="C36" s="1160" t="e">
        <f>R37</f>
        <v>#DIV/0!</v>
      </c>
      <c r="D36" s="2317" t="s">
        <v>2138</v>
      </c>
      <c r="E36" s="1161" t="e">
        <f>R36</f>
        <v>#DIV/0!</v>
      </c>
      <c r="F36" s="2318"/>
      <c r="G36" s="1160" t="e">
        <f>T36</f>
        <v>#DIV/0!</v>
      </c>
      <c r="H36" s="2318"/>
      <c r="I36" s="1161" t="e">
        <f>V36</f>
        <v>#DIV/0!</v>
      </c>
      <c r="J36" s="2318"/>
      <c r="K36" s="2320">
        <f>F36+H36+J36</f>
        <v>0</v>
      </c>
      <c r="L36" s="2724"/>
      <c r="M36" s="2725"/>
      <c r="N36" s="2716"/>
      <c r="O36" s="2725"/>
      <c r="P36" s="3891" t="str">
        <f>A36</f>
        <v>比较价值（元/平方米）</v>
      </c>
      <c r="Q36" s="3891"/>
      <c r="R36" s="3892" t="e">
        <f>IF(F1="售价",ROUND(PRODUCT(R35,AA7:AA34),0),ROUND(PRODUCT(R35,AA7:AA34),1))</f>
        <v>#DIV/0!</v>
      </c>
      <c r="S36" s="3892"/>
      <c r="T36" s="3892" t="e">
        <f>IF(F1="售价",ROUND(PRODUCT(T35,AB7:AB34),0),ROUND(PRODUCT(T35,AB7:AB34),1))</f>
        <v>#DIV/0!</v>
      </c>
      <c r="U36" s="3892"/>
      <c r="V36" s="3892" t="e">
        <f>IF(F1="售价",ROUND(PRODUCT(V35,AC7:AC34),0),ROUND(PRODUCT(V35,AC7:AC34),1))</f>
        <v>#DIV/0!</v>
      </c>
      <c r="W36" s="3892"/>
      <c r="X36" s="690"/>
      <c r="Y36" s="690"/>
      <c r="Z36" s="690"/>
      <c r="AA36" s="690"/>
      <c r="AB36" s="690"/>
      <c r="AC36" s="690"/>
    </row>
    <row r="37" spans="1:30" ht="15" thickBot="1">
      <c r="A37" s="441" t="s">
        <v>1794</v>
      </c>
      <c r="B37" s="442"/>
      <c r="C37" s="1163" t="e">
        <f>R37</f>
        <v>#DIV/0!</v>
      </c>
      <c r="D37" s="1163"/>
      <c r="E37" s="1163"/>
      <c r="F37" s="1163"/>
      <c r="G37" s="1163"/>
      <c r="H37" s="1163"/>
      <c r="I37" s="1163"/>
      <c r="J37" s="1163"/>
      <c r="K37" s="715"/>
      <c r="L37" s="2724"/>
      <c r="M37" s="2725"/>
      <c r="N37" s="2725"/>
      <c r="O37" s="2725"/>
      <c r="P37" s="3893" t="str">
        <f>A37</f>
        <v>估价对象XX用房的比较价值（楼面单价，元/平方米）</v>
      </c>
      <c r="Q37" s="3894"/>
      <c r="R37" s="3944" t="e">
        <f>IF(F1="售价",ROUND(IF(D36="简单平均",AVERAGE(R36:W36),R36*F36+T36*H36+V36*J36),0),ROUND(IF(D36="简单平均",AVERAGE(R36:V36),R36*F36+T36*H36+V36*J36),1))</f>
        <v>#DIV/0!</v>
      </c>
      <c r="S37" s="3944"/>
      <c r="T37" s="3944"/>
      <c r="U37" s="3944"/>
      <c r="V37" s="3944"/>
      <c r="W37" s="3944"/>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2.2"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4.4">
      <c r="A46" s="454" t="s">
        <v>1679</v>
      </c>
      <c r="B46" s="455"/>
      <c r="C46" s="1184" t="str">
        <f>YEAR(C7)&amp;"-"&amp;MONTH(C7)</f>
        <v>2024-7</v>
      </c>
      <c r="D46" s="1185">
        <f>EDATE(C46,-1)</f>
        <v>45444</v>
      </c>
      <c r="E46" s="1185">
        <f t="shared" ref="E46:O46" si="16">EDATE(D46,-1)</f>
        <v>45413</v>
      </c>
      <c r="F46" s="1185">
        <f t="shared" si="16"/>
        <v>45383</v>
      </c>
      <c r="G46" s="1185">
        <f t="shared" si="16"/>
        <v>45352</v>
      </c>
      <c r="H46" s="1185">
        <f t="shared" si="16"/>
        <v>45323</v>
      </c>
      <c r="I46" s="1185">
        <f t="shared" si="16"/>
        <v>45292</v>
      </c>
      <c r="J46" s="1185">
        <f t="shared" si="16"/>
        <v>45261</v>
      </c>
      <c r="K46" s="1185">
        <f t="shared" si="16"/>
        <v>45231</v>
      </c>
      <c r="L46" s="1185">
        <f t="shared" si="16"/>
        <v>45200</v>
      </c>
      <c r="M46" s="1185">
        <f t="shared" si="16"/>
        <v>45170</v>
      </c>
      <c r="N46" s="1185">
        <f t="shared" si="16"/>
        <v>45139</v>
      </c>
      <c r="O46" s="1185">
        <f t="shared" si="16"/>
        <v>45108</v>
      </c>
      <c r="P46" s="2776"/>
      <c r="Q46" s="2741"/>
      <c r="R46" s="2741"/>
      <c r="S46" s="2741"/>
      <c r="T46" s="2741"/>
      <c r="U46" s="2741"/>
      <c r="V46" s="2741"/>
      <c r="W46" s="2741"/>
      <c r="X46" s="2741"/>
      <c r="Y46" s="2741"/>
      <c r="Z46" s="2741"/>
      <c r="AA46" s="2741"/>
      <c r="AB46" s="2741"/>
      <c r="AC46" s="2741"/>
      <c r="AD46" s="2741"/>
    </row>
    <row r="47" spans="1:30" s="108" customFormat="1">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4.4">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4.4"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ht="14.4">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4.4"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9.4"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4.4"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4.4"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4.4"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4.4"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4.4"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4.4"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4.4"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4.4"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9.4"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4.4"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4.4"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4.4"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4.4"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4.4"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4.4"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4.4"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4.4"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4.4"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4.4"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4.4"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4.4"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4.4"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4.4"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4.4"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4.4"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4.4"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4.4"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4.4"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4.4"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4.4"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4.4"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4.4"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3.8"/>
  <cols>
    <col min="1" max="1" width="14.33203125" style="357" customWidth="1"/>
    <col min="2" max="2" width="15.77734375" style="357" customWidth="1"/>
    <col min="3" max="3" width="14.33203125" style="357" customWidth="1"/>
    <col min="4" max="4" width="14.1093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4.4">
      <c r="A4" s="355" t="s">
        <v>1769</v>
      </c>
      <c r="B4" s="356"/>
      <c r="C4" s="3853" t="s">
        <v>1770</v>
      </c>
      <c r="D4" s="3854"/>
      <c r="E4" s="3855" t="s">
        <v>1771</v>
      </c>
      <c r="F4" s="3856"/>
      <c r="G4" s="3853" t="s">
        <v>1772</v>
      </c>
      <c r="H4" s="3854"/>
      <c r="I4" s="3853" t="s">
        <v>1773</v>
      </c>
      <c r="J4" s="3854"/>
      <c r="K4" s="559" t="s">
        <v>1774</v>
      </c>
      <c r="L4" s="2715"/>
      <c r="M4" s="2716"/>
      <c r="N4" s="2716"/>
      <c r="O4" s="2716"/>
      <c r="P4" s="3857" t="s">
        <v>1775</v>
      </c>
      <c r="Q4" s="3858"/>
      <c r="R4" s="3863" t="s">
        <v>1771</v>
      </c>
      <c r="S4" s="3864"/>
      <c r="T4" s="3863" t="s">
        <v>1772</v>
      </c>
      <c r="U4" s="3864"/>
      <c r="V4" s="3877" t="s">
        <v>1773</v>
      </c>
      <c r="W4" s="3877"/>
      <c r="X4" s="1355"/>
      <c r="Y4" s="3863" t="s">
        <v>1775</v>
      </c>
      <c r="Z4" s="3864"/>
      <c r="AA4" s="3850" t="s">
        <v>1771</v>
      </c>
      <c r="AB4" s="3851" t="s">
        <v>1772</v>
      </c>
      <c r="AC4" s="3850" t="s">
        <v>1773</v>
      </c>
    </row>
    <row r="5" spans="1:30">
      <c r="A5" s="358"/>
      <c r="B5" s="359"/>
      <c r="C5" s="3896" t="s">
        <v>1673</v>
      </c>
      <c r="D5" s="3868"/>
      <c r="E5" s="3926" t="s">
        <v>1674</v>
      </c>
      <c r="F5" s="3870"/>
      <c r="G5" s="3896" t="s">
        <v>1675</v>
      </c>
      <c r="H5" s="3868"/>
      <c r="I5" s="3896" t="s">
        <v>1676</v>
      </c>
      <c r="J5" s="3868"/>
      <c r="K5" s="559"/>
      <c r="L5" s="2715"/>
      <c r="M5" s="2716"/>
      <c r="N5" s="2716"/>
      <c r="O5" s="2716"/>
      <c r="P5" s="3859"/>
      <c r="Q5" s="3860"/>
      <c r="R5" s="3865"/>
      <c r="S5" s="3866"/>
      <c r="T5" s="3865"/>
      <c r="U5" s="3866"/>
      <c r="V5" s="3877"/>
      <c r="W5" s="3877"/>
      <c r="X5" s="1355"/>
      <c r="Y5" s="3865"/>
      <c r="Z5" s="3866"/>
      <c r="AA5" s="3851"/>
      <c r="AB5" s="3851"/>
      <c r="AC5" s="3851"/>
    </row>
    <row r="6" spans="1:30" ht="15" thickBot="1">
      <c r="A6" s="360"/>
      <c r="B6" s="361"/>
      <c r="C6" s="3871" t="s">
        <v>1677</v>
      </c>
      <c r="D6" s="3872"/>
      <c r="E6" s="3873" t="s">
        <v>1677</v>
      </c>
      <c r="F6" s="3874"/>
      <c r="G6" s="3871" t="s">
        <v>1677</v>
      </c>
      <c r="H6" s="3872"/>
      <c r="I6" s="3871" t="s">
        <v>1677</v>
      </c>
      <c r="J6" s="3872"/>
      <c r="K6" s="559" t="s">
        <v>1678</v>
      </c>
      <c r="L6" s="2715"/>
      <c r="M6" s="2716"/>
      <c r="N6" s="2716"/>
      <c r="O6" s="2716"/>
      <c r="P6" s="3861"/>
      <c r="Q6" s="3862"/>
      <c r="R6" s="3865"/>
      <c r="S6" s="3866"/>
      <c r="T6" s="3875"/>
      <c r="U6" s="3876"/>
      <c r="V6" s="3877"/>
      <c r="W6" s="3877"/>
      <c r="X6" s="1355"/>
      <c r="Y6" s="3875"/>
      <c r="Z6" s="3876"/>
      <c r="AA6" s="3852"/>
      <c r="AB6" s="3852"/>
      <c r="AC6" s="3852"/>
    </row>
    <row r="7" spans="1:30" s="108" customFormat="1" ht="15" thickBot="1">
      <c r="A7" s="362" t="s">
        <v>1679</v>
      </c>
      <c r="B7" s="363"/>
      <c r="C7" s="364">
        <f>'数据-取费表'!B2</f>
        <v>45478</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878" t="s">
        <v>1680</v>
      </c>
      <c r="Q7" s="3879"/>
      <c r="R7" s="701" t="s">
        <v>14</v>
      </c>
      <c r="S7" s="702">
        <f t="shared" ref="S7:S15" si="0">F7</f>
        <v>0</v>
      </c>
      <c r="T7" s="701" t="s">
        <v>14</v>
      </c>
      <c r="U7" s="702">
        <f t="shared" ref="U7:U15" si="1">H7</f>
        <v>0</v>
      </c>
      <c r="V7" s="701" t="s">
        <v>14</v>
      </c>
      <c r="W7" s="702">
        <f t="shared" ref="W7:W15" si="2">J7</f>
        <v>0</v>
      </c>
      <c r="X7" s="703"/>
      <c r="Y7" s="3878" t="s">
        <v>1680</v>
      </c>
      <c r="Z7" s="3880"/>
      <c r="AA7" s="704" t="e">
        <f>D7/F7</f>
        <v>#DIV/0!</v>
      </c>
      <c r="AB7" s="704" t="e">
        <f>D7/H7</f>
        <v>#DIV/0!</v>
      </c>
      <c r="AC7" s="704" t="e">
        <f>D7/J7</f>
        <v>#DIV/0!</v>
      </c>
    </row>
    <row r="8" spans="1:30" s="108" customFormat="1" ht="1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878" t="s">
        <v>1683</v>
      </c>
      <c r="Q8" s="3880"/>
      <c r="R8" s="701" t="s">
        <v>14</v>
      </c>
      <c r="S8" s="702">
        <f t="shared" si="0"/>
        <v>0</v>
      </c>
      <c r="T8" s="701" t="s">
        <v>14</v>
      </c>
      <c r="U8" s="702">
        <f t="shared" si="1"/>
        <v>0</v>
      </c>
      <c r="V8" s="701" t="s">
        <v>14</v>
      </c>
      <c r="W8" s="702">
        <f t="shared" si="2"/>
        <v>0</v>
      </c>
      <c r="X8" s="703"/>
      <c r="Y8" s="3878" t="s">
        <v>1683</v>
      </c>
      <c r="Z8" s="3880"/>
      <c r="AA8" s="704" t="e">
        <f t="shared" ref="AA8:AA45" si="3">D8/F8</f>
        <v>#DIV/0!</v>
      </c>
      <c r="AB8" s="704" t="e">
        <f t="shared" ref="AB8:AB45" si="4">D8/H8</f>
        <v>#DIV/0!</v>
      </c>
      <c r="AC8" s="704" t="e">
        <f t="shared" ref="AC8:AC45" si="5">D8/J8</f>
        <v>#DIV/0!</v>
      </c>
    </row>
    <row r="9" spans="1:30" s="108" customFormat="1" ht="14.4">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891" t="s">
        <v>1686</v>
      </c>
      <c r="Q9" s="1343" t="str">
        <f t="shared" ref="Q9:Q15" si="6">B9</f>
        <v>用途</v>
      </c>
      <c r="R9" s="701" t="s">
        <v>14</v>
      </c>
      <c r="S9" s="702">
        <f t="shared" si="0"/>
        <v>100</v>
      </c>
      <c r="T9" s="701" t="s">
        <v>14</v>
      </c>
      <c r="U9" s="702">
        <f t="shared" si="1"/>
        <v>100</v>
      </c>
      <c r="V9" s="701" t="s">
        <v>14</v>
      </c>
      <c r="W9" s="702">
        <f t="shared" si="2"/>
        <v>100</v>
      </c>
      <c r="X9" s="703"/>
      <c r="Y9" s="3706" t="s">
        <v>1687</v>
      </c>
      <c r="Z9" s="52" t="str">
        <f t="shared" ref="Z9:Z15" si="7">Q9</f>
        <v>用途</v>
      </c>
      <c r="AA9" s="704">
        <f t="shared" si="3"/>
        <v>1</v>
      </c>
      <c r="AB9" s="704">
        <f t="shared" si="4"/>
        <v>1</v>
      </c>
      <c r="AC9" s="704">
        <f t="shared" si="5"/>
        <v>1</v>
      </c>
    </row>
    <row r="10" spans="1:30" s="378" customFormat="1" ht="28.8">
      <c r="A10" s="374"/>
      <c r="B10" s="375" t="s">
        <v>1688</v>
      </c>
      <c r="C10" s="383"/>
      <c r="D10" s="127">
        <v>100</v>
      </c>
      <c r="E10" s="416"/>
      <c r="F10" s="127">
        <f>ROUND(100/'数据-取费表'!G16,0)</f>
        <v>125</v>
      </c>
      <c r="G10" s="414"/>
      <c r="H10" s="127">
        <f>ROUND(100/'数据-取费表'!G16,0)</f>
        <v>125</v>
      </c>
      <c r="I10" s="414"/>
      <c r="J10" s="127">
        <f>ROUND(100/'数据-取费表'!G16,0)</f>
        <v>125</v>
      </c>
      <c r="K10" s="620"/>
      <c r="L10" s="2719"/>
      <c r="M10" s="2720"/>
      <c r="N10" s="2720"/>
      <c r="O10" s="2773"/>
      <c r="P10" s="3891"/>
      <c r="Q10" s="1343" t="str">
        <f t="shared" si="6"/>
        <v>土地使用年限（年）</v>
      </c>
      <c r="R10" s="701" t="s">
        <v>14</v>
      </c>
      <c r="S10" s="702">
        <f t="shared" si="0"/>
        <v>125</v>
      </c>
      <c r="T10" s="701" t="s">
        <v>14</v>
      </c>
      <c r="U10" s="702">
        <f t="shared" si="1"/>
        <v>125</v>
      </c>
      <c r="V10" s="701" t="s">
        <v>14</v>
      </c>
      <c r="W10" s="702">
        <f t="shared" si="2"/>
        <v>125</v>
      </c>
      <c r="X10" s="703"/>
      <c r="Y10" s="3706"/>
      <c r="Z10" s="52" t="str">
        <f t="shared" si="7"/>
        <v>土地使用年限（年）</v>
      </c>
      <c r="AA10" s="704">
        <f t="shared" si="3"/>
        <v>0.8</v>
      </c>
      <c r="AB10" s="704">
        <f t="shared" si="4"/>
        <v>0.8</v>
      </c>
      <c r="AC10" s="704">
        <f t="shared" si="5"/>
        <v>0.8</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891"/>
      <c r="Q11" s="1343" t="str">
        <f t="shared" si="6"/>
        <v>容积率</v>
      </c>
      <c r="R11" s="701" t="s">
        <v>14</v>
      </c>
      <c r="S11" s="702" t="e">
        <f t="shared" si="0"/>
        <v>#N/A</v>
      </c>
      <c r="T11" s="701" t="s">
        <v>14</v>
      </c>
      <c r="U11" s="702" t="e">
        <f t="shared" si="1"/>
        <v>#N/A</v>
      </c>
      <c r="V11" s="701" t="s">
        <v>14</v>
      </c>
      <c r="W11" s="702" t="e">
        <f t="shared" si="2"/>
        <v>#N/A</v>
      </c>
      <c r="X11" s="703"/>
      <c r="Y11" s="3706"/>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891"/>
      <c r="Q12" s="1343" t="str">
        <f t="shared" si="6"/>
        <v>配建</v>
      </c>
      <c r="R12" s="701" t="s">
        <v>14</v>
      </c>
      <c r="S12" s="702">
        <f t="shared" si="0"/>
        <v>100</v>
      </c>
      <c r="T12" s="701" t="s">
        <v>14</v>
      </c>
      <c r="U12" s="702">
        <f t="shared" si="1"/>
        <v>100</v>
      </c>
      <c r="V12" s="701" t="s">
        <v>14</v>
      </c>
      <c r="W12" s="702">
        <f t="shared" si="2"/>
        <v>100</v>
      </c>
      <c r="X12" s="703"/>
      <c r="Y12" s="3706"/>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891"/>
      <c r="Q13" s="1343">
        <f t="shared" si="6"/>
        <v>111</v>
      </c>
      <c r="R13" s="701" t="s">
        <v>14</v>
      </c>
      <c r="S13" s="702">
        <f t="shared" si="0"/>
        <v>100</v>
      </c>
      <c r="T13" s="701" t="s">
        <v>14</v>
      </c>
      <c r="U13" s="702">
        <f t="shared" si="1"/>
        <v>100</v>
      </c>
      <c r="V13" s="701" t="s">
        <v>14</v>
      </c>
      <c r="W13" s="702">
        <f t="shared" si="2"/>
        <v>100</v>
      </c>
      <c r="X13" s="703"/>
      <c r="Y13" s="3706"/>
      <c r="Z13" s="52">
        <f t="shared" si="7"/>
        <v>111</v>
      </c>
      <c r="AA13" s="704">
        <f>D13/F13</f>
        <v>1</v>
      </c>
      <c r="AB13" s="704">
        <f>D13/H13</f>
        <v>1</v>
      </c>
      <c r="AC13" s="704">
        <f>D13/J13</f>
        <v>1</v>
      </c>
    </row>
    <row r="14" spans="1:30" ht="15.6"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891"/>
      <c r="Q14" s="1343">
        <f t="shared" si="6"/>
        <v>111</v>
      </c>
      <c r="R14" s="701" t="s">
        <v>14</v>
      </c>
      <c r="S14" s="702">
        <f t="shared" si="0"/>
        <v>100</v>
      </c>
      <c r="T14" s="701" t="s">
        <v>14</v>
      </c>
      <c r="U14" s="702">
        <f t="shared" si="1"/>
        <v>100</v>
      </c>
      <c r="V14" s="701" t="s">
        <v>14</v>
      </c>
      <c r="W14" s="702">
        <f t="shared" si="2"/>
        <v>100</v>
      </c>
      <c r="X14" s="703"/>
      <c r="Y14" s="3706"/>
      <c r="Z14" s="52">
        <f t="shared" si="7"/>
        <v>111</v>
      </c>
      <c r="AA14" s="704">
        <f>D14/F14</f>
        <v>1</v>
      </c>
      <c r="AB14" s="704">
        <f>D14/H14</f>
        <v>1</v>
      </c>
      <c r="AC14" s="704">
        <f>D14/J14</f>
        <v>1</v>
      </c>
    </row>
    <row r="15" spans="1:30" ht="96.6">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884" t="s">
        <v>1691</v>
      </c>
      <c r="Q15" s="1352" t="str">
        <f t="shared" si="6"/>
        <v>居住社区成熟度</v>
      </c>
      <c r="R15" s="705" t="s">
        <v>14</v>
      </c>
      <c r="S15" s="706">
        <f t="shared" si="0"/>
        <v>100</v>
      </c>
      <c r="T15" s="705" t="s">
        <v>14</v>
      </c>
      <c r="U15" s="706">
        <f t="shared" si="1"/>
        <v>100</v>
      </c>
      <c r="V15" s="705" t="s">
        <v>14</v>
      </c>
      <c r="W15" s="706">
        <f t="shared" si="2"/>
        <v>100</v>
      </c>
      <c r="X15" s="1355"/>
      <c r="Y15" s="3884"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885"/>
      <c r="Q16" s="1352"/>
      <c r="R16" s="705"/>
      <c r="S16" s="706"/>
      <c r="T16" s="705"/>
      <c r="U16" s="706"/>
      <c r="V16" s="705"/>
      <c r="W16" s="706"/>
      <c r="X16" s="1355"/>
      <c r="Y16" s="3885"/>
      <c r="Z16" s="1356"/>
      <c r="AA16" s="1353">
        <v>1</v>
      </c>
      <c r="AB16" s="1353">
        <v>1</v>
      </c>
      <c r="AC16" s="1353">
        <v>1</v>
      </c>
    </row>
    <row r="17" spans="1:29" ht="82.8">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885"/>
      <c r="Q17" s="1352" t="str">
        <f>B17</f>
        <v>商业繁华度</v>
      </c>
      <c r="R17" s="705" t="s">
        <v>14</v>
      </c>
      <c r="S17" s="706">
        <f>F17</f>
        <v>100</v>
      </c>
      <c r="T17" s="705" t="s">
        <v>14</v>
      </c>
      <c r="U17" s="706">
        <f>H17</f>
        <v>100</v>
      </c>
      <c r="V17" s="705" t="s">
        <v>14</v>
      </c>
      <c r="W17" s="706">
        <f>J17</f>
        <v>100</v>
      </c>
      <c r="X17" s="1355"/>
      <c r="Y17" s="3885"/>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885"/>
      <c r="Q18" s="1352"/>
      <c r="R18" s="705"/>
      <c r="S18" s="706"/>
      <c r="T18" s="705"/>
      <c r="U18" s="706"/>
      <c r="V18" s="705"/>
      <c r="W18" s="706"/>
      <c r="X18" s="1355"/>
      <c r="Y18" s="3885"/>
      <c r="Z18" s="1356"/>
      <c r="AA18" s="1353">
        <v>1</v>
      </c>
      <c r="AB18" s="1353">
        <v>1</v>
      </c>
      <c r="AC18" s="1353">
        <v>1</v>
      </c>
    </row>
    <row r="19" spans="1:29" ht="82.8">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885"/>
      <c r="Q19" s="1352" t="str">
        <f>B19</f>
        <v>办公集聚程度</v>
      </c>
      <c r="R19" s="705" t="s">
        <v>14</v>
      </c>
      <c r="S19" s="706">
        <f>F19</f>
        <v>100</v>
      </c>
      <c r="T19" s="705" t="s">
        <v>14</v>
      </c>
      <c r="U19" s="706">
        <f>H19</f>
        <v>100</v>
      </c>
      <c r="V19" s="705" t="s">
        <v>14</v>
      </c>
      <c r="W19" s="706">
        <f>J19</f>
        <v>100</v>
      </c>
      <c r="X19" s="1355"/>
      <c r="Y19" s="3885"/>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885"/>
      <c r="Q20" s="1352"/>
      <c r="R20" s="705"/>
      <c r="S20" s="706"/>
      <c r="T20" s="705"/>
      <c r="U20" s="706"/>
      <c r="V20" s="705"/>
      <c r="W20" s="706"/>
      <c r="X20" s="1355"/>
      <c r="Y20" s="3885"/>
      <c r="Z20" s="1356"/>
      <c r="AA20" s="1353">
        <v>1</v>
      </c>
      <c r="AB20" s="1353">
        <v>1</v>
      </c>
      <c r="AC20" s="1353">
        <v>1</v>
      </c>
    </row>
    <row r="21" spans="1:29" ht="96.6">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885"/>
      <c r="Q21" s="1352" t="str">
        <f>B21</f>
        <v>交通便捷度</v>
      </c>
      <c r="R21" s="705" t="s">
        <v>14</v>
      </c>
      <c r="S21" s="706">
        <f>F21</f>
        <v>100</v>
      </c>
      <c r="T21" s="705" t="s">
        <v>14</v>
      </c>
      <c r="U21" s="706">
        <f>H21</f>
        <v>100</v>
      </c>
      <c r="V21" s="705" t="s">
        <v>14</v>
      </c>
      <c r="W21" s="706">
        <f>J21</f>
        <v>100</v>
      </c>
      <c r="X21" s="1355"/>
      <c r="Y21" s="3885"/>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885"/>
      <c r="Q22" s="1352"/>
      <c r="R22" s="705"/>
      <c r="S22" s="706"/>
      <c r="T22" s="705"/>
      <c r="U22" s="706"/>
      <c r="V22" s="705"/>
      <c r="W22" s="706"/>
      <c r="X22" s="1355"/>
      <c r="Y22" s="3885"/>
      <c r="Z22" s="1356"/>
      <c r="AA22" s="1353">
        <v>1</v>
      </c>
      <c r="AB22" s="1353">
        <v>1</v>
      </c>
      <c r="AC22" s="1353">
        <v>1</v>
      </c>
    </row>
    <row r="23" spans="1:29" ht="28.8">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885"/>
      <c r="Q23" s="1352" t="str">
        <f t="shared" ref="Q23:Q37" si="8">B23</f>
        <v>区域土地利用方向</v>
      </c>
      <c r="R23" s="705" t="s">
        <v>14</v>
      </c>
      <c r="S23" s="706">
        <f>F23</f>
        <v>100</v>
      </c>
      <c r="T23" s="705" t="s">
        <v>14</v>
      </c>
      <c r="U23" s="706">
        <f>H23</f>
        <v>100</v>
      </c>
      <c r="V23" s="705" t="s">
        <v>14</v>
      </c>
      <c r="W23" s="706">
        <f>J23</f>
        <v>100</v>
      </c>
      <c r="X23" s="1355"/>
      <c r="Y23" s="3885"/>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885"/>
      <c r="Q24" s="1352"/>
      <c r="R24" s="705"/>
      <c r="S24" s="706"/>
      <c r="T24" s="705"/>
      <c r="U24" s="706"/>
      <c r="V24" s="705"/>
      <c r="W24" s="706"/>
      <c r="X24" s="1355"/>
      <c r="Y24" s="3885"/>
      <c r="Z24" s="1356"/>
      <c r="AA24" s="1353"/>
      <c r="AB24" s="1353"/>
      <c r="AC24" s="1353"/>
    </row>
    <row r="25" spans="1:29" ht="55.2">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885"/>
      <c r="Q25" s="1352" t="str">
        <f t="shared" si="8"/>
        <v>自然及人文环境状况</v>
      </c>
      <c r="R25" s="705" t="s">
        <v>14</v>
      </c>
      <c r="S25" s="706">
        <f>F25</f>
        <v>100</v>
      </c>
      <c r="T25" s="705" t="s">
        <v>14</v>
      </c>
      <c r="U25" s="706">
        <f>H25</f>
        <v>100</v>
      </c>
      <c r="V25" s="705" t="s">
        <v>14</v>
      </c>
      <c r="W25" s="706">
        <f>J25</f>
        <v>100</v>
      </c>
      <c r="X25" s="1355"/>
      <c r="Y25" s="3885"/>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885"/>
      <c r="Q26" s="1352"/>
      <c r="R26" s="705"/>
      <c r="S26" s="706"/>
      <c r="T26" s="705"/>
      <c r="U26" s="706"/>
      <c r="V26" s="705"/>
      <c r="W26" s="706"/>
      <c r="X26" s="1355"/>
      <c r="Y26" s="3885"/>
      <c r="Z26" s="1356"/>
      <c r="AA26" s="1353">
        <v>1</v>
      </c>
      <c r="AB26" s="1353">
        <v>1</v>
      </c>
      <c r="AC26" s="1353">
        <v>1</v>
      </c>
    </row>
    <row r="27" spans="1:29" s="108" customFormat="1" ht="41.4">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885"/>
      <c r="Q27" s="1343" t="str">
        <f t="shared" si="8"/>
        <v>公共配套设施</v>
      </c>
      <c r="R27" s="701" t="s">
        <v>14</v>
      </c>
      <c r="S27" s="702">
        <f>F27</f>
        <v>100</v>
      </c>
      <c r="T27" s="701" t="s">
        <v>14</v>
      </c>
      <c r="U27" s="702">
        <f>H27</f>
        <v>100</v>
      </c>
      <c r="V27" s="701" t="s">
        <v>14</v>
      </c>
      <c r="W27" s="702">
        <f>J27</f>
        <v>100</v>
      </c>
      <c r="X27" s="703"/>
      <c r="Y27" s="3885"/>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885"/>
      <c r="Q28" s="1343"/>
      <c r="R28" s="701"/>
      <c r="S28" s="702"/>
      <c r="T28" s="701"/>
      <c r="U28" s="702"/>
      <c r="V28" s="701"/>
      <c r="W28" s="702"/>
      <c r="X28" s="703"/>
      <c r="Y28" s="3885"/>
      <c r="Z28" s="52"/>
      <c r="AA28" s="1353">
        <v>1</v>
      </c>
      <c r="AB28" s="1353">
        <v>1</v>
      </c>
      <c r="AC28" s="1353">
        <v>1</v>
      </c>
    </row>
    <row r="29" spans="1:29" s="108" customFormat="1" ht="41.4">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885"/>
      <c r="Q29" s="1343" t="str">
        <f t="shared" ref="Q29" si="9">B29</f>
        <v>基础设施水平</v>
      </c>
      <c r="R29" s="701" t="s">
        <v>14</v>
      </c>
      <c r="S29" s="702">
        <f>F29</f>
        <v>100</v>
      </c>
      <c r="T29" s="701" t="s">
        <v>14</v>
      </c>
      <c r="U29" s="702">
        <f>H29</f>
        <v>100</v>
      </c>
      <c r="V29" s="701" t="s">
        <v>14</v>
      </c>
      <c r="W29" s="702">
        <f>J29</f>
        <v>100</v>
      </c>
      <c r="X29" s="703"/>
      <c r="Y29" s="3885"/>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885"/>
      <c r="Q30" s="1343"/>
      <c r="R30" s="701"/>
      <c r="S30" s="702"/>
      <c r="T30" s="701"/>
      <c r="U30" s="702"/>
      <c r="V30" s="701"/>
      <c r="W30" s="702"/>
      <c r="X30" s="703"/>
      <c r="Y30" s="3885"/>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885"/>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885"/>
      <c r="Z31" s="1356" t="str">
        <f t="shared" ref="Z31:Z45" si="13">Q31</f>
        <v>临街状况</v>
      </c>
      <c r="AA31" s="1353">
        <f t="shared" si="3"/>
        <v>1</v>
      </c>
      <c r="AB31" s="1353">
        <f t="shared" si="4"/>
        <v>1</v>
      </c>
      <c r="AC31" s="1353">
        <f t="shared" si="5"/>
        <v>1</v>
      </c>
    </row>
    <row r="32" spans="1:29" ht="28.8">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885"/>
      <c r="Q32" s="1352" t="str">
        <f t="shared" si="8"/>
        <v>毗邻道路的类型与等级</v>
      </c>
      <c r="R32" s="705" t="s">
        <v>14</v>
      </c>
      <c r="S32" s="706">
        <f t="shared" si="10"/>
        <v>100</v>
      </c>
      <c r="T32" s="705" t="s">
        <v>14</v>
      </c>
      <c r="U32" s="706">
        <f t="shared" si="11"/>
        <v>100</v>
      </c>
      <c r="V32" s="705" t="s">
        <v>14</v>
      </c>
      <c r="W32" s="706">
        <f t="shared" si="12"/>
        <v>100</v>
      </c>
      <c r="X32" s="1355"/>
      <c r="Y32" s="3885"/>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885"/>
      <c r="Q33" s="1352"/>
      <c r="R33" s="705"/>
      <c r="S33" s="706"/>
      <c r="T33" s="705"/>
      <c r="U33" s="706"/>
      <c r="V33" s="705"/>
      <c r="W33" s="706"/>
      <c r="X33" s="1355"/>
      <c r="Y33" s="3885"/>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885"/>
      <c r="Q34" s="1352" t="str">
        <f t="shared" si="8"/>
        <v>土地级别</v>
      </c>
      <c r="R34" s="705" t="s">
        <v>14</v>
      </c>
      <c r="S34" s="706">
        <f t="shared" si="10"/>
        <v>100</v>
      </c>
      <c r="T34" s="705" t="s">
        <v>14</v>
      </c>
      <c r="U34" s="706">
        <f t="shared" si="11"/>
        <v>100</v>
      </c>
      <c r="V34" s="705" t="s">
        <v>14</v>
      </c>
      <c r="W34" s="706">
        <f t="shared" si="12"/>
        <v>100</v>
      </c>
      <c r="X34" s="1355"/>
      <c r="Y34" s="3885"/>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885"/>
      <c r="Q35" s="1352">
        <f t="shared" si="8"/>
        <v>111</v>
      </c>
      <c r="R35" s="705" t="s">
        <v>14</v>
      </c>
      <c r="S35" s="706">
        <f t="shared" si="10"/>
        <v>100</v>
      </c>
      <c r="T35" s="705" t="s">
        <v>14</v>
      </c>
      <c r="U35" s="706">
        <f t="shared" si="11"/>
        <v>100</v>
      </c>
      <c r="V35" s="705" t="s">
        <v>14</v>
      </c>
      <c r="W35" s="706">
        <f t="shared" si="12"/>
        <v>100</v>
      </c>
      <c r="X35" s="1355"/>
      <c r="Y35" s="3885"/>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943" t="s">
        <v>1696</v>
      </c>
      <c r="Q36" s="1352">
        <f t="shared" si="8"/>
        <v>111</v>
      </c>
      <c r="R36" s="705" t="s">
        <v>14</v>
      </c>
      <c r="S36" s="706">
        <f t="shared" si="10"/>
        <v>100</v>
      </c>
      <c r="T36" s="705" t="s">
        <v>14</v>
      </c>
      <c r="U36" s="706">
        <f t="shared" si="11"/>
        <v>100</v>
      </c>
      <c r="V36" s="705" t="s">
        <v>14</v>
      </c>
      <c r="W36" s="706">
        <f t="shared" si="12"/>
        <v>100</v>
      </c>
      <c r="X36" s="1355"/>
      <c r="Y36" s="3889" t="s">
        <v>1696</v>
      </c>
      <c r="Z36" s="1356">
        <f t="shared" si="13"/>
        <v>111</v>
      </c>
      <c r="AA36" s="1353">
        <f t="shared" si="3"/>
        <v>1</v>
      </c>
      <c r="AB36" s="1353">
        <f t="shared" si="4"/>
        <v>1</v>
      </c>
      <c r="AC36" s="1353">
        <f t="shared" si="5"/>
        <v>1</v>
      </c>
    </row>
    <row r="37" spans="1:29" s="422" customFormat="1" ht="15.6"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889"/>
      <c r="Q37" s="1352">
        <f t="shared" si="8"/>
        <v>111</v>
      </c>
      <c r="R37" s="708" t="s">
        <v>14</v>
      </c>
      <c r="S37" s="709">
        <f t="shared" si="10"/>
        <v>100</v>
      </c>
      <c r="T37" s="708" t="s">
        <v>14</v>
      </c>
      <c r="U37" s="709">
        <f t="shared" si="11"/>
        <v>100</v>
      </c>
      <c r="V37" s="708" t="s">
        <v>14</v>
      </c>
      <c r="W37" s="709">
        <f t="shared" si="12"/>
        <v>100</v>
      </c>
      <c r="X37" s="710"/>
      <c r="Y37" s="3889"/>
      <c r="Z37" s="711">
        <f t="shared" si="13"/>
        <v>111</v>
      </c>
      <c r="AA37" s="1353">
        <f t="shared" si="3"/>
        <v>1</v>
      </c>
      <c r="AB37" s="1353">
        <f t="shared" si="4"/>
        <v>1</v>
      </c>
      <c r="AC37" s="1353">
        <f t="shared" si="5"/>
        <v>1</v>
      </c>
    </row>
    <row r="38" spans="1:29" ht="15.6">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889"/>
      <c r="Q38" s="1352" t="str">
        <f>B38</f>
        <v>宗地面积</v>
      </c>
      <c r="R38" s="705" t="s">
        <v>14</v>
      </c>
      <c r="S38" s="706" t="e">
        <f t="shared" si="10"/>
        <v>#N/A</v>
      </c>
      <c r="T38" s="705" t="s">
        <v>14</v>
      </c>
      <c r="U38" s="706" t="e">
        <f t="shared" si="11"/>
        <v>#N/A</v>
      </c>
      <c r="V38" s="705" t="s">
        <v>14</v>
      </c>
      <c r="W38" s="706" t="e">
        <f t="shared" si="12"/>
        <v>#N/A</v>
      </c>
      <c r="X38" s="1355"/>
      <c r="Y38" s="3889"/>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889"/>
      <c r="Q39" s="1352" t="str">
        <f t="shared" ref="Q39:Q45" si="14">B39</f>
        <v>宗地形状</v>
      </c>
      <c r="R39" s="705" t="s">
        <v>14</v>
      </c>
      <c r="S39" s="706">
        <f t="shared" si="10"/>
        <v>100</v>
      </c>
      <c r="T39" s="705" t="s">
        <v>14</v>
      </c>
      <c r="U39" s="706">
        <f t="shared" si="11"/>
        <v>100</v>
      </c>
      <c r="V39" s="705" t="s">
        <v>14</v>
      </c>
      <c r="W39" s="706">
        <f t="shared" si="12"/>
        <v>100</v>
      </c>
      <c r="X39" s="1355"/>
      <c r="Y39" s="3889"/>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889"/>
      <c r="Q40" s="1352" t="str">
        <f t="shared" si="14"/>
        <v>临街宽度及深度</v>
      </c>
      <c r="R40" s="705" t="s">
        <v>14</v>
      </c>
      <c r="S40" s="706">
        <f t="shared" si="10"/>
        <v>100</v>
      </c>
      <c r="T40" s="705" t="s">
        <v>14</v>
      </c>
      <c r="U40" s="706">
        <f t="shared" si="11"/>
        <v>100</v>
      </c>
      <c r="V40" s="705" t="s">
        <v>14</v>
      </c>
      <c r="W40" s="706">
        <f t="shared" si="12"/>
        <v>100</v>
      </c>
      <c r="X40" s="1355"/>
      <c r="Y40" s="3889"/>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889"/>
      <c r="Q41" s="1352" t="str">
        <f t="shared" si="14"/>
        <v>宗地开发程度</v>
      </c>
      <c r="R41" s="701" t="s">
        <v>14</v>
      </c>
      <c r="S41" s="702">
        <f t="shared" si="10"/>
        <v>100</v>
      </c>
      <c r="T41" s="701" t="s">
        <v>14</v>
      </c>
      <c r="U41" s="702">
        <f t="shared" si="11"/>
        <v>100</v>
      </c>
      <c r="V41" s="701" t="s">
        <v>14</v>
      </c>
      <c r="W41" s="702">
        <f t="shared" si="12"/>
        <v>100</v>
      </c>
      <c r="X41" s="703"/>
      <c r="Y41" s="3889"/>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889" t="s">
        <v>1696</v>
      </c>
      <c r="Q42" s="1352" t="str">
        <f t="shared" si="14"/>
        <v>工程地质条件</v>
      </c>
      <c r="R42" s="705" t="s">
        <v>14</v>
      </c>
      <c r="S42" s="706">
        <f t="shared" si="10"/>
        <v>100</v>
      </c>
      <c r="T42" s="705" t="s">
        <v>14</v>
      </c>
      <c r="U42" s="706">
        <f t="shared" si="11"/>
        <v>100</v>
      </c>
      <c r="V42" s="705" t="s">
        <v>14</v>
      </c>
      <c r="W42" s="706">
        <f t="shared" si="12"/>
        <v>100</v>
      </c>
      <c r="X42" s="1355"/>
      <c r="Y42" s="3889"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889"/>
      <c r="Q43" s="1352">
        <f t="shared" si="14"/>
        <v>111</v>
      </c>
      <c r="R43" s="705" t="s">
        <v>14</v>
      </c>
      <c r="S43" s="706">
        <f t="shared" si="10"/>
        <v>100</v>
      </c>
      <c r="T43" s="705" t="s">
        <v>14</v>
      </c>
      <c r="U43" s="706">
        <f t="shared" si="11"/>
        <v>100</v>
      </c>
      <c r="V43" s="705" t="s">
        <v>14</v>
      </c>
      <c r="W43" s="706">
        <f t="shared" si="12"/>
        <v>100</v>
      </c>
      <c r="X43" s="1355"/>
      <c r="Y43" s="3889"/>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889"/>
      <c r="Q44" s="1352">
        <f t="shared" si="14"/>
        <v>111</v>
      </c>
      <c r="R44" s="705" t="s">
        <v>14</v>
      </c>
      <c r="S44" s="706">
        <f t="shared" si="10"/>
        <v>100</v>
      </c>
      <c r="T44" s="705" t="s">
        <v>14</v>
      </c>
      <c r="U44" s="706">
        <f t="shared" si="11"/>
        <v>100</v>
      </c>
      <c r="V44" s="705" t="s">
        <v>14</v>
      </c>
      <c r="W44" s="706">
        <f t="shared" si="12"/>
        <v>100</v>
      </c>
      <c r="X44" s="1355"/>
      <c r="Y44" s="3889"/>
      <c r="Z44" s="1356">
        <f t="shared" si="13"/>
        <v>111</v>
      </c>
      <c r="AA44" s="1353">
        <f t="shared" si="3"/>
        <v>1</v>
      </c>
      <c r="AB44" s="1353">
        <f t="shared" si="4"/>
        <v>1</v>
      </c>
      <c r="AC44" s="1353">
        <f t="shared" si="5"/>
        <v>1</v>
      </c>
    </row>
    <row r="45" spans="1:29" s="422" customFormat="1" ht="15.6"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889"/>
      <c r="Q45" s="1352">
        <f t="shared" si="14"/>
        <v>111</v>
      </c>
      <c r="R45" s="708" t="s">
        <v>14</v>
      </c>
      <c r="S45" s="709">
        <f t="shared" si="10"/>
        <v>100</v>
      </c>
      <c r="T45" s="708" t="s">
        <v>14</v>
      </c>
      <c r="U45" s="709">
        <f t="shared" si="11"/>
        <v>100</v>
      </c>
      <c r="V45" s="708" t="s">
        <v>14</v>
      </c>
      <c r="W45" s="709">
        <f t="shared" si="12"/>
        <v>100</v>
      </c>
      <c r="X45" s="710"/>
      <c r="Y45" s="3889"/>
      <c r="Z45" s="711">
        <f t="shared" si="13"/>
        <v>111</v>
      </c>
      <c r="AA45" s="1353">
        <f t="shared" si="3"/>
        <v>1</v>
      </c>
      <c r="AB45" s="1353">
        <f t="shared" si="4"/>
        <v>1</v>
      </c>
      <c r="AC45" s="1353">
        <f t="shared" si="5"/>
        <v>1</v>
      </c>
    </row>
    <row r="46" spans="1:29" ht="14.4">
      <c r="A46" s="430" t="s">
        <v>1844</v>
      </c>
      <c r="B46" s="1982" t="s">
        <v>1879</v>
      </c>
      <c r="C46" s="630" t="s">
        <v>0</v>
      </c>
      <c r="D46" s="432"/>
      <c r="E46" s="433"/>
      <c r="F46" s="434"/>
      <c r="G46" s="435"/>
      <c r="H46" s="436"/>
      <c r="I46" s="433"/>
      <c r="J46" s="436"/>
      <c r="K46" s="714"/>
      <c r="L46" s="2724"/>
      <c r="M46" s="2725"/>
      <c r="N46" s="2716"/>
      <c r="O46" s="2725"/>
      <c r="P46" s="3891" t="str">
        <f>A46</f>
        <v>成交单价</v>
      </c>
      <c r="Q46" s="3891"/>
      <c r="R46" s="3877">
        <f>E46</f>
        <v>0</v>
      </c>
      <c r="S46" s="3877"/>
      <c r="T46" s="3877">
        <f>G46</f>
        <v>0</v>
      </c>
      <c r="U46" s="3877"/>
      <c r="V46" s="3877">
        <f>I46</f>
        <v>0</v>
      </c>
      <c r="W46" s="3877"/>
      <c r="X46" s="690"/>
      <c r="Y46" s="712"/>
      <c r="Z46" s="690"/>
      <c r="AA46" s="690"/>
      <c r="AB46" s="690"/>
      <c r="AC46" s="690"/>
    </row>
    <row r="47" spans="1:29" ht="15" thickBot="1">
      <c r="A47" s="437" t="s">
        <v>1793</v>
      </c>
      <c r="B47" s="631"/>
      <c r="C47" s="440" t="e">
        <f>R48</f>
        <v>#DIV/0!</v>
      </c>
      <c r="D47" s="2317" t="s">
        <v>2138</v>
      </c>
      <c r="E47" s="440" t="e">
        <f>R47</f>
        <v>#DIV/0!</v>
      </c>
      <c r="F47" s="2318"/>
      <c r="G47" s="439" t="e">
        <f>T47</f>
        <v>#DIV/0!</v>
      </c>
      <c r="H47" s="2318"/>
      <c r="I47" s="440" t="e">
        <f>V47</f>
        <v>#DIV/0!</v>
      </c>
      <c r="J47" s="2318"/>
      <c r="K47" s="2320">
        <f>F47+H47+J47</f>
        <v>0</v>
      </c>
      <c r="L47" s="2724"/>
      <c r="M47" s="2725"/>
      <c r="N47" s="2725"/>
      <c r="O47" s="2725"/>
      <c r="P47" s="3891" t="str">
        <f>A47</f>
        <v>比较价值（元/平方米）</v>
      </c>
      <c r="Q47" s="3891"/>
      <c r="R47" s="3945" t="e">
        <f>ROUND(PRODUCT(R46,AA7:AA45),0)</f>
        <v>#DIV/0!</v>
      </c>
      <c r="S47" s="3945"/>
      <c r="T47" s="3945" t="e">
        <f>ROUND(PRODUCT(T46,AB7:AB45),0)</f>
        <v>#DIV/0!</v>
      </c>
      <c r="U47" s="3945"/>
      <c r="V47" s="3945" t="e">
        <f>ROUND(PRODUCT(V46,AC7:AC45),0)</f>
        <v>#DIV/0!</v>
      </c>
      <c r="W47" s="3945"/>
      <c r="X47" s="690"/>
      <c r="Y47" s="690"/>
      <c r="Z47" s="690"/>
      <c r="AA47" s="690"/>
      <c r="AB47" s="690"/>
      <c r="AC47" s="690"/>
    </row>
    <row r="48" spans="1:29" ht="15" thickBot="1">
      <c r="A48" s="441" t="s">
        <v>1880</v>
      </c>
      <c r="B48" s="442"/>
      <c r="C48" s="443" t="e">
        <f>R48</f>
        <v>#DIV/0!</v>
      </c>
      <c r="D48" s="443"/>
      <c r="E48" s="443"/>
      <c r="F48" s="443"/>
      <c r="G48" s="443"/>
      <c r="H48" s="443"/>
      <c r="I48" s="443"/>
      <c r="J48" s="443"/>
      <c r="K48" s="715"/>
      <c r="L48" s="2724"/>
      <c r="M48" s="2725"/>
      <c r="N48" s="2725"/>
      <c r="O48" s="2725"/>
      <c r="P48" s="3893" t="str">
        <f>A48</f>
        <v>估价对象XX用房的比较价值（楼面单价，元/平方米）</v>
      </c>
      <c r="Q48" s="3894"/>
      <c r="R48" s="3946" t="e">
        <f>ROUND(IF(D47="简单平均",AVERAGE(R47:W47),R47*F47+T47*H47+V47*J47),0)</f>
        <v>#DIV/0!</v>
      </c>
      <c r="S48" s="3946"/>
      <c r="T48" s="3946"/>
      <c r="U48" s="3946"/>
      <c r="V48" s="3946"/>
      <c r="W48" s="3946"/>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4.4"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853" t="s">
        <v>1887</v>
      </c>
      <c r="H55" s="3947"/>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2414.4300000000003</v>
      </c>
      <c r="F56" s="886" t="e">
        <f t="shared" ref="F56:F64" si="15">ROUND(B56*E56/10000,0)</f>
        <v>#DIV/0!</v>
      </c>
      <c r="G56" s="3881"/>
      <c r="H56" s="3891"/>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v>
      </c>
      <c r="D57" s="945">
        <v>0.25</v>
      </c>
      <c r="E57" s="642"/>
      <c r="F57" s="886" t="e">
        <f t="shared" si="15"/>
        <v>#DIV/0!</v>
      </c>
      <c r="G57" s="3006" t="s">
        <v>1892</v>
      </c>
      <c r="H57" s="887">
        <f>项目基本情况!B37</f>
        <v>0</v>
      </c>
      <c r="I57" s="891">
        <f>SUMIF(修正!A57:A68,H57,修正!B57:B68)</f>
        <v>0</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v>
      </c>
      <c r="D58" s="945">
        <v>0.25</v>
      </c>
      <c r="E58" s="642"/>
      <c r="F58" s="886" t="e">
        <f t="shared" si="15"/>
        <v>#DIV/0!</v>
      </c>
      <c r="G58" s="3007"/>
      <c r="H58" s="887">
        <f>项目基本情况!B37</f>
        <v>0</v>
      </c>
      <c r="I58" s="891">
        <f>SUMIF(修正!A57:A68,H58,修正!C57:C68)</f>
        <v>0</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v>
      </c>
      <c r="D59" s="945">
        <v>0.25</v>
      </c>
      <c r="E59" s="642"/>
      <c r="F59" s="886" t="e">
        <f t="shared" si="15"/>
        <v>#DIV/0!</v>
      </c>
      <c r="G59" s="3007"/>
      <c r="H59" s="887">
        <f>项目基本情况!B37</f>
        <v>0</v>
      </c>
      <c r="I59" s="891">
        <f>SUMIF(修正!A57:A68,H59,修正!D57:D68)</f>
        <v>0</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SUMIF(修正!A57:A68,H60,修正!E57:E68)</f>
        <v>0</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v>
      </c>
      <c r="D63" s="945">
        <v>0.25</v>
      </c>
      <c r="E63" s="217">
        <f>'数据-汇总表'!E14</f>
        <v>0</v>
      </c>
      <c r="F63" s="886" t="e">
        <f t="shared" si="15"/>
        <v>#DIV/0!</v>
      </c>
      <c r="G63" s="1987" t="s">
        <v>1892</v>
      </c>
      <c r="H63" s="887">
        <f>项目基本情况!B37</f>
        <v>0</v>
      </c>
      <c r="I63" s="891">
        <f>SUMIF(修正!A57:A68,H63,修正!G57:G68)</f>
        <v>0</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4.4"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SUMIF(修正!A57:A68,H64,修正!G57:G68)</f>
        <v>0</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thickBot="1">
      <c r="A65" s="643" t="s">
        <v>1903</v>
      </c>
      <c r="B65" s="644" t="s">
        <v>22</v>
      </c>
      <c r="C65" s="644" t="s">
        <v>23</v>
      </c>
      <c r="D65" s="644" t="s">
        <v>392</v>
      </c>
      <c r="E65" s="644">
        <f>IF(B46="楼面地价",SUM(E56:E64),'数据-汇总表'!D3)</f>
        <v>2414.4300000000003</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2024-7-1</v>
      </c>
      <c r="D67" s="692">
        <f>EDATE(C67,-3)</f>
        <v>45383</v>
      </c>
      <c r="E67" s="692">
        <f>EDATE(D67,-3)</f>
        <v>45292</v>
      </c>
      <c r="F67" s="692">
        <f t="shared" ref="F67:O67" si="18">EDATE(E67,-3)</f>
        <v>45200</v>
      </c>
      <c r="G67" s="692">
        <f t="shared" si="18"/>
        <v>45108</v>
      </c>
      <c r="H67" s="692">
        <f t="shared" si="18"/>
        <v>45017</v>
      </c>
      <c r="I67" s="692">
        <f t="shared" si="18"/>
        <v>44927</v>
      </c>
      <c r="J67" s="692">
        <f t="shared" si="18"/>
        <v>44835</v>
      </c>
      <c r="K67" s="692">
        <f t="shared" si="18"/>
        <v>44743</v>
      </c>
      <c r="L67" s="692">
        <f t="shared" si="18"/>
        <v>44652</v>
      </c>
      <c r="M67" s="692">
        <f t="shared" si="18"/>
        <v>44562</v>
      </c>
      <c r="N67" s="692">
        <f t="shared" si="18"/>
        <v>44470</v>
      </c>
      <c r="O67" s="692">
        <f t="shared" si="18"/>
        <v>44378</v>
      </c>
      <c r="P67" s="2725"/>
      <c r="Q67" s="2725"/>
      <c r="R67" s="2725"/>
      <c r="S67" s="2725"/>
      <c r="T67" s="2725"/>
      <c r="U67" s="2725"/>
      <c r="V67" s="2725"/>
      <c r="W67" s="2725"/>
      <c r="X67" s="2725"/>
      <c r="Y67" s="2725"/>
      <c r="Z67" s="2725"/>
      <c r="AA67" s="2725"/>
      <c r="AB67" s="2725"/>
      <c r="AC67" s="2725"/>
    </row>
    <row r="68" spans="1:29" ht="22.2"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4.4">
      <c r="A69" s="1989" t="s">
        <v>1904</v>
      </c>
      <c r="B69" s="1109"/>
      <c r="C69" s="1182" t="str">
        <f>YEAR(C67)&amp;"-"&amp;ROUNDUP(MONTH(C67)/3,0)</f>
        <v>2024-3</v>
      </c>
      <c r="D69" s="1182" t="str">
        <f>YEAR(D67)&amp;"-"&amp;ROUNDUP(MONTH(D67)/3,0)</f>
        <v>2024-2</v>
      </c>
      <c r="E69" s="1182" t="str">
        <f t="shared" ref="E69:O69" si="19">YEAR(E67)&amp;"-"&amp;ROUNDUP(MONTH(E67)/3,0)</f>
        <v>2024-1</v>
      </c>
      <c r="F69" s="1182" t="str">
        <f t="shared" si="19"/>
        <v>2023-4</v>
      </c>
      <c r="G69" s="1182" t="str">
        <f t="shared" si="19"/>
        <v>2023-3</v>
      </c>
      <c r="H69" s="1182" t="str">
        <f t="shared" si="19"/>
        <v>2023-2</v>
      </c>
      <c r="I69" s="1182" t="str">
        <f t="shared" si="19"/>
        <v>2023-1</v>
      </c>
      <c r="J69" s="1182" t="str">
        <f t="shared" si="19"/>
        <v>2022-4</v>
      </c>
      <c r="K69" s="1182" t="str">
        <f t="shared" si="19"/>
        <v>2022-3</v>
      </c>
      <c r="L69" s="1182" t="str">
        <f t="shared" si="19"/>
        <v>2022-2</v>
      </c>
      <c r="M69" s="1182" t="str">
        <f t="shared" si="19"/>
        <v>2022-1</v>
      </c>
      <c r="N69" s="1182" t="str">
        <f t="shared" si="19"/>
        <v>2021-4</v>
      </c>
      <c r="O69" s="1182" t="str">
        <f t="shared" si="19"/>
        <v>2021-3</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4.4">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4.4"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ht="14.4">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4.4"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9.4"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4.4"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4.4"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4.4"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4.4"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4.4"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4.4"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4.4"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4.4"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ht="14.4">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4.4"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4.4"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4.4"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4.4"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29.4"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4.4"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9.4"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4.4"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4.4"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4.4"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4.4"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9.4"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4.4"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4.4"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4.4"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4.4"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4.4"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4.4"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4.4"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4.4"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ht="14.4">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4.4"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4.4"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4.4"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4.4"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4.4"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4.4"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4.4"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4.4"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4.4"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4.4"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4.4"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3.8"/>
  <cols>
    <col min="1" max="1" width="14.332031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4.4">
      <c r="A4" s="355" t="s">
        <v>1769</v>
      </c>
      <c r="B4" s="356"/>
      <c r="C4" s="3853" t="s">
        <v>1770</v>
      </c>
      <c r="D4" s="3854"/>
      <c r="E4" s="3855" t="s">
        <v>1771</v>
      </c>
      <c r="F4" s="3856"/>
      <c r="G4" s="3853" t="s">
        <v>1772</v>
      </c>
      <c r="H4" s="3854"/>
      <c r="I4" s="3853" t="s">
        <v>1773</v>
      </c>
      <c r="J4" s="3854"/>
      <c r="K4" s="559" t="s">
        <v>1774</v>
      </c>
      <c r="L4" s="2715"/>
      <c r="M4" s="2716"/>
      <c r="N4" s="2716"/>
      <c r="O4" s="2716"/>
      <c r="P4" s="3857" t="s">
        <v>1775</v>
      </c>
      <c r="Q4" s="3858"/>
      <c r="R4" s="3863" t="s">
        <v>1771</v>
      </c>
      <c r="S4" s="3864"/>
      <c r="T4" s="3863" t="s">
        <v>1772</v>
      </c>
      <c r="U4" s="3864"/>
      <c r="V4" s="3877" t="s">
        <v>1773</v>
      </c>
      <c r="W4" s="3877"/>
      <c r="X4" s="1355"/>
      <c r="Y4" s="3863" t="s">
        <v>1775</v>
      </c>
      <c r="Z4" s="3864"/>
      <c r="AA4" s="3850" t="s">
        <v>1771</v>
      </c>
      <c r="AB4" s="3851" t="s">
        <v>1772</v>
      </c>
      <c r="AC4" s="3850" t="s">
        <v>1773</v>
      </c>
    </row>
    <row r="5" spans="1:29">
      <c r="A5" s="358"/>
      <c r="B5" s="359"/>
      <c r="C5" s="3896" t="s">
        <v>1673</v>
      </c>
      <c r="D5" s="3868"/>
      <c r="E5" s="3926" t="s">
        <v>1674</v>
      </c>
      <c r="F5" s="3870"/>
      <c r="G5" s="3896" t="s">
        <v>1675</v>
      </c>
      <c r="H5" s="3868"/>
      <c r="I5" s="3896" t="s">
        <v>1676</v>
      </c>
      <c r="J5" s="3868"/>
      <c r="K5" s="559"/>
      <c r="L5" s="2715"/>
      <c r="M5" s="2716"/>
      <c r="N5" s="2716"/>
      <c r="O5" s="2716"/>
      <c r="P5" s="3859"/>
      <c r="Q5" s="3860"/>
      <c r="R5" s="3865"/>
      <c r="S5" s="3866"/>
      <c r="T5" s="3865"/>
      <c r="U5" s="3866"/>
      <c r="V5" s="3877"/>
      <c r="W5" s="3877"/>
      <c r="X5" s="1355"/>
      <c r="Y5" s="3865"/>
      <c r="Z5" s="3866"/>
      <c r="AA5" s="3851"/>
      <c r="AB5" s="3851"/>
      <c r="AC5" s="3851"/>
    </row>
    <row r="6" spans="1:29" ht="15" thickBot="1">
      <c r="A6" s="360"/>
      <c r="B6" s="361"/>
      <c r="C6" s="3948" t="s">
        <v>1919</v>
      </c>
      <c r="D6" s="3949"/>
      <c r="E6" s="3950" t="s">
        <v>1919</v>
      </c>
      <c r="F6" s="3951"/>
      <c r="G6" s="3948" t="s">
        <v>1919</v>
      </c>
      <c r="H6" s="3949"/>
      <c r="I6" s="3948" t="s">
        <v>1919</v>
      </c>
      <c r="J6" s="3949"/>
      <c r="K6" s="559" t="s">
        <v>1678</v>
      </c>
      <c r="L6" s="2715"/>
      <c r="M6" s="2716"/>
      <c r="N6" s="2716"/>
      <c r="O6" s="2716"/>
      <c r="P6" s="3861"/>
      <c r="Q6" s="3862"/>
      <c r="R6" s="3865"/>
      <c r="S6" s="3866"/>
      <c r="T6" s="3875"/>
      <c r="U6" s="3876"/>
      <c r="V6" s="3877"/>
      <c r="W6" s="3877"/>
      <c r="X6" s="1355"/>
      <c r="Y6" s="3875"/>
      <c r="Z6" s="3876"/>
      <c r="AA6" s="3852"/>
      <c r="AB6" s="3852"/>
      <c r="AC6" s="3852"/>
    </row>
    <row r="7" spans="1:29" s="108" customFormat="1" ht="15" thickBot="1">
      <c r="A7" s="362" t="s">
        <v>1679</v>
      </c>
      <c r="B7" s="363"/>
      <c r="C7" s="364">
        <f>'数据-取费表'!B2</f>
        <v>45478</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878" t="s">
        <v>1680</v>
      </c>
      <c r="Q7" s="3879"/>
      <c r="R7" s="701" t="s">
        <v>14</v>
      </c>
      <c r="S7" s="702">
        <f t="shared" ref="S7:S15" si="0">F7</f>
        <v>0</v>
      </c>
      <c r="T7" s="701" t="s">
        <v>14</v>
      </c>
      <c r="U7" s="702">
        <f t="shared" ref="U7:U15" si="1">H7</f>
        <v>0</v>
      </c>
      <c r="V7" s="701" t="s">
        <v>14</v>
      </c>
      <c r="W7" s="702">
        <f t="shared" ref="W7:W15" si="2">J7</f>
        <v>0</v>
      </c>
      <c r="X7" s="703"/>
      <c r="Y7" s="3878" t="s">
        <v>1680</v>
      </c>
      <c r="Z7" s="3880"/>
      <c r="AA7" s="704" t="e">
        <f>D7/F7</f>
        <v>#DIV/0!</v>
      </c>
      <c r="AB7" s="704" t="e">
        <f>D7/H7</f>
        <v>#DIV/0!</v>
      </c>
      <c r="AC7" s="704" t="e">
        <f>D7/J7</f>
        <v>#DIV/0!</v>
      </c>
    </row>
    <row r="8" spans="1:29" s="108" customFormat="1" ht="1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878" t="s">
        <v>1683</v>
      </c>
      <c r="Q8" s="3880"/>
      <c r="R8" s="701" t="s">
        <v>14</v>
      </c>
      <c r="S8" s="702">
        <f t="shared" si="0"/>
        <v>0</v>
      </c>
      <c r="T8" s="701" t="s">
        <v>14</v>
      </c>
      <c r="U8" s="702">
        <f t="shared" si="1"/>
        <v>0</v>
      </c>
      <c r="V8" s="701" t="s">
        <v>14</v>
      </c>
      <c r="W8" s="702">
        <f t="shared" si="2"/>
        <v>0</v>
      </c>
      <c r="X8" s="703"/>
      <c r="Y8" s="3878" t="s">
        <v>1683</v>
      </c>
      <c r="Z8" s="3880"/>
      <c r="AA8" s="704" t="e">
        <f t="shared" ref="AA8:AA40" si="3">D8/F8</f>
        <v>#DIV/0!</v>
      </c>
      <c r="AB8" s="704" t="e">
        <f t="shared" ref="AB8:AB40" si="4">D8/H8</f>
        <v>#DIV/0!</v>
      </c>
      <c r="AC8" s="704" t="e">
        <f t="shared" ref="AC8:AC40" si="5">D8/J8</f>
        <v>#DIV/0!</v>
      </c>
    </row>
    <row r="9" spans="1:29" s="108" customFormat="1" ht="14.4">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891" t="s">
        <v>1686</v>
      </c>
      <c r="Q9" s="1343" t="str">
        <f t="shared" ref="Q9:Q15" si="6">B9</f>
        <v>用途</v>
      </c>
      <c r="R9" s="701" t="s">
        <v>14</v>
      </c>
      <c r="S9" s="702">
        <f t="shared" si="0"/>
        <v>100</v>
      </c>
      <c r="T9" s="701" t="s">
        <v>14</v>
      </c>
      <c r="U9" s="702">
        <f t="shared" si="1"/>
        <v>100</v>
      </c>
      <c r="V9" s="701" t="s">
        <v>14</v>
      </c>
      <c r="W9" s="702">
        <f t="shared" si="2"/>
        <v>100</v>
      </c>
      <c r="X9" s="703"/>
      <c r="Y9" s="3706" t="s">
        <v>1687</v>
      </c>
      <c r="Z9" s="52" t="str">
        <f t="shared" ref="Z9:Z15" si="7">Q9</f>
        <v>用途</v>
      </c>
      <c r="AA9" s="704">
        <f t="shared" si="3"/>
        <v>1</v>
      </c>
      <c r="AB9" s="704">
        <f t="shared" si="4"/>
        <v>1</v>
      </c>
      <c r="AC9" s="704">
        <f t="shared" si="5"/>
        <v>1</v>
      </c>
    </row>
    <row r="10" spans="1:29" s="378" customFormat="1" ht="28.8">
      <c r="A10" s="374"/>
      <c r="B10" s="375" t="s">
        <v>1688</v>
      </c>
      <c r="C10" s="383"/>
      <c r="D10" s="127">
        <v>100</v>
      </c>
      <c r="E10" s="383"/>
      <c r="F10" s="127">
        <f>ROUND(100/'数据-取费表'!G16,0)</f>
        <v>125</v>
      </c>
      <c r="G10" s="383"/>
      <c r="H10" s="127">
        <f>ROUND(100/'数据-取费表'!G16,0)</f>
        <v>125</v>
      </c>
      <c r="I10" s="383"/>
      <c r="J10" s="127">
        <f>ROUND(100/'数据-取费表'!G16,0)</f>
        <v>125</v>
      </c>
      <c r="K10" s="620"/>
      <c r="L10" s="2719"/>
      <c r="M10" s="2720"/>
      <c r="N10" s="2720"/>
      <c r="O10" s="2773"/>
      <c r="P10" s="3891"/>
      <c r="Q10" s="1343" t="str">
        <f t="shared" si="6"/>
        <v>土地使用年限（年）</v>
      </c>
      <c r="R10" s="701" t="s">
        <v>14</v>
      </c>
      <c r="S10" s="702">
        <f t="shared" si="0"/>
        <v>125</v>
      </c>
      <c r="T10" s="701" t="s">
        <v>14</v>
      </c>
      <c r="U10" s="702">
        <f t="shared" si="1"/>
        <v>125</v>
      </c>
      <c r="V10" s="701" t="s">
        <v>14</v>
      </c>
      <c r="W10" s="702">
        <f t="shared" si="2"/>
        <v>125</v>
      </c>
      <c r="X10" s="703"/>
      <c r="Y10" s="3706"/>
      <c r="Z10" s="52" t="str">
        <f t="shared" si="7"/>
        <v>土地使用年限（年）</v>
      </c>
      <c r="AA10" s="704">
        <f t="shared" si="3"/>
        <v>0.8</v>
      </c>
      <c r="AB10" s="704">
        <f t="shared" si="4"/>
        <v>0.8</v>
      </c>
      <c r="AC10" s="704">
        <f t="shared" si="5"/>
        <v>0.8</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891"/>
      <c r="Q11" s="1343" t="str">
        <f t="shared" si="6"/>
        <v>容积率</v>
      </c>
      <c r="R11" s="701" t="s">
        <v>14</v>
      </c>
      <c r="S11" s="702" t="e">
        <f t="shared" si="0"/>
        <v>#N/A</v>
      </c>
      <c r="T11" s="701" t="s">
        <v>14</v>
      </c>
      <c r="U11" s="702" t="e">
        <f t="shared" si="1"/>
        <v>#N/A</v>
      </c>
      <c r="V11" s="701" t="s">
        <v>14</v>
      </c>
      <c r="W11" s="702" t="e">
        <f t="shared" si="2"/>
        <v>#N/A</v>
      </c>
      <c r="X11" s="703"/>
      <c r="Y11" s="3706"/>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891"/>
      <c r="Q12" s="1343">
        <f t="shared" si="6"/>
        <v>111</v>
      </c>
      <c r="R12" s="701" t="s">
        <v>14</v>
      </c>
      <c r="S12" s="702">
        <f t="shared" si="0"/>
        <v>100</v>
      </c>
      <c r="T12" s="701" t="s">
        <v>14</v>
      </c>
      <c r="U12" s="702">
        <f t="shared" si="1"/>
        <v>100</v>
      </c>
      <c r="V12" s="701" t="s">
        <v>14</v>
      </c>
      <c r="W12" s="702">
        <f t="shared" si="2"/>
        <v>100</v>
      </c>
      <c r="X12" s="703"/>
      <c r="Y12" s="3706"/>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891"/>
      <c r="Q13" s="1343">
        <f t="shared" si="6"/>
        <v>111</v>
      </c>
      <c r="R13" s="701" t="s">
        <v>14</v>
      </c>
      <c r="S13" s="702">
        <f t="shared" si="0"/>
        <v>100</v>
      </c>
      <c r="T13" s="701" t="s">
        <v>14</v>
      </c>
      <c r="U13" s="702">
        <f t="shared" si="1"/>
        <v>100</v>
      </c>
      <c r="V13" s="701" t="s">
        <v>14</v>
      </c>
      <c r="W13" s="702">
        <f t="shared" si="2"/>
        <v>100</v>
      </c>
      <c r="X13" s="703"/>
      <c r="Y13" s="3706"/>
      <c r="Z13" s="52">
        <f t="shared" si="7"/>
        <v>111</v>
      </c>
      <c r="AA13" s="704">
        <f t="shared" si="3"/>
        <v>1</v>
      </c>
      <c r="AB13" s="704">
        <f t="shared" si="4"/>
        <v>1</v>
      </c>
      <c r="AC13" s="704">
        <f t="shared" si="5"/>
        <v>1</v>
      </c>
    </row>
    <row r="14" spans="1:29" ht="15.6"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891"/>
      <c r="Q14" s="1343">
        <f t="shared" si="6"/>
        <v>111</v>
      </c>
      <c r="R14" s="701" t="s">
        <v>14</v>
      </c>
      <c r="S14" s="702">
        <f t="shared" si="0"/>
        <v>100</v>
      </c>
      <c r="T14" s="701" t="s">
        <v>14</v>
      </c>
      <c r="U14" s="702">
        <f t="shared" si="1"/>
        <v>100</v>
      </c>
      <c r="V14" s="701" t="s">
        <v>14</v>
      </c>
      <c r="W14" s="702">
        <f t="shared" si="2"/>
        <v>100</v>
      </c>
      <c r="X14" s="703"/>
      <c r="Y14" s="3706"/>
      <c r="Z14" s="52">
        <f t="shared" si="7"/>
        <v>111</v>
      </c>
      <c r="AA14" s="704">
        <f t="shared" si="3"/>
        <v>1</v>
      </c>
      <c r="AB14" s="704">
        <f t="shared" si="4"/>
        <v>1</v>
      </c>
      <c r="AC14" s="704">
        <f t="shared" si="5"/>
        <v>1</v>
      </c>
    </row>
    <row r="15" spans="1:29" ht="69">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884" t="s">
        <v>1691</v>
      </c>
      <c r="Q15" s="1352" t="str">
        <f t="shared" si="6"/>
        <v>产业集聚程度</v>
      </c>
      <c r="R15" s="705" t="s">
        <v>14</v>
      </c>
      <c r="S15" s="706">
        <f t="shared" si="0"/>
        <v>100</v>
      </c>
      <c r="T15" s="705" t="s">
        <v>14</v>
      </c>
      <c r="U15" s="706">
        <f t="shared" si="1"/>
        <v>100</v>
      </c>
      <c r="V15" s="705" t="s">
        <v>14</v>
      </c>
      <c r="W15" s="706">
        <f t="shared" si="2"/>
        <v>100</v>
      </c>
      <c r="X15" s="1355"/>
      <c r="Y15" s="3884"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885"/>
      <c r="Q16" s="1352"/>
      <c r="R16" s="705"/>
      <c r="S16" s="706"/>
      <c r="T16" s="705"/>
      <c r="U16" s="706"/>
      <c r="V16" s="705"/>
      <c r="W16" s="706"/>
      <c r="X16" s="1355"/>
      <c r="Y16" s="3885"/>
      <c r="Z16" s="1356"/>
      <c r="AA16" s="1353">
        <v>1</v>
      </c>
      <c r="AB16" s="1353">
        <v>1</v>
      </c>
      <c r="AC16" s="1353">
        <v>1</v>
      </c>
    </row>
    <row r="17" spans="1:29" ht="96.6">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885"/>
      <c r="Q17" s="1352" t="str">
        <f>B17</f>
        <v>交通便捷度</v>
      </c>
      <c r="R17" s="705" t="s">
        <v>14</v>
      </c>
      <c r="S17" s="706">
        <f>F17</f>
        <v>100</v>
      </c>
      <c r="T17" s="705" t="s">
        <v>14</v>
      </c>
      <c r="U17" s="706">
        <f>H17</f>
        <v>100</v>
      </c>
      <c r="V17" s="705" t="s">
        <v>14</v>
      </c>
      <c r="W17" s="706">
        <f>J17</f>
        <v>100</v>
      </c>
      <c r="X17" s="1355"/>
      <c r="Y17" s="3885"/>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885"/>
      <c r="Q18" s="1352"/>
      <c r="R18" s="705"/>
      <c r="S18" s="706"/>
      <c r="T18" s="705"/>
      <c r="U18" s="706"/>
      <c r="V18" s="705"/>
      <c r="W18" s="706"/>
      <c r="X18" s="1355"/>
      <c r="Y18" s="3885"/>
      <c r="Z18" s="1356"/>
      <c r="AA18" s="1353">
        <v>1</v>
      </c>
      <c r="AB18" s="1353">
        <v>1</v>
      </c>
      <c r="AC18" s="1353">
        <v>1</v>
      </c>
    </row>
    <row r="19" spans="1:29" ht="28.8">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885"/>
      <c r="Q19" s="1352" t="str">
        <f t="shared" ref="Q19:Q33" si="8">B19</f>
        <v>区域土地利用方向</v>
      </c>
      <c r="R19" s="705" t="s">
        <v>14</v>
      </c>
      <c r="S19" s="706">
        <f>F19</f>
        <v>100</v>
      </c>
      <c r="T19" s="705" t="s">
        <v>14</v>
      </c>
      <c r="U19" s="706">
        <f>H19</f>
        <v>100</v>
      </c>
      <c r="V19" s="705" t="s">
        <v>14</v>
      </c>
      <c r="W19" s="706">
        <f>J19</f>
        <v>100</v>
      </c>
      <c r="X19" s="1355"/>
      <c r="Y19" s="3885"/>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885"/>
      <c r="Q20" s="1352"/>
      <c r="R20" s="705"/>
      <c r="S20" s="706"/>
      <c r="T20" s="705"/>
      <c r="U20" s="706"/>
      <c r="V20" s="705"/>
      <c r="W20" s="706"/>
      <c r="X20" s="1355"/>
      <c r="Y20" s="3885"/>
      <c r="Z20" s="1356"/>
      <c r="AA20" s="1353"/>
      <c r="AB20" s="1353"/>
      <c r="AC20" s="1353"/>
    </row>
    <row r="21" spans="1:29" ht="82.8">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885"/>
      <c r="Q21" s="1352" t="str">
        <f t="shared" si="8"/>
        <v>环境状况</v>
      </c>
      <c r="R21" s="705" t="s">
        <v>14</v>
      </c>
      <c r="S21" s="706">
        <f>F21</f>
        <v>100</v>
      </c>
      <c r="T21" s="705" t="s">
        <v>14</v>
      </c>
      <c r="U21" s="706">
        <f>H21</f>
        <v>100</v>
      </c>
      <c r="V21" s="705" t="s">
        <v>14</v>
      </c>
      <c r="W21" s="706">
        <f>J21</f>
        <v>100</v>
      </c>
      <c r="X21" s="1355"/>
      <c r="Y21" s="3885"/>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885"/>
      <c r="Q22" s="1352"/>
      <c r="R22" s="705"/>
      <c r="S22" s="706"/>
      <c r="T22" s="705"/>
      <c r="U22" s="706"/>
      <c r="V22" s="705"/>
      <c r="W22" s="706"/>
      <c r="X22" s="1355"/>
      <c r="Y22" s="3885"/>
      <c r="Z22" s="1356"/>
      <c r="AA22" s="1353">
        <v>1</v>
      </c>
      <c r="AB22" s="1353">
        <v>1</v>
      </c>
      <c r="AC22" s="1353">
        <v>1</v>
      </c>
    </row>
    <row r="23" spans="1:29" s="108" customFormat="1" ht="41.4">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885"/>
      <c r="Q23" s="1343" t="str">
        <f t="shared" si="8"/>
        <v>公共配套设施</v>
      </c>
      <c r="R23" s="701" t="s">
        <v>14</v>
      </c>
      <c r="S23" s="702">
        <f>F23</f>
        <v>100</v>
      </c>
      <c r="T23" s="701" t="s">
        <v>14</v>
      </c>
      <c r="U23" s="702">
        <f>H23</f>
        <v>100</v>
      </c>
      <c r="V23" s="701" t="s">
        <v>14</v>
      </c>
      <c r="W23" s="702">
        <f>J23</f>
        <v>100</v>
      </c>
      <c r="X23" s="703"/>
      <c r="Y23" s="3885"/>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885"/>
      <c r="Q24" s="1343"/>
      <c r="R24" s="701"/>
      <c r="S24" s="702"/>
      <c r="T24" s="701"/>
      <c r="U24" s="702"/>
      <c r="V24" s="701"/>
      <c r="W24" s="702"/>
      <c r="X24" s="703"/>
      <c r="Y24" s="3885"/>
      <c r="Z24" s="52"/>
      <c r="AA24" s="704">
        <v>1</v>
      </c>
      <c r="AB24" s="704">
        <v>1</v>
      </c>
      <c r="AC24" s="704">
        <v>1</v>
      </c>
    </row>
    <row r="25" spans="1:29" s="108" customFormat="1" ht="41.4">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885"/>
      <c r="Q25" s="1343" t="str">
        <f t="shared" ref="Q25" si="9">B25</f>
        <v>基础设施水平</v>
      </c>
      <c r="R25" s="701" t="s">
        <v>14</v>
      </c>
      <c r="S25" s="702">
        <f>F25</f>
        <v>100</v>
      </c>
      <c r="T25" s="701" t="s">
        <v>14</v>
      </c>
      <c r="U25" s="702">
        <f>H25</f>
        <v>100</v>
      </c>
      <c r="V25" s="701" t="s">
        <v>14</v>
      </c>
      <c r="W25" s="702">
        <f>J25</f>
        <v>100</v>
      </c>
      <c r="X25" s="703"/>
      <c r="Y25" s="3885"/>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885"/>
      <c r="Q26" s="1343"/>
      <c r="R26" s="701"/>
      <c r="S26" s="702"/>
      <c r="T26" s="701"/>
      <c r="U26" s="702"/>
      <c r="V26" s="701"/>
      <c r="W26" s="702"/>
      <c r="X26" s="703"/>
      <c r="Y26" s="3885"/>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885"/>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885"/>
      <c r="Z27" s="1356" t="str">
        <f t="shared" ref="Z27:Z40" si="13">Q27</f>
        <v>临街状况</v>
      </c>
      <c r="AA27" s="1353">
        <f t="shared" si="3"/>
        <v>1</v>
      </c>
      <c r="AB27" s="1353">
        <f t="shared" si="4"/>
        <v>1</v>
      </c>
      <c r="AC27" s="1353">
        <f t="shared" si="5"/>
        <v>1</v>
      </c>
    </row>
    <row r="28" spans="1:29" ht="28.8">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885"/>
      <c r="Q28" s="1352" t="str">
        <f t="shared" si="8"/>
        <v>毗邻道路的类型与等级</v>
      </c>
      <c r="R28" s="705" t="s">
        <v>14</v>
      </c>
      <c r="S28" s="706">
        <f t="shared" si="10"/>
        <v>100</v>
      </c>
      <c r="T28" s="705" t="s">
        <v>14</v>
      </c>
      <c r="U28" s="706">
        <f t="shared" si="11"/>
        <v>100</v>
      </c>
      <c r="V28" s="705" t="s">
        <v>14</v>
      </c>
      <c r="W28" s="706">
        <f t="shared" si="12"/>
        <v>100</v>
      </c>
      <c r="X28" s="1355"/>
      <c r="Y28" s="3885"/>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885"/>
      <c r="Q29" s="1352"/>
      <c r="R29" s="705"/>
      <c r="S29" s="706"/>
      <c r="T29" s="705"/>
      <c r="U29" s="706"/>
      <c r="V29" s="705"/>
      <c r="W29" s="706"/>
      <c r="X29" s="1355"/>
      <c r="Y29" s="3885"/>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885"/>
      <c r="Q30" s="1352" t="str">
        <f t="shared" si="8"/>
        <v>土地级别</v>
      </c>
      <c r="R30" s="705" t="s">
        <v>14</v>
      </c>
      <c r="S30" s="706">
        <f t="shared" si="10"/>
        <v>100</v>
      </c>
      <c r="T30" s="705" t="s">
        <v>14</v>
      </c>
      <c r="U30" s="706">
        <f t="shared" si="11"/>
        <v>100</v>
      </c>
      <c r="V30" s="705" t="s">
        <v>14</v>
      </c>
      <c r="W30" s="706">
        <f t="shared" si="12"/>
        <v>100</v>
      </c>
      <c r="X30" s="1355"/>
      <c r="Y30" s="3885"/>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885"/>
      <c r="Q31" s="1352">
        <f t="shared" si="8"/>
        <v>111</v>
      </c>
      <c r="R31" s="705" t="s">
        <v>14</v>
      </c>
      <c r="S31" s="706">
        <f t="shared" si="10"/>
        <v>100</v>
      </c>
      <c r="T31" s="705" t="s">
        <v>14</v>
      </c>
      <c r="U31" s="706">
        <f t="shared" si="11"/>
        <v>100</v>
      </c>
      <c r="V31" s="705" t="s">
        <v>14</v>
      </c>
      <c r="W31" s="706">
        <f t="shared" si="12"/>
        <v>100</v>
      </c>
      <c r="X31" s="1355"/>
      <c r="Y31" s="3885"/>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943" t="s">
        <v>1696</v>
      </c>
      <c r="Q32" s="1352">
        <f t="shared" si="8"/>
        <v>111</v>
      </c>
      <c r="R32" s="705" t="s">
        <v>14</v>
      </c>
      <c r="S32" s="706">
        <f t="shared" si="10"/>
        <v>100</v>
      </c>
      <c r="T32" s="705" t="s">
        <v>14</v>
      </c>
      <c r="U32" s="706">
        <f t="shared" si="11"/>
        <v>100</v>
      </c>
      <c r="V32" s="705" t="s">
        <v>14</v>
      </c>
      <c r="W32" s="706">
        <f t="shared" si="12"/>
        <v>100</v>
      </c>
      <c r="X32" s="1355"/>
      <c r="Y32" s="3889" t="s">
        <v>1696</v>
      </c>
      <c r="Z32" s="1356">
        <f t="shared" si="13"/>
        <v>111</v>
      </c>
      <c r="AA32" s="1353">
        <f t="shared" si="3"/>
        <v>1</v>
      </c>
      <c r="AB32" s="1353">
        <f t="shared" si="4"/>
        <v>1</v>
      </c>
      <c r="AC32" s="1353">
        <f t="shared" si="5"/>
        <v>1</v>
      </c>
    </row>
    <row r="33" spans="1:31" s="422" customFormat="1" ht="15.6"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889"/>
      <c r="Q33" s="1352">
        <f t="shared" si="8"/>
        <v>111</v>
      </c>
      <c r="R33" s="708" t="s">
        <v>14</v>
      </c>
      <c r="S33" s="709">
        <f t="shared" si="10"/>
        <v>100</v>
      </c>
      <c r="T33" s="708" t="s">
        <v>14</v>
      </c>
      <c r="U33" s="709">
        <f t="shared" si="11"/>
        <v>100</v>
      </c>
      <c r="V33" s="708" t="s">
        <v>14</v>
      </c>
      <c r="W33" s="709">
        <f t="shared" si="12"/>
        <v>100</v>
      </c>
      <c r="X33" s="710"/>
      <c r="Y33" s="3889"/>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889"/>
      <c r="Q34" s="1352" t="str">
        <f>B34</f>
        <v>宗地面积</v>
      </c>
      <c r="R34" s="705" t="s">
        <v>14</v>
      </c>
      <c r="S34" s="706" t="e">
        <f t="shared" si="10"/>
        <v>#N/A</v>
      </c>
      <c r="T34" s="705" t="s">
        <v>14</v>
      </c>
      <c r="U34" s="706" t="e">
        <f t="shared" si="11"/>
        <v>#N/A</v>
      </c>
      <c r="V34" s="705" t="s">
        <v>14</v>
      </c>
      <c r="W34" s="706" t="e">
        <f t="shared" si="12"/>
        <v>#N/A</v>
      </c>
      <c r="X34" s="1355"/>
      <c r="Y34" s="3889"/>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889"/>
      <c r="Q35" s="1352" t="str">
        <f t="shared" ref="Q35:Q40" si="14">B35</f>
        <v>宗地形状</v>
      </c>
      <c r="R35" s="705" t="s">
        <v>14</v>
      </c>
      <c r="S35" s="706">
        <f t="shared" si="10"/>
        <v>100</v>
      </c>
      <c r="T35" s="705" t="s">
        <v>14</v>
      </c>
      <c r="U35" s="706">
        <f t="shared" si="11"/>
        <v>100</v>
      </c>
      <c r="V35" s="705" t="s">
        <v>14</v>
      </c>
      <c r="W35" s="706">
        <f t="shared" si="12"/>
        <v>100</v>
      </c>
      <c r="X35" s="1355"/>
      <c r="Y35" s="3889"/>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889"/>
      <c r="Q36" s="1352" t="str">
        <f t="shared" si="14"/>
        <v>宗地开发程度</v>
      </c>
      <c r="R36" s="701" t="s">
        <v>14</v>
      </c>
      <c r="S36" s="702">
        <f t="shared" si="10"/>
        <v>100</v>
      </c>
      <c r="T36" s="701" t="s">
        <v>14</v>
      </c>
      <c r="U36" s="702">
        <f t="shared" si="11"/>
        <v>100</v>
      </c>
      <c r="V36" s="701" t="s">
        <v>14</v>
      </c>
      <c r="W36" s="702">
        <f t="shared" si="12"/>
        <v>100</v>
      </c>
      <c r="X36" s="703"/>
      <c r="Y36" s="3889"/>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889" t="s">
        <v>1696</v>
      </c>
      <c r="Q37" s="1352" t="str">
        <f t="shared" si="14"/>
        <v>工程地质条件</v>
      </c>
      <c r="R37" s="705" t="s">
        <v>14</v>
      </c>
      <c r="S37" s="706">
        <f t="shared" si="10"/>
        <v>100</v>
      </c>
      <c r="T37" s="705" t="s">
        <v>14</v>
      </c>
      <c r="U37" s="706">
        <f t="shared" si="11"/>
        <v>100</v>
      </c>
      <c r="V37" s="705" t="s">
        <v>14</v>
      </c>
      <c r="W37" s="706">
        <f t="shared" si="12"/>
        <v>100</v>
      </c>
      <c r="X37" s="1355"/>
      <c r="Y37" s="3889"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889"/>
      <c r="Q38" s="1352">
        <f t="shared" si="14"/>
        <v>111</v>
      </c>
      <c r="R38" s="705" t="s">
        <v>14</v>
      </c>
      <c r="S38" s="706">
        <f t="shared" si="10"/>
        <v>100</v>
      </c>
      <c r="T38" s="705" t="s">
        <v>14</v>
      </c>
      <c r="U38" s="706">
        <f t="shared" si="11"/>
        <v>100</v>
      </c>
      <c r="V38" s="705" t="s">
        <v>14</v>
      </c>
      <c r="W38" s="706">
        <f t="shared" si="12"/>
        <v>100</v>
      </c>
      <c r="X38" s="1355"/>
      <c r="Y38" s="3889"/>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889"/>
      <c r="Q39" s="1352">
        <f t="shared" si="14"/>
        <v>111</v>
      </c>
      <c r="R39" s="705" t="s">
        <v>14</v>
      </c>
      <c r="S39" s="706">
        <f t="shared" si="10"/>
        <v>100</v>
      </c>
      <c r="T39" s="705" t="s">
        <v>14</v>
      </c>
      <c r="U39" s="706">
        <f t="shared" si="11"/>
        <v>100</v>
      </c>
      <c r="V39" s="705" t="s">
        <v>14</v>
      </c>
      <c r="W39" s="706">
        <f t="shared" si="12"/>
        <v>100</v>
      </c>
      <c r="X39" s="1355"/>
      <c r="Y39" s="3889"/>
      <c r="Z39" s="1356">
        <f t="shared" si="13"/>
        <v>111</v>
      </c>
      <c r="AA39" s="1353">
        <f t="shared" si="3"/>
        <v>1</v>
      </c>
      <c r="AB39" s="1353">
        <f t="shared" si="4"/>
        <v>1</v>
      </c>
      <c r="AC39" s="1353">
        <f t="shared" si="5"/>
        <v>1</v>
      </c>
    </row>
    <row r="40" spans="1:31" s="422" customFormat="1" ht="15.6"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889"/>
      <c r="Q40" s="1352">
        <f t="shared" si="14"/>
        <v>111</v>
      </c>
      <c r="R40" s="708" t="s">
        <v>14</v>
      </c>
      <c r="S40" s="709">
        <f t="shared" si="10"/>
        <v>100</v>
      </c>
      <c r="T40" s="708" t="s">
        <v>14</v>
      </c>
      <c r="U40" s="709">
        <f t="shared" si="11"/>
        <v>100</v>
      </c>
      <c r="V40" s="708" t="s">
        <v>14</v>
      </c>
      <c r="W40" s="709">
        <f t="shared" si="12"/>
        <v>100</v>
      </c>
      <c r="X40" s="710"/>
      <c r="Y40" s="3889"/>
      <c r="Z40" s="711">
        <f t="shared" si="13"/>
        <v>111</v>
      </c>
      <c r="AA40" s="1353">
        <f t="shared" si="3"/>
        <v>1</v>
      </c>
      <c r="AB40" s="1353">
        <f t="shared" si="4"/>
        <v>1</v>
      </c>
      <c r="AC40" s="1353">
        <f t="shared" si="5"/>
        <v>1</v>
      </c>
    </row>
    <row r="41" spans="1:31" ht="14.4">
      <c r="A41" s="430" t="s">
        <v>1844</v>
      </c>
      <c r="B41" s="1982" t="s">
        <v>1922</v>
      </c>
      <c r="C41" s="630" t="s">
        <v>0</v>
      </c>
      <c r="D41" s="432"/>
      <c r="E41" s="433"/>
      <c r="F41" s="434"/>
      <c r="G41" s="435"/>
      <c r="H41" s="436"/>
      <c r="I41" s="433"/>
      <c r="J41" s="436"/>
      <c r="K41" s="714"/>
      <c r="L41" s="2724"/>
      <c r="M41" s="2716"/>
      <c r="N41" s="2716"/>
      <c r="O41" s="2725"/>
      <c r="P41" s="3891" t="str">
        <f>A41</f>
        <v>成交单价</v>
      </c>
      <c r="Q41" s="3891"/>
      <c r="R41" s="3877">
        <f>E41</f>
        <v>0</v>
      </c>
      <c r="S41" s="3877"/>
      <c r="T41" s="3877">
        <f>G41</f>
        <v>0</v>
      </c>
      <c r="U41" s="3877"/>
      <c r="V41" s="3877">
        <f>I41</f>
        <v>0</v>
      </c>
      <c r="W41" s="3877"/>
      <c r="X41" s="690"/>
      <c r="Y41" s="712"/>
      <c r="Z41" s="690"/>
      <c r="AA41" s="690"/>
      <c r="AB41" s="690"/>
      <c r="AC41" s="690"/>
    </row>
    <row r="42" spans="1:31" ht="15" thickBot="1">
      <c r="A42" s="437" t="s">
        <v>1793</v>
      </c>
      <c r="B42" s="631"/>
      <c r="C42" s="440" t="e">
        <f>R43</f>
        <v>#DIV/0!</v>
      </c>
      <c r="D42" s="2317" t="s">
        <v>2138</v>
      </c>
      <c r="E42" s="440" t="e">
        <f>R42</f>
        <v>#DIV/0!</v>
      </c>
      <c r="F42" s="2318"/>
      <c r="G42" s="439" t="e">
        <f>T42</f>
        <v>#DIV/0!</v>
      </c>
      <c r="H42" s="2318"/>
      <c r="I42" s="440" t="e">
        <f>V42</f>
        <v>#DIV/0!</v>
      </c>
      <c r="J42" s="2318"/>
      <c r="K42" s="2320">
        <f>F42+H42+J42</f>
        <v>0</v>
      </c>
      <c r="L42" s="2724"/>
      <c r="M42" s="2716"/>
      <c r="N42" s="2716"/>
      <c r="O42" s="2725"/>
      <c r="P42" s="3891" t="str">
        <f>A42</f>
        <v>比较价值（元/平方米）</v>
      </c>
      <c r="Q42" s="3891"/>
      <c r="R42" s="3945" t="e">
        <f>ROUND(PRODUCT(R41,AA7:AA40),0)</f>
        <v>#DIV/0!</v>
      </c>
      <c r="S42" s="3945"/>
      <c r="T42" s="3945" t="e">
        <f>ROUND(PRODUCT(T41,AB7:AB40),0)</f>
        <v>#DIV/0!</v>
      </c>
      <c r="U42" s="3945"/>
      <c r="V42" s="3945" t="e">
        <f>ROUND(PRODUCT(V41,AC7:AC40),0)</f>
        <v>#DIV/0!</v>
      </c>
      <c r="W42" s="3945"/>
      <c r="X42" s="690"/>
      <c r="Y42" s="690"/>
      <c r="Z42" s="690"/>
      <c r="AA42" s="690"/>
      <c r="AB42" s="690"/>
      <c r="AC42" s="690"/>
    </row>
    <row r="43" spans="1:31" ht="15" thickBot="1">
      <c r="A43" s="441" t="s">
        <v>1794</v>
      </c>
      <c r="B43" s="442"/>
      <c r="C43" s="443" t="e">
        <f>R43</f>
        <v>#DIV/0!</v>
      </c>
      <c r="D43" s="443"/>
      <c r="E43" s="443"/>
      <c r="F43" s="443"/>
      <c r="G43" s="443"/>
      <c r="H43" s="443"/>
      <c r="I43" s="443"/>
      <c r="J43" s="443"/>
      <c r="K43" s="715"/>
      <c r="L43" s="2724"/>
      <c r="M43" s="2716"/>
      <c r="N43" s="2716"/>
      <c r="O43" s="2725"/>
      <c r="P43" s="3893" t="str">
        <f>A43</f>
        <v>估价对象XX用房的比较价值（楼面单价，元/平方米）</v>
      </c>
      <c r="Q43" s="3894"/>
      <c r="R43" s="3946" t="e">
        <f>ROUND(IF(D42="简单平均",AVERAGE(R42:W42),R42*F42+T42*H42+V42*J42),0)</f>
        <v>#DIV/0!</v>
      </c>
      <c r="S43" s="3946"/>
      <c r="T43" s="3946"/>
      <c r="U43" s="3946"/>
      <c r="V43" s="3946"/>
      <c r="W43" s="3946"/>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4.4"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8.8">
      <c r="A50" s="632" t="s">
        <v>1881</v>
      </c>
      <c r="B50" s="633" t="s">
        <v>1882</v>
      </c>
      <c r="C50" s="1983" t="s">
        <v>1883</v>
      </c>
      <c r="D50" s="1984" t="s">
        <v>1884</v>
      </c>
      <c r="E50" s="634" t="s">
        <v>1885</v>
      </c>
      <c r="F50" s="635" t="s">
        <v>1886</v>
      </c>
      <c r="G50" s="3853" t="s">
        <v>1887</v>
      </c>
      <c r="H50" s="3947"/>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2414.4300000000003</v>
      </c>
      <c r="F51" s="639" t="e">
        <f t="shared" ref="F51:F60" si="15">ROUND(B51*E51/10000,0)</f>
        <v>#DIV/0!</v>
      </c>
      <c r="G51" s="3881"/>
      <c r="H51" s="3891"/>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v>
      </c>
      <c r="D52" s="945">
        <v>0.25</v>
      </c>
      <c r="E52" s="642"/>
      <c r="F52" s="639" t="e">
        <f t="shared" si="15"/>
        <v>#DIV/0!</v>
      </c>
      <c r="G52" s="3006" t="s">
        <v>1892</v>
      </c>
      <c r="H52" s="887">
        <f>项目基本情况!B37</f>
        <v>0</v>
      </c>
      <c r="I52" s="773">
        <f>SUMIF(修正!A57:A68,H52,修正!B57:B68)</f>
        <v>0</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v>
      </c>
      <c r="D53" s="945">
        <v>0.25</v>
      </c>
      <c r="E53" s="642"/>
      <c r="F53" s="639" t="e">
        <f t="shared" si="15"/>
        <v>#DIV/0!</v>
      </c>
      <c r="G53" s="3007"/>
      <c r="H53" s="887">
        <f>项目基本情况!B37</f>
        <v>0</v>
      </c>
      <c r="I53" s="773">
        <f>SUMIF(修正!A57:A68,H53,修正!C57:C68)</f>
        <v>0</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v>
      </c>
      <c r="D54" s="945">
        <v>0.25</v>
      </c>
      <c r="E54" s="642"/>
      <c r="F54" s="639" t="e">
        <f t="shared" si="15"/>
        <v>#DIV/0!</v>
      </c>
      <c r="G54" s="3007"/>
      <c r="H54" s="887">
        <f>项目基本情况!B37</f>
        <v>0</v>
      </c>
      <c r="I54" s="773">
        <f>SUMIF(修正!A57:A68,H54,修正!D57:D68)</f>
        <v>0</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SUMIF(修正!A57:A68,H56,修正!E57:E68)</f>
        <v>0</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v>
      </c>
      <c r="D57" s="945">
        <v>0.25</v>
      </c>
      <c r="E57" s="217">
        <f>'数据-汇总表'!E12</f>
        <v>0</v>
      </c>
      <c r="F57" s="639" t="e">
        <f t="shared" si="15"/>
        <v>#DIV/0!</v>
      </c>
      <c r="G57" s="892" t="s">
        <v>1898</v>
      </c>
      <c r="H57" s="887">
        <f>IF(G57="商业",项目基本情况!B37,IF(G57="办公",项目基本情况!C37,IF(G57="住宅",项目基本情况!D37,项目基本情况!E37)))</f>
        <v>0</v>
      </c>
      <c r="I57" s="773">
        <f>SUMIF(修正!A57:A68,H57,修正!F57:F68)</f>
        <v>0</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v>
      </c>
      <c r="D59" s="945">
        <v>0.25</v>
      </c>
      <c r="E59" s="217">
        <f>'数据-汇总表'!E14</f>
        <v>0</v>
      </c>
      <c r="F59" s="639" t="e">
        <f t="shared" si="15"/>
        <v>#DIV/0!</v>
      </c>
      <c r="G59" s="1987" t="s">
        <v>1892</v>
      </c>
      <c r="H59" s="887">
        <f>项目基本情况!B37</f>
        <v>0</v>
      </c>
      <c r="I59" s="773">
        <f>SUMIF(修正!A57:A68,H59,修正!G57:G68)</f>
        <v>0</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4.4"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SUMIF(修正!A57:A68,H60,修正!G57:G68)</f>
        <v>0</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4.4"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2024-7-1</v>
      </c>
      <c r="D63" s="692">
        <f>EDATE(C63,-3)</f>
        <v>45383</v>
      </c>
      <c r="E63" s="692">
        <f>EDATE(D63,-3)</f>
        <v>45292</v>
      </c>
      <c r="F63" s="692">
        <f t="shared" ref="F63:O63" si="18">EDATE(E63,-3)</f>
        <v>45200</v>
      </c>
      <c r="G63" s="692">
        <f t="shared" si="18"/>
        <v>45108</v>
      </c>
      <c r="H63" s="692">
        <f t="shared" si="18"/>
        <v>45017</v>
      </c>
      <c r="I63" s="692">
        <f t="shared" si="18"/>
        <v>44927</v>
      </c>
      <c r="J63" s="692">
        <f t="shared" si="18"/>
        <v>44835</v>
      </c>
      <c r="K63" s="692">
        <f t="shared" si="18"/>
        <v>44743</v>
      </c>
      <c r="L63" s="692">
        <f t="shared" si="18"/>
        <v>44652</v>
      </c>
      <c r="M63" s="692">
        <f t="shared" si="18"/>
        <v>44562</v>
      </c>
      <c r="N63" s="692">
        <f t="shared" si="18"/>
        <v>44470</v>
      </c>
      <c r="O63" s="692">
        <f t="shared" si="18"/>
        <v>44378</v>
      </c>
      <c r="P63" s="2725"/>
      <c r="Q63" s="2725"/>
      <c r="R63" s="2725"/>
      <c r="S63" s="2725"/>
      <c r="T63" s="2725"/>
      <c r="U63" s="2725"/>
      <c r="V63" s="2725"/>
      <c r="W63" s="2725"/>
      <c r="X63" s="2725"/>
      <c r="Y63" s="2725"/>
      <c r="Z63" s="2725"/>
      <c r="AA63" s="2725"/>
      <c r="AB63" s="2725"/>
      <c r="AC63" s="2725"/>
      <c r="AD63" s="2725"/>
      <c r="AE63" s="2725"/>
    </row>
    <row r="64" spans="1:31" ht="22.2"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4.4">
      <c r="A65" s="1989" t="s">
        <v>1904</v>
      </c>
      <c r="B65" s="1109"/>
      <c r="C65" s="1182" t="str">
        <f>YEAR(C63)&amp;"-"&amp;ROUNDUP(MONTH(C63)/3,0)</f>
        <v>2024-3</v>
      </c>
      <c r="D65" s="1182" t="str">
        <f t="shared" ref="D65:O65" si="19">YEAR(D63)&amp;"-"&amp;ROUNDUP(MONTH(D63)/3,0)</f>
        <v>2024-2</v>
      </c>
      <c r="E65" s="1182" t="str">
        <f t="shared" si="19"/>
        <v>2024-1</v>
      </c>
      <c r="F65" s="1182" t="str">
        <f t="shared" si="19"/>
        <v>2023-4</v>
      </c>
      <c r="G65" s="1182" t="str">
        <f t="shared" si="19"/>
        <v>2023-3</v>
      </c>
      <c r="H65" s="1182" t="str">
        <f t="shared" si="19"/>
        <v>2023-2</v>
      </c>
      <c r="I65" s="1182" t="str">
        <f t="shared" si="19"/>
        <v>2023-1</v>
      </c>
      <c r="J65" s="1182" t="str">
        <f t="shared" si="19"/>
        <v>2022-4</v>
      </c>
      <c r="K65" s="1182" t="str">
        <f t="shared" si="19"/>
        <v>2022-3</v>
      </c>
      <c r="L65" s="1182" t="str">
        <f t="shared" si="19"/>
        <v>2022-2</v>
      </c>
      <c r="M65" s="1182" t="str">
        <f t="shared" si="19"/>
        <v>2022-1</v>
      </c>
      <c r="N65" s="1182" t="str">
        <f t="shared" si="19"/>
        <v>2021-4</v>
      </c>
      <c r="O65" s="1182" t="str">
        <f t="shared" si="19"/>
        <v>2021-3</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4.4">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4.4"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ht="14.4">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4.4"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9.4"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4.4"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4.4"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4.4"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4.4"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4.4"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4.4"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4.4"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4.4"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ht="14.4">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4.4"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4.4"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29.4"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4.4"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9.4"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4.4"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4.4"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4.4"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4.4"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9.4"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4.4"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4.4"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4.4"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4.4"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4.4"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4.4"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4.4"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4.4"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ht="14.4">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4.4"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4.4"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4.4"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4.4"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4.4"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4.4"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4.4"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4.4"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4.4"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4.4"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3.2"/>
  <cols>
    <col min="1" max="1" width="11.44140625" style="130" customWidth="1"/>
    <col min="2" max="2" width="9.2187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955" t="s">
        <v>2084</v>
      </c>
      <c r="D1" s="3956"/>
      <c r="E1" s="3956"/>
      <c r="F1" s="3956"/>
      <c r="G1" s="3956"/>
      <c r="H1" s="3956"/>
      <c r="I1" s="3956"/>
      <c r="J1" s="3956"/>
      <c r="K1" s="3956"/>
      <c r="L1" s="3956"/>
      <c r="M1" s="3956"/>
      <c r="N1" s="3956"/>
      <c r="O1" s="3956"/>
      <c r="P1" s="3956"/>
      <c r="Q1" s="3956"/>
      <c r="R1" s="3956"/>
      <c r="S1" s="3957"/>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8"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8"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8"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8"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8"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8"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8"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8"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2"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6">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952" t="s">
        <v>27</v>
      </c>
      <c r="D22" s="3953"/>
      <c r="E22" s="3953"/>
      <c r="F22" s="3953"/>
      <c r="G22" s="3953"/>
      <c r="H22" s="3953"/>
      <c r="I22" s="3953"/>
      <c r="J22" s="3953"/>
      <c r="K22" s="3953"/>
      <c r="L22" s="3953"/>
      <c r="M22" s="3953"/>
      <c r="N22" s="3953"/>
      <c r="O22" s="3953"/>
      <c r="P22" s="3953"/>
      <c r="Q22" s="3954"/>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10">
        <v>1</v>
      </c>
      <c r="D24" s="2811"/>
      <c r="E24" s="2810">
        <v>1</v>
      </c>
      <c r="F24" s="2811"/>
      <c r="G24" s="2810">
        <v>1</v>
      </c>
      <c r="H24" s="2811"/>
      <c r="I24" s="2810">
        <v>1</v>
      </c>
      <c r="J24" s="2811"/>
      <c r="K24" s="2810">
        <v>1</v>
      </c>
      <c r="L24" s="2811"/>
      <c r="M24" s="2810">
        <v>1</v>
      </c>
      <c r="N24" s="2811"/>
      <c r="O24" s="2810">
        <v>1</v>
      </c>
      <c r="P24" s="2811"/>
      <c r="Q24" s="2810">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3.8"/>
  <cols>
    <col min="1" max="1" width="23.33203125" style="1477" customWidth="1"/>
    <col min="2" max="2" width="12.44140625" style="1477" customWidth="1"/>
    <col min="3" max="3" width="12.109375" style="1477" customWidth="1"/>
    <col min="4" max="4" width="14.109375" style="1477" customWidth="1"/>
    <col min="5" max="5" width="12.44140625" style="1477" customWidth="1"/>
    <col min="6" max="16384" width="9" style="1477"/>
  </cols>
  <sheetData>
    <row r="1" spans="1:16" ht="21.6">
      <c r="A1" s="1867" t="s">
        <v>2081</v>
      </c>
      <c r="B1" s="2147"/>
      <c r="C1" s="2147"/>
      <c r="D1" s="2147"/>
      <c r="E1" s="2147"/>
      <c r="F1" s="2793"/>
      <c r="G1" s="2793"/>
      <c r="H1" s="2793"/>
      <c r="I1" s="2793"/>
      <c r="J1" s="2793"/>
      <c r="K1" s="2793"/>
      <c r="L1" s="2793"/>
      <c r="M1" s="2793"/>
      <c r="N1" s="2793"/>
      <c r="O1" s="2793"/>
      <c r="P1" s="2793"/>
    </row>
    <row r="2" spans="1:16" ht="15.6">
      <c r="A2" s="2145" t="s">
        <v>2073</v>
      </c>
      <c r="B2" s="2602" t="e">
        <f ca="1">SUMIF(B6:B13,"&lt;&gt;#ref!",B6:B13)</f>
        <v>#DIV/0!</v>
      </c>
      <c r="C2" s="2145" t="s">
        <v>2074</v>
      </c>
      <c r="D2" s="2145" t="s">
        <v>2075</v>
      </c>
      <c r="E2" s="2612">
        <f ca="1">SUMIF(E6:E13,"&lt;&gt;#ref!",E6:E13)</f>
        <v>0</v>
      </c>
      <c r="F2" s="2793"/>
      <c r="G2" s="2793"/>
      <c r="H2" s="2793"/>
      <c r="I2" s="2793"/>
      <c r="J2" s="2793"/>
      <c r="K2" s="2793"/>
      <c r="L2" s="2793"/>
      <c r="M2" s="2793"/>
      <c r="N2" s="2793"/>
      <c r="O2" s="2793"/>
      <c r="P2" s="2793"/>
    </row>
    <row r="3" spans="1:16" ht="15.6">
      <c r="A3" s="2145" t="s">
        <v>2076</v>
      </c>
      <c r="B3" s="2602" t="e">
        <f ca="1">ROUND(B2*10000/E2,0)</f>
        <v>#DIV/0!</v>
      </c>
      <c r="C3" s="2145" t="s">
        <v>2082</v>
      </c>
      <c r="D3" s="2793"/>
      <c r="E3" s="2793"/>
      <c r="F3" s="2793"/>
      <c r="G3" s="2793"/>
      <c r="H3" s="2793"/>
      <c r="I3" s="2793"/>
      <c r="J3" s="2793"/>
      <c r="K3" s="2793"/>
      <c r="L3" s="2793"/>
      <c r="M3" s="2793"/>
      <c r="N3" s="2793"/>
      <c r="O3" s="2793"/>
      <c r="P3" s="2793"/>
    </row>
    <row r="4" spans="1:16" ht="15.6">
      <c r="A4" s="2794"/>
      <c r="B4" s="2793"/>
      <c r="C4" s="2793"/>
      <c r="D4" s="2793"/>
      <c r="E4" s="2793"/>
      <c r="F4" s="2793"/>
      <c r="G4" s="2793"/>
      <c r="H4" s="2793"/>
      <c r="I4" s="2793"/>
      <c r="J4" s="2793"/>
      <c r="K4" s="2793"/>
      <c r="L4" s="2793"/>
      <c r="M4" s="2793"/>
      <c r="N4" s="2793"/>
      <c r="O4" s="2793"/>
      <c r="P4" s="2793"/>
    </row>
    <row r="5" spans="1:16" ht="31.2">
      <c r="A5" s="2608" t="s">
        <v>2077</v>
      </c>
      <c r="B5" s="2610" t="s">
        <v>2078</v>
      </c>
      <c r="C5" s="2146"/>
      <c r="D5" s="2793"/>
      <c r="E5" s="2611" t="s">
        <v>2079</v>
      </c>
      <c r="F5" s="2793"/>
      <c r="G5" s="2793"/>
      <c r="H5" s="2793"/>
      <c r="I5" s="2793"/>
      <c r="J5" s="2793"/>
      <c r="K5" s="2793"/>
      <c r="L5" s="2793"/>
      <c r="M5" s="2793"/>
      <c r="N5" s="2793"/>
      <c r="O5" s="2793"/>
      <c r="P5" s="2793"/>
    </row>
    <row r="6" spans="1:16" ht="15.6">
      <c r="A6" s="2609" t="s">
        <v>2080</v>
      </c>
      <c r="B6" s="2602" t="e">
        <f ca="1">SUMIF(INDIRECT("'"&amp;A6&amp;"'"&amp;"!A:A"),"总价",INDIRECT("'"&amp;A6&amp;"'"&amp;"!B:B"))</f>
        <v>#DIV/0!</v>
      </c>
      <c r="C6" s="2145" t="s">
        <v>2074</v>
      </c>
      <c r="D6" s="2793"/>
      <c r="E6" s="2612">
        <f ca="1">SUMIF(INDIRECT("'"&amp;A6&amp;"'"&amp;"!C:C"),"建筑面积",INDIRECT("'"&amp;A6&amp;"'"&amp;"!D:D"))</f>
        <v>0</v>
      </c>
      <c r="F6" s="2793"/>
      <c r="G6" s="2793"/>
      <c r="H6" s="2793"/>
      <c r="I6" s="2793"/>
      <c r="J6" s="2793"/>
      <c r="K6" s="2793"/>
      <c r="L6" s="2793"/>
      <c r="M6" s="2793"/>
      <c r="N6" s="2793"/>
      <c r="O6" s="2793"/>
      <c r="P6" s="2793"/>
    </row>
    <row r="7" spans="1:16" ht="15.6">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6">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6">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6">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6">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6">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6">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G1" zoomScale="70" zoomScaleNormal="80" zoomScaleSheetLayoutView="70" workbookViewId="0">
      <selection activeCell="V42" sqref="V42"/>
    </sheetView>
  </sheetViews>
  <sheetFormatPr defaultColWidth="12" defaultRowHeight="13.2"/>
  <cols>
    <col min="1" max="1" width="9.77734375" style="2053" customWidth="1"/>
    <col min="2" max="2" width="22.44140625" style="2144" customWidth="1"/>
    <col min="3" max="3" width="12" style="1998"/>
    <col min="4" max="4" width="14.88671875" style="1998" customWidth="1"/>
    <col min="5" max="5" width="14.6640625" style="1998" customWidth="1"/>
    <col min="6" max="8" width="12" style="1998"/>
    <col min="9" max="9" width="12.21875" style="1998" bestFit="1" customWidth="1"/>
    <col min="10" max="10" width="12" style="1998"/>
    <col min="11" max="11" width="8.109375" style="2049" customWidth="1"/>
    <col min="12" max="12" width="19.44140625" style="1998" customWidth="1"/>
    <col min="13" max="13" width="8.44140625" style="1998" customWidth="1"/>
    <col min="14" max="14" width="9.77734375" style="1998" customWidth="1"/>
    <col min="15" max="25" width="12" style="1998"/>
    <col min="26" max="26" width="9.33203125" style="2053" customWidth="1"/>
    <col min="27" max="32" width="9.33203125" style="1121" customWidth="1"/>
    <col min="33" max="36" width="9.33203125" style="2053" customWidth="1"/>
    <col min="37" max="38" width="9.33203125" style="1998" customWidth="1"/>
    <col min="39" max="16384" width="12" style="1998"/>
  </cols>
  <sheetData>
    <row r="1" spans="1:36" ht="31.2">
      <c r="A1" s="196" t="s">
        <v>1926</v>
      </c>
      <c r="B1" s="197"/>
      <c r="C1" s="201" t="s">
        <v>1927</v>
      </c>
      <c r="D1" s="342">
        <f>SUM(D33:D34,D37:D42)</f>
        <v>0</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6">
      <c r="A2" s="201" t="s">
        <v>1934</v>
      </c>
      <c r="B2" s="204" t="e">
        <f>C30</f>
        <v>#DIV/0!</v>
      </c>
      <c r="C2" s="1999" t="s">
        <v>1935</v>
      </c>
      <c r="D2" s="2000" t="s">
        <v>1936</v>
      </c>
      <c r="E2" s="3422"/>
      <c r="F2" s="2000" t="s">
        <v>1937</v>
      </c>
      <c r="G2" s="2001">
        <f>IF(E2="商业",项目基本情况!B37,IF(E2="办公",项目基本情况!C37,IF(E2="住宅",项目基本情况!D37,IF(E2="工业",项目基本情况!E37,项目基本情况!F37))))</f>
        <v>0</v>
      </c>
      <c r="H2" s="2000" t="s">
        <v>1938</v>
      </c>
      <c r="I2" s="2001">
        <f>IF(E2="商业",项目基本情况!B38,IF(E2="办公",项目基本情况!C38,IF(E2="住宅",项目基本情况!D38,IF(E2="工业",项目基本情况!E38,项目基本情况!F38))))</f>
        <v>0</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0</v>
      </c>
      <c r="T2" s="3361" t="e">
        <f t="shared" ref="T2:T16" si="0">ROUND($C$5*$C$22*$C$23*$C$24*S2*$C$28,0)</f>
        <v>#DIV/0!</v>
      </c>
      <c r="U2" s="1213">
        <v>1</v>
      </c>
      <c r="V2" s="3361" t="e">
        <f>ROUND(T2*U2/10000,0)</f>
        <v>#DIV/0!</v>
      </c>
      <c r="W2" s="1216"/>
      <c r="X2" s="1216"/>
      <c r="Y2" s="1216"/>
      <c r="Z2" s="1216"/>
      <c r="AA2" s="1216"/>
      <c r="AB2" s="1216"/>
      <c r="AC2" s="1217"/>
      <c r="AD2" s="1218"/>
      <c r="AE2" s="1218"/>
      <c r="AF2" s="1218"/>
      <c r="AG2" s="1218"/>
      <c r="AH2" s="1218"/>
      <c r="AI2" s="1218"/>
      <c r="AJ2" s="1219"/>
    </row>
    <row r="3" spans="1:36" ht="15.6">
      <c r="A3" s="203" t="s">
        <v>1940</v>
      </c>
      <c r="B3" s="204" t="e">
        <f>ROUND(B2*10000/D1,0)</f>
        <v>#DIV/0!</v>
      </c>
      <c r="C3" s="1999" t="s">
        <v>1941</v>
      </c>
      <c r="D3" s="2000" t="s">
        <v>1942</v>
      </c>
      <c r="E3" s="3420"/>
      <c r="F3" s="2004"/>
      <c r="G3" s="752">
        <f>IF(F3="宗地容积率",'数据-汇总表'!I4,IF(F3="估价对象容积率",'数据-汇总表'!I6,'数据-汇总表'!I7))</f>
        <v>0</v>
      </c>
      <c r="H3" s="170" t="s">
        <v>1943</v>
      </c>
      <c r="I3" s="775"/>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0</v>
      </c>
      <c r="T3" s="3361" t="e">
        <f t="shared" si="0"/>
        <v>#DIV/0!</v>
      </c>
      <c r="U3" s="1213"/>
      <c r="V3" s="3361" t="e">
        <f t="shared" ref="V3:V16" si="1">ROUND(T3*U3/10000,0)</f>
        <v>#DIV/0!</v>
      </c>
      <c r="W3" s="1216"/>
      <c r="X3" s="1216"/>
      <c r="Y3" s="1216"/>
      <c r="Z3" s="1216"/>
      <c r="AA3" s="1216"/>
      <c r="AB3" s="1216"/>
      <c r="AC3" s="1217"/>
      <c r="AD3" s="1218"/>
      <c r="AE3" s="1218"/>
      <c r="AF3" s="1218"/>
      <c r="AG3" s="1218"/>
      <c r="AH3" s="1218"/>
      <c r="AI3" s="1218"/>
      <c r="AJ3" s="1219"/>
    </row>
    <row r="4" spans="1:36" ht="15.6">
      <c r="A4" s="3965"/>
      <c r="B4" s="3966"/>
      <c r="C4" s="3966"/>
      <c r="D4" s="3967"/>
      <c r="E4" s="3967"/>
      <c r="F4" s="3967"/>
      <c r="G4" s="3967"/>
      <c r="H4" s="3967"/>
      <c r="I4" s="3967"/>
      <c r="J4" s="3968"/>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0</v>
      </c>
      <c r="T4" s="3361" t="e">
        <f t="shared" si="0"/>
        <v>#DIV/0!</v>
      </c>
      <c r="U4" s="1213"/>
      <c r="V4" s="3361" t="e">
        <f t="shared" si="1"/>
        <v>#DIV/0!</v>
      </c>
      <c r="W4" s="1216"/>
      <c r="X4" s="1216"/>
      <c r="Y4" s="1216"/>
      <c r="Z4" s="1216"/>
      <c r="AA4" s="1216"/>
      <c r="AB4" s="1216"/>
      <c r="AC4" s="1217"/>
      <c r="AD4" s="1218"/>
      <c r="AE4" s="1218"/>
      <c r="AF4" s="1218"/>
      <c r="AG4" s="1218"/>
      <c r="AH4" s="1218"/>
      <c r="AI4" s="1218"/>
      <c r="AJ4" s="1219"/>
    </row>
    <row r="5" spans="1:36" s="2014" customFormat="1" ht="15.6" thickBot="1">
      <c r="A5" s="2005" t="s">
        <v>362</v>
      </c>
      <c r="B5" s="2006" t="s">
        <v>1947</v>
      </c>
      <c r="C5" s="753" t="e">
        <f>ROUND(IF(E2="商业",C6*C7*C17+C20,(IF(E2="住宅",C6*C13*C17+C20,IF(E2="办公",C6*C12*C17+C20,C6+C20)))),0)</f>
        <v>#DIV/0!</v>
      </c>
      <c r="D5" s="1339" t="e">
        <f>ROUND(C6*C17+C20,0)</f>
        <v>#DIV/0!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v>
      </c>
      <c r="T5" s="3361" t="e">
        <f t="shared" si="0"/>
        <v>#DIV/0!</v>
      </c>
      <c r="U5" s="1213"/>
      <c r="V5" s="3361" t="e">
        <f t="shared" si="1"/>
        <v>#DIV/0!</v>
      </c>
      <c r="W5" s="1216"/>
      <c r="X5" s="1216"/>
      <c r="Y5" s="1216"/>
      <c r="Z5" s="1216"/>
      <c r="AA5" s="1216"/>
      <c r="AB5" s="1216"/>
      <c r="AC5" s="2011"/>
      <c r="AD5" s="2012"/>
      <c r="AE5" s="2012"/>
      <c r="AF5" s="2012"/>
      <c r="AG5" s="2012"/>
      <c r="AH5" s="2012"/>
      <c r="AI5" s="2012"/>
      <c r="AJ5" s="2013"/>
    </row>
    <row r="6" spans="1:36" ht="15.6" thickBot="1">
      <c r="A6" s="2015" t="s">
        <v>1949</v>
      </c>
      <c r="B6" s="2016" t="s">
        <v>1950</v>
      </c>
      <c r="C6" s="754">
        <f>SUMIF(L1:L12,G2,M1:M12)</f>
        <v>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v>
      </c>
      <c r="T6" s="3361" t="e">
        <f t="shared" si="0"/>
        <v>#DIV/0!</v>
      </c>
      <c r="U6" s="1213"/>
      <c r="V6" s="3361" t="e">
        <f t="shared" si="1"/>
        <v>#DIV/0!</v>
      </c>
      <c r="W6" s="1216"/>
      <c r="X6" s="1216"/>
      <c r="Y6" s="1216"/>
      <c r="Z6" s="1216"/>
      <c r="AA6" s="1216"/>
      <c r="AB6" s="1216"/>
      <c r="AC6" s="2011"/>
      <c r="AD6" s="2012"/>
      <c r="AE6" s="2012"/>
      <c r="AF6" s="2012"/>
      <c r="AG6" s="2012"/>
      <c r="AH6" s="2012"/>
      <c r="AI6" s="2012"/>
      <c r="AJ6" s="2013"/>
    </row>
    <row r="7" spans="1:36" ht="24.6" thickBot="1">
      <c r="A7" s="3304" t="s">
        <v>3241</v>
      </c>
      <c r="B7" s="2021" t="s">
        <v>1952</v>
      </c>
      <c r="C7" s="755" t="e">
        <f>IF(C8="不临65条商业街",1,ROUND(1+(1.6*E8+1.2*E9+0.8*E10+0.4*E11)*C9,4))</f>
        <v>#DIV/0!</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9"/>
      <c r="T7" s="3361" t="e">
        <f t="shared" si="0"/>
        <v>#DIV/0!</v>
      </c>
      <c r="U7" s="1213"/>
      <c r="V7" s="3361" t="e">
        <f t="shared" si="1"/>
        <v>#DIV/0!</v>
      </c>
      <c r="W7" s="1358" t="s">
        <v>1955</v>
      </c>
      <c r="X7" s="1214">
        <f>G2</f>
        <v>0</v>
      </c>
      <c r="Y7" s="1214" t="s">
        <v>1956</v>
      </c>
      <c r="Z7" s="1215">
        <f>G3</f>
        <v>0</v>
      </c>
      <c r="AA7" s="1216"/>
      <c r="AB7" s="1216"/>
      <c r="AC7" s="1217"/>
      <c r="AD7" s="1218"/>
      <c r="AE7" s="1218"/>
      <c r="AF7" s="1218"/>
      <c r="AG7" s="1218"/>
      <c r="AH7" s="1218"/>
      <c r="AI7" s="1218"/>
      <c r="AJ7" s="1219"/>
    </row>
    <row r="8" spans="1:36" ht="15">
      <c r="A8" s="3299"/>
      <c r="B8" s="170" t="s">
        <v>1957</v>
      </c>
      <c r="C8" s="2026"/>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1" t="e">
        <f t="shared" si="0"/>
        <v>#DIV/0!</v>
      </c>
      <c r="U8" s="1213"/>
      <c r="V8" s="3361" t="e">
        <f t="shared" si="1"/>
        <v>#DIV/0!</v>
      </c>
      <c r="W8" s="3962" t="s">
        <v>1960</v>
      </c>
      <c r="X8" s="3963"/>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9"/>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1" t="e">
        <f t="shared" si="0"/>
        <v>#DIV/0!</v>
      </c>
      <c r="U9" s="1213"/>
      <c r="V9" s="3361" t="e">
        <f t="shared" si="1"/>
        <v>#DIV/0!</v>
      </c>
      <c r="W9" s="3964"/>
      <c r="X9" s="3362" t="s">
        <v>3272</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1" t="e">
        <f t="shared" si="0"/>
        <v>#DIV/0!</v>
      </c>
      <c r="U10" s="1213"/>
      <c r="V10" s="3361" t="e">
        <f t="shared" si="1"/>
        <v>#DIV/0!</v>
      </c>
      <c r="W10" s="3964"/>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6" thickBot="1">
      <c r="A11" s="3303"/>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t="e">
        <f t="shared" si="0"/>
        <v>#DIV/0!</v>
      </c>
      <c r="U11" s="1213"/>
      <c r="V11" s="3361" t="e">
        <f t="shared" si="1"/>
        <v>#DIV/0!</v>
      </c>
      <c r="W11" s="1216"/>
      <c r="X11" s="1216"/>
      <c r="Y11" s="1216"/>
      <c r="Z11" s="1216"/>
      <c r="AA11" s="1216"/>
      <c r="AB11" s="1216"/>
      <c r="AC11" s="1217"/>
      <c r="AD11" s="2789"/>
      <c r="AE11" s="2789"/>
      <c r="AF11" s="2789"/>
      <c r="AG11" s="2789"/>
      <c r="AH11" s="2789"/>
      <c r="AI11" s="2789"/>
      <c r="AJ11" s="2790"/>
    </row>
    <row r="12" spans="1:36" ht="25.8" thickBot="1">
      <c r="A12" s="3304" t="s">
        <v>3242</v>
      </c>
      <c r="B12" s="3305" t="s">
        <v>3243</v>
      </c>
      <c r="C12" s="3306"/>
      <c r="D12" s="3307" t="s">
        <v>3244</v>
      </c>
      <c r="E12" s="3308" t="s">
        <v>3245</v>
      </c>
      <c r="F12" s="3309"/>
      <c r="G12" s="3310"/>
      <c r="H12" s="3310"/>
      <c r="I12" s="3310"/>
      <c r="J12" s="3311"/>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t="e">
        <f t="shared" si="0"/>
        <v>#DIV/0!</v>
      </c>
      <c r="U12" s="1213"/>
      <c r="V12" s="3361" t="e">
        <f t="shared" si="1"/>
        <v>#DIV/0!</v>
      </c>
      <c r="W12" s="1216"/>
      <c r="X12" s="1216"/>
      <c r="Y12" s="1216"/>
      <c r="Z12" s="1216"/>
      <c r="AA12" s="1216"/>
      <c r="AB12" s="1216"/>
      <c r="AC12" s="1217"/>
      <c r="AD12" s="2789"/>
      <c r="AE12" s="2789"/>
      <c r="AF12" s="2789"/>
      <c r="AG12" s="2789"/>
      <c r="AH12" s="2789"/>
      <c r="AI12" s="2789"/>
      <c r="AJ12" s="2790"/>
    </row>
    <row r="13" spans="1:36" ht="24.6" thickBot="1">
      <c r="A13" s="3304" t="s">
        <v>3246</v>
      </c>
      <c r="B13" s="2034" t="s">
        <v>1982</v>
      </c>
      <c r="C13" s="755">
        <f>ROUND(C16*D16*E16*F16*G16*H16*I16*J16,4)</f>
        <v>0</v>
      </c>
      <c r="D13" s="2035" t="s">
        <v>1983</v>
      </c>
      <c r="E13" s="2036"/>
      <c r="F13" s="2036"/>
      <c r="G13" s="2037"/>
      <c r="H13" s="2037"/>
      <c r="I13" s="2037"/>
      <c r="J13" s="2038"/>
      <c r="K13" s="1119"/>
      <c r="L13" s="3300"/>
      <c r="M13" s="3301"/>
      <c r="N13" s="3302"/>
      <c r="O13" s="1119"/>
      <c r="P13" s="1119"/>
      <c r="Q13" s="1119"/>
      <c r="R13" s="1212">
        <v>12</v>
      </c>
      <c r="S13" s="1213"/>
      <c r="T13" s="3361" t="e">
        <f t="shared" si="0"/>
        <v>#DIV/0!</v>
      </c>
      <c r="U13" s="1213"/>
      <c r="V13" s="3361" t="e">
        <f t="shared" si="1"/>
        <v>#DIV/0!</v>
      </c>
      <c r="W13" s="1216"/>
      <c r="X13" s="1216"/>
      <c r="Y13" s="1216"/>
      <c r="Z13" s="1216"/>
      <c r="AA13" s="1216"/>
      <c r="AB13" s="1216"/>
      <c r="AC13" s="1217"/>
      <c r="AD13" s="2789"/>
      <c r="AE13" s="2789"/>
      <c r="AF13" s="2789"/>
      <c r="AG13" s="2789"/>
      <c r="AH13" s="2789"/>
      <c r="AI13" s="2789"/>
      <c r="AJ13" s="2790"/>
    </row>
    <row r="14" spans="1:36" ht="24">
      <c r="A14" s="3298"/>
      <c r="B14" s="2040" t="s">
        <v>1985</v>
      </c>
      <c r="C14" s="2041" t="s">
        <v>1986</v>
      </c>
      <c r="D14" s="1350" t="s">
        <v>1987</v>
      </c>
      <c r="E14" s="27" t="s">
        <v>1988</v>
      </c>
      <c r="F14" s="3312" t="s">
        <v>3247</v>
      </c>
      <c r="G14" s="3312" t="s">
        <v>3247</v>
      </c>
      <c r="H14" s="3312" t="s">
        <v>3247</v>
      </c>
      <c r="I14" s="3312" t="s">
        <v>3247</v>
      </c>
      <c r="J14" s="3312" t="s">
        <v>3247</v>
      </c>
      <c r="K14" s="1119"/>
      <c r="L14" s="1119"/>
      <c r="M14" s="1119"/>
      <c r="N14" s="1119"/>
      <c r="O14" s="1119"/>
      <c r="P14" s="1119"/>
      <c r="Q14" s="1119"/>
      <c r="R14" s="1212">
        <v>13</v>
      </c>
      <c r="S14" s="1213"/>
      <c r="T14" s="3361" t="e">
        <f t="shared" si="0"/>
        <v>#DIV/0!</v>
      </c>
      <c r="U14" s="1213"/>
      <c r="V14" s="3361" t="e">
        <f t="shared" si="1"/>
        <v>#DIV/0!</v>
      </c>
      <c r="W14" s="1216"/>
      <c r="X14" s="1216"/>
      <c r="Y14" s="1216"/>
      <c r="Z14" s="1216"/>
      <c r="AA14" s="1216"/>
      <c r="AB14" s="1216"/>
      <c r="AC14" s="1217"/>
      <c r="AD14" s="2789"/>
      <c r="AE14" s="2789"/>
      <c r="AF14" s="2789"/>
      <c r="AG14" s="2789"/>
      <c r="AH14" s="2789"/>
      <c r="AI14" s="2789"/>
      <c r="AJ14" s="2790"/>
    </row>
    <row r="15" spans="1:36" ht="15">
      <c r="A15" s="3298"/>
      <c r="B15" s="2042"/>
      <c r="C15" s="2043"/>
      <c r="D15" s="2044"/>
      <c r="E15" s="2045"/>
      <c r="F15" s="3313" t="s">
        <v>3248</v>
      </c>
      <c r="G15" s="3314"/>
      <c r="H15" s="3315"/>
      <c r="I15" s="3316"/>
      <c r="J15" s="3317"/>
      <c r="K15" s="1119"/>
      <c r="L15" s="1119"/>
      <c r="M15" s="1119"/>
      <c r="N15" s="1119"/>
      <c r="O15" s="1119"/>
      <c r="P15" s="1119"/>
      <c r="Q15" s="1119"/>
      <c r="R15" s="1212">
        <v>14</v>
      </c>
      <c r="S15" s="1213"/>
      <c r="T15" s="3361" t="e">
        <f t="shared" si="0"/>
        <v>#DIV/0!</v>
      </c>
      <c r="U15" s="1213"/>
      <c r="V15" s="3361" t="e">
        <f t="shared" si="1"/>
        <v>#DIV/0!</v>
      </c>
      <c r="W15" s="1216"/>
      <c r="X15" s="1216"/>
      <c r="Y15" s="1216"/>
      <c r="Z15" s="1216"/>
      <c r="AA15" s="1216"/>
      <c r="AB15" s="1216"/>
      <c r="AC15" s="1217"/>
      <c r="AD15" s="2789"/>
      <c r="AE15" s="2789"/>
      <c r="AF15" s="2789"/>
      <c r="AG15" s="2789"/>
      <c r="AH15" s="2789"/>
      <c r="AI15" s="2789"/>
      <c r="AJ15" s="2790"/>
    </row>
    <row r="16" spans="1:36" ht="15.6" thickBot="1">
      <c r="A16" s="3298"/>
      <c r="B16" s="3320" t="s">
        <v>1989</v>
      </c>
      <c r="C16" s="3318"/>
      <c r="D16" s="3318"/>
      <c r="E16" s="3318"/>
      <c r="F16" s="3318">
        <v>1</v>
      </c>
      <c r="G16" s="3318">
        <v>1</v>
      </c>
      <c r="H16" s="3318">
        <v>1</v>
      </c>
      <c r="I16" s="3318">
        <v>1</v>
      </c>
      <c r="J16" s="3319">
        <v>1</v>
      </c>
      <c r="K16" s="1119"/>
      <c r="L16" s="1997"/>
      <c r="M16" s="1997"/>
      <c r="N16" s="1997"/>
      <c r="O16" s="1997"/>
      <c r="P16" s="1997"/>
      <c r="Q16" s="1119"/>
      <c r="R16" s="1212">
        <v>15</v>
      </c>
      <c r="S16" s="1213"/>
      <c r="T16" s="3361" t="e">
        <f t="shared" si="0"/>
        <v>#DIV/0!</v>
      </c>
      <c r="U16" s="1213"/>
      <c r="V16" s="3361" t="e">
        <f t="shared" si="1"/>
        <v>#DIV/0!</v>
      </c>
      <c r="W16" s="1216"/>
      <c r="X16" s="1216"/>
      <c r="Y16" s="1216"/>
      <c r="Z16" s="1216"/>
      <c r="AA16" s="1216"/>
      <c r="AB16" s="1216"/>
      <c r="AC16" s="1217"/>
      <c r="AD16" s="2789"/>
      <c r="AE16" s="2789"/>
      <c r="AF16" s="2789"/>
      <c r="AG16" s="2789"/>
      <c r="AH16" s="2789"/>
      <c r="AI16" s="2789"/>
      <c r="AJ16" s="2790"/>
    </row>
    <row r="17" spans="1:37" ht="24">
      <c r="A17" s="3330" t="s">
        <v>3249</v>
      </c>
      <c r="B17" s="3321" t="s">
        <v>3250</v>
      </c>
      <c r="C17" s="3331">
        <f>ROUND(IF(OR(E2="工业",E2="公共服务"),1,IF(AND(E18=0,E19=0),1,IF(AND(E18=J24,E19=G19),0.8,IF(E19=0,1+E17*(-0.2),1+E17*G17*(-0.2))))),4)</f>
        <v>1</v>
      </c>
      <c r="D17" s="3322" t="s">
        <v>3251</v>
      </c>
      <c r="E17" s="3331" t="e">
        <f>ROUND(G18/I18,2)</f>
        <v>#DIV/0!</v>
      </c>
      <c r="F17" s="3322" t="s">
        <v>3254</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3.8">
      <c r="A18" s="3333"/>
      <c r="B18" s="3010"/>
      <c r="C18" s="3328"/>
      <c r="D18" s="3323" t="s">
        <v>3252</v>
      </c>
      <c r="E18" s="3329"/>
      <c r="F18" s="3324" t="s">
        <v>3255</v>
      </c>
      <c r="G18" s="3328">
        <f>ROUND(1-(1/(POWER(1+G24,E18))),4)</f>
        <v>0</v>
      </c>
      <c r="H18" s="3324" t="s">
        <v>3257</v>
      </c>
      <c r="I18" s="3328">
        <f>ROUND(1-(1/(POWER(1+G24,J24))),4)</f>
        <v>0</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4.4" thickBot="1">
      <c r="A19" s="3335"/>
      <c r="B19" s="3336"/>
      <c r="C19" s="3337"/>
      <c r="D19" s="3337" t="s">
        <v>3253</v>
      </c>
      <c r="E19" s="3338"/>
      <c r="F19" s="3339" t="s">
        <v>3256</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3.8">
      <c r="A20" s="3969" t="s">
        <v>3258</v>
      </c>
      <c r="B20" s="167" t="s">
        <v>1994</v>
      </c>
      <c r="C20" s="3325" t="e">
        <f>ROUND(IF(F21="与级别开发程度一致",0,(G21-E21)/C21),0)</f>
        <v>#DIV/0!</v>
      </c>
      <c r="D20" s="3341" t="s">
        <v>1998</v>
      </c>
      <c r="E20" s="3342"/>
      <c r="F20" s="3975" t="s">
        <v>1995</v>
      </c>
      <c r="G20" s="3976"/>
      <c r="H20" s="3326"/>
      <c r="I20" s="3326"/>
      <c r="J20" s="3327"/>
      <c r="K20" s="2047"/>
      <c r="L20" s="2047"/>
      <c r="M20" s="2047"/>
      <c r="N20" s="2047"/>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14.4" thickBot="1">
      <c r="A21" s="3970"/>
      <c r="B21" s="2164" t="s">
        <v>1997</v>
      </c>
      <c r="C21" s="2165">
        <f>IF(E3="M4科研用地",SUMPRODUCT((修正!A2:A7=E3)*(修正!B1:M1=G2)*(修正!B2:M7)),SUMPRODUCT((修正!A2:A7=E2)*(修正!B1:M1=G2)*(修正!B2:M7)))</f>
        <v>0</v>
      </c>
      <c r="D21" s="187" t="str">
        <f>IF(OR(G2="八级",G2="九级",G2="十级",G2="十一级",G2="十二级"),"五通一平","七通一平")</f>
        <v>七通一平</v>
      </c>
      <c r="E21" s="2155">
        <f>SUMPRODUCT((修正!B1:M1=G2)*(修正!B17:M17))</f>
        <v>0</v>
      </c>
      <c r="F21" s="2156"/>
      <c r="G21" s="2157">
        <f>SUM(H21:O21)</f>
        <v>0</v>
      </c>
      <c r="H21" s="2165">
        <f>SUMPRODUCT((七通一平=H20)*(修正!B1:M1=G2)*(修正!B8:M16))</f>
        <v>0</v>
      </c>
      <c r="I21" s="2165">
        <f>SUMPRODUCT((七通一平=I20)*(修正!B1:M1=G2)*(修正!B8:M16))</f>
        <v>0</v>
      </c>
      <c r="J21" s="2166">
        <f>SUMPRODUCT((七通一平=J20)*(修正!B1:M1=G2)*(修正!B8:M16))</f>
        <v>0</v>
      </c>
      <c r="K21" s="2165">
        <f>SUMPRODUCT((七通一平=K20)*(修正!B1:M1=G2)*(修正!B8:M16))</f>
        <v>0</v>
      </c>
      <c r="L21" s="2165">
        <f>SUMPRODUCT((七通一平=L20)*(修正!B1:M1=G2)*(修正!B8:M16))</f>
        <v>0</v>
      </c>
      <c r="M21" s="2165">
        <f>SUMPRODUCT((七通一平=M20)*(修正!B1:M1=G2)*(修正!B8:M16))</f>
        <v>0</v>
      </c>
      <c r="N21" s="2165">
        <f>SUMPRODUCT((七通一平=N20)*(修正!B1:M1=G2)*(修正!B8:M16))</f>
        <v>0</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 thickBot="1">
      <c r="A22" s="2158" t="s">
        <v>363</v>
      </c>
      <c r="B22" s="2159" t="s">
        <v>2000</v>
      </c>
      <c r="C22" s="2160">
        <f>SUMIF(修正!C20:C51,E3,修正!E20:E51)</f>
        <v>0</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7" thickBot="1">
      <c r="A23" s="2050" t="s">
        <v>364</v>
      </c>
      <c r="B23" s="2051" t="s">
        <v>2001</v>
      </c>
      <c r="C23" s="760">
        <f>ROUND(IF(J23="中心城区",SUMPRODUCT(('地价-分区'!A5:A19=YEAR(G23)&amp;"-"&amp;ROUNDUP(MONTH(G23)/3,0))*('地价-分区'!S2:W2=E2)*('地价-分区'!S5:W19)),IF(J23="中心城区以外",SUMPRODUCT(('地价-分区'!A28:A42=YEAR(G23)&amp;"-"&amp;ROUNDUP(MONTH(G23)/3,0))*('地价-分区'!S25:W25=E2)*('地价-分区'!S28:W42)),IF(J23="不用分区数据",IF(H23="按公示增长率计算",SUMPRODUCT((地价!A3:A16=YEAR(G23)&amp;"-"&amp;ROUNDUP(MONTH(G23)/3,0))*(地价!Y2:AD2=E2)*(地价!Y3:AD16)),IF(H23="地价指数",M24/M23,(1+I23)^O23))))),4)</f>
        <v>0</v>
      </c>
      <c r="D23" s="2054" t="s">
        <v>2002</v>
      </c>
      <c r="E23" s="761">
        <v>44197</v>
      </c>
      <c r="F23" s="2054" t="s">
        <v>2003</v>
      </c>
      <c r="G23" s="762">
        <f>'数据-取费表'!B2</f>
        <v>45478</v>
      </c>
      <c r="H23" s="3343" t="s">
        <v>3260</v>
      </c>
      <c r="I23" s="3344" t="str">
        <f>IF(H23="季度增幅（自定义）",SUMIF(N25:N28,E2,O25:O28),"")</f>
        <v/>
      </c>
      <c r="J23" s="3446" t="s">
        <v>3259</v>
      </c>
      <c r="K23" s="1125"/>
      <c r="L23" s="2055" t="s">
        <v>2004</v>
      </c>
      <c r="M23" s="1328">
        <f>ROUND(SUMIF(地价!B2:G2,E2,地价!B16:G16),0)</f>
        <v>0</v>
      </c>
      <c r="N23" s="2056" t="s">
        <v>2005</v>
      </c>
      <c r="O23" s="763">
        <f>ROUNDDOWN(DATEDIF(E23,G23,"M")/3,0)</f>
        <v>14</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6" thickBot="1">
      <c r="A24" s="2058" t="s">
        <v>365</v>
      </c>
      <c r="B24" s="2059" t="s">
        <v>2006</v>
      </c>
      <c r="C24" s="764" t="e">
        <f>ROUND(POWER(1+G24,J24-I24)*(POWER(1+G24,I24)-1)/(POWER(1+G24,J24)-1),4)</f>
        <v>#DIV/0!</v>
      </c>
      <c r="D24" s="2060" t="s">
        <v>2007</v>
      </c>
      <c r="E24" s="1335">
        <f>存贷款利率!E24/100</f>
        <v>4.3499999999999997E-2</v>
      </c>
      <c r="F24" s="2060" t="s">
        <v>1999</v>
      </c>
      <c r="G24" s="768">
        <f>SUMIF(M30:Q30,E2,M33:Q33)</f>
        <v>0</v>
      </c>
      <c r="H24" s="2060" t="s">
        <v>2008</v>
      </c>
      <c r="I24" s="769" t="e">
        <f>SUMIF('数据-取费表'!C6:C15,E2,'数据-取费表'!F6:F15)/COUNTIF('数据-取费表'!C6:C15,E2)</f>
        <v>#DIV/0!</v>
      </c>
      <c r="J24" s="770">
        <f>IF(E2="住宅",70,IF(E2="商业",40,50))</f>
        <v>50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4.4">
      <c r="A25" s="2065" t="s">
        <v>366</v>
      </c>
      <c r="B25" s="2066" t="s">
        <v>3339</v>
      </c>
      <c r="C25" s="771">
        <f>IF(B25="容积率修正",IF(G3&lt;10,D26,J26),C27)</f>
        <v>0</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4">
      <c r="A26" s="1955" t="s">
        <v>2014</v>
      </c>
      <c r="B26" s="2070" t="s">
        <v>2015</v>
      </c>
      <c r="C26" s="3345" t="s">
        <v>3261</v>
      </c>
      <c r="D26" s="1352">
        <f>IF(E26=G26,F26,IF(G3&lt;10,ROUND(F26+(H26-F26)*(G3-E26)/(G26-E26),4),"——"))</f>
        <v>0</v>
      </c>
      <c r="E26" s="752">
        <f>ROUNDDOWN(G3,1)</f>
        <v>0</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2">
        <f>ROUNDUP(G3,1)</f>
        <v>0</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5" t="s">
        <v>3262</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 thickBot="1">
      <c r="A27" s="1955" t="s">
        <v>2017</v>
      </c>
      <c r="B27" s="2071" t="s">
        <v>2018</v>
      </c>
      <c r="C27" s="841">
        <f>ROUND(IF(I3&lt;6,SUMPRODUCT((B106:B110=I3)*(C105:N105=G2)*(C106:N110)),SUMIF(C105:N105,G2,C112:N112)),4)</f>
        <v>0</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 thickBot="1">
      <c r="A28" s="2058" t="s">
        <v>367</v>
      </c>
      <c r="B28" s="2051" t="s">
        <v>2020</v>
      </c>
      <c r="C28" s="760">
        <f>SUMIF(A47:A101,E2,B47:B101)</f>
        <v>0</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4.4">
      <c r="A30" s="2082"/>
      <c r="B30" s="2070" t="s">
        <v>2024</v>
      </c>
      <c r="C30" s="2321" t="e">
        <f>IF(B25="容积率修正",E33+SUM(E37:E42),SUM(V2:V16)+SUM(E37:E42))</f>
        <v>#DIV/0!</v>
      </c>
      <c r="D30" s="2083"/>
      <c r="E30" s="2046"/>
      <c r="F30" s="2084"/>
      <c r="G30" s="2046"/>
      <c r="H30" s="2046"/>
      <c r="I30" s="2046"/>
      <c r="J30" s="2085"/>
      <c r="K30" s="1119"/>
      <c r="L30" s="3351" t="s">
        <v>1936</v>
      </c>
      <c r="M30" s="3352" t="s">
        <v>1990</v>
      </c>
      <c r="N30" s="3352" t="s">
        <v>1991</v>
      </c>
      <c r="O30" s="3352" t="s">
        <v>1992</v>
      </c>
      <c r="P30" s="3352" t="s">
        <v>1993</v>
      </c>
      <c r="Q30" s="3355" t="s">
        <v>3266</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 thickBot="1">
      <c r="A31" s="2082"/>
      <c r="B31" s="2086" t="s">
        <v>2025</v>
      </c>
      <c r="C31" s="766" t="e">
        <f>E34+SUM(I37:I42)</f>
        <v>#DIV/0!</v>
      </c>
      <c r="D31" s="2087"/>
      <c r="E31" s="2088"/>
      <c r="F31" s="2089"/>
      <c r="G31" s="2088"/>
      <c r="H31" s="2088"/>
      <c r="I31" s="2088"/>
      <c r="J31" s="2090"/>
      <c r="K31" s="1119"/>
      <c r="L31" s="3353" t="s">
        <v>1996</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 thickBot="1">
      <c r="A32" s="2091"/>
      <c r="B32" s="2092" t="s">
        <v>2026</v>
      </c>
      <c r="C32" s="2093" t="s">
        <v>2027</v>
      </c>
      <c r="D32" s="2093" t="s">
        <v>2028</v>
      </c>
      <c r="E32" s="2094" t="s">
        <v>2029</v>
      </c>
      <c r="F32" s="2095"/>
      <c r="G32" s="2037"/>
      <c r="H32" s="2037"/>
      <c r="I32" s="2037"/>
      <c r="J32" s="2038"/>
      <c r="K32" s="1119"/>
      <c r="L32" s="3354" t="s">
        <v>1999</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3.8">
      <c r="A33" s="2096"/>
      <c r="B33" s="2097" t="s">
        <v>2030</v>
      </c>
      <c r="C33" s="175" t="e">
        <f>ROUND(C5*C22*C23*C24*C25*C28,0)</f>
        <v>#DIV/0!</v>
      </c>
      <c r="D33" s="2098"/>
      <c r="E33" s="773" t="e">
        <f>ROUND(C33*D33/10000,0)</f>
        <v>#DIV/0!</v>
      </c>
      <c r="F33" s="3346" t="s">
        <v>3264</v>
      </c>
      <c r="G33" s="2099"/>
      <c r="H33" s="2099"/>
      <c r="I33" s="2099"/>
      <c r="J33" s="2100"/>
      <c r="K33" s="1119"/>
      <c r="L33" s="3349" t="s">
        <v>3267</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8" thickBot="1">
      <c r="A34" s="2101"/>
      <c r="B34" s="2102" t="s">
        <v>2031</v>
      </c>
      <c r="C34" s="187" t="e">
        <f>ROUND(IF(E2="工业",C33*M42,IF(B25="楼层修正",SUM(V2:V16)*M41*10000/D34,C33*M41)),0)</f>
        <v>#DIV/0!</v>
      </c>
      <c r="D34" s="2103"/>
      <c r="E34" s="773" t="e">
        <f>ROUND(IF(B25="楼层修正",SUM(V2:V16)*M40,C34*D34/10000),0)</f>
        <v>#DIV/0!</v>
      </c>
      <c r="F34" s="2104" t="s">
        <v>2032</v>
      </c>
      <c r="G34" s="2105"/>
      <c r="H34" s="2105"/>
      <c r="I34" s="2105"/>
      <c r="J34" s="2106"/>
      <c r="K34" s="1119"/>
      <c r="L34" s="3349" t="s">
        <v>3268</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7" t="s">
        <v>3265</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36.6" thickBot="1">
      <c r="A36" s="2096"/>
      <c r="B36" s="2111"/>
      <c r="C36" s="450" t="s">
        <v>2027</v>
      </c>
      <c r="D36" s="447" t="s">
        <v>2028</v>
      </c>
      <c r="E36" s="447" t="s">
        <v>2029</v>
      </c>
      <c r="F36" s="342" t="s">
        <v>2035</v>
      </c>
      <c r="G36" s="2112" t="s">
        <v>2027</v>
      </c>
      <c r="H36" s="2112" t="s">
        <v>2028</v>
      </c>
      <c r="I36" s="2112" t="s">
        <v>2029</v>
      </c>
      <c r="J36" s="243"/>
      <c r="K36" s="3357" t="s">
        <v>3269</v>
      </c>
      <c r="L36" s="3447">
        <f ca="1">'数据-取费表'!B40</f>
        <v>3.4500000000000003E-2</v>
      </c>
      <c r="M36" s="3358">
        <f ca="1">ROUND($L$36*(1+M31),3)</f>
        <v>4.2999999999999997E-2</v>
      </c>
      <c r="N36" s="3358">
        <f ca="1">ROUND($L$36*(1+N31),3)</f>
        <v>4.1000000000000002E-2</v>
      </c>
      <c r="O36" s="3358">
        <f ca="1">ROUND($L$36*(1+O31),3)</f>
        <v>0.04</v>
      </c>
      <c r="P36" s="3358">
        <f ca="1">ROUND($L$36*(1+P31),3)</f>
        <v>3.7999999999999999E-2</v>
      </c>
      <c r="Q36" s="3358">
        <f ca="1">ROUND($L$36*(1+Q31),3)</f>
        <v>0.04</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6" thickBot="1">
      <c r="A37" s="3973"/>
      <c r="B37" s="2113" t="s">
        <v>2036</v>
      </c>
      <c r="C37" s="175" t="e">
        <f>ROUND(D5*C22*C23*C24*C28*F37,0)</f>
        <v>#DIV/0!</v>
      </c>
      <c r="D37" s="2098"/>
      <c r="E37" s="171" t="e">
        <f>ROUND(C37*D37/10000,0)</f>
        <v>#DIV/0!</v>
      </c>
      <c r="F37" s="171">
        <f>SUMIF(修正!A57:A68,G2,修正!B57:B68)</f>
        <v>0</v>
      </c>
      <c r="G37" s="171" t="e">
        <f>ROUND(IF(E2="工业",C37*$M$42,C37*$M$41),0)</f>
        <v>#DIV/0!</v>
      </c>
      <c r="H37" s="171">
        <f>D37</f>
        <v>0</v>
      </c>
      <c r="I37" s="171" t="e">
        <f>ROUND(G37*H37/10000,0)</f>
        <v>#DIV/0!</v>
      </c>
      <c r="J37" s="3012"/>
      <c r="K37" s="3359" t="s">
        <v>3270</v>
      </c>
      <c r="L37" s="3357">
        <f ca="1">L36+K38</f>
        <v>3.95E-2</v>
      </c>
      <c r="M37" s="3358">
        <f ca="1">ROUND($L$37*(1+M31),3)</f>
        <v>4.9000000000000002E-2</v>
      </c>
      <c r="N37" s="3358">
        <f t="shared" ref="N37:Q37" ca="1" si="3">ROUND($L$37*(1+N31),3)</f>
        <v>4.7E-2</v>
      </c>
      <c r="O37" s="3358">
        <f t="shared" ca="1" si="3"/>
        <v>4.4999999999999998E-2</v>
      </c>
      <c r="P37" s="3358">
        <f t="shared" ca="1" si="3"/>
        <v>4.2999999999999997E-2</v>
      </c>
      <c r="Q37" s="3358">
        <f t="shared" ca="1" si="3"/>
        <v>4.4999999999999998E-2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974"/>
      <c r="B38" s="2041" t="s">
        <v>2037</v>
      </c>
      <c r="C38" s="175" t="e">
        <f>ROUND(D5*C22*C23*C24*C28*F38,0)</f>
        <v>#DIV/0!</v>
      </c>
      <c r="D38" s="2098"/>
      <c r="E38" s="171" t="e">
        <f t="shared" ref="E38:E42" si="4">ROUND(C38*D38/10000,0)</f>
        <v>#DIV/0!</v>
      </c>
      <c r="F38" s="171">
        <f>SUMIF(修正!A57:A68,G2,修正!C57:C68)</f>
        <v>0</v>
      </c>
      <c r="G38" s="171" t="e">
        <f>ROUND(IF(E2="工业",C38*$M$42,C38*$M$41),0)</f>
        <v>#DIV/0!</v>
      </c>
      <c r="H38" s="171">
        <f t="shared" ref="H38:H42" si="5">D38</f>
        <v>0</v>
      </c>
      <c r="I38" s="171" t="e">
        <f t="shared" ref="I38:I42" si="6">ROUND(G38*H38/10000,0)</f>
        <v>#DIV/0!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8" thickBot="1">
      <c r="A39" s="3974"/>
      <c r="B39" s="2041" t="s">
        <v>3263</v>
      </c>
      <c r="C39" s="175" t="e">
        <f>ROUND(D5*C22*C23*C24*C28*F39,0)</f>
        <v>#DIV/0!</v>
      </c>
      <c r="D39" s="2098"/>
      <c r="E39" s="171" t="e">
        <f t="shared" si="4"/>
        <v>#DIV/0!</v>
      </c>
      <c r="F39" s="171">
        <f>SUMIF(修正!A57:A68,G2,修正!D57:D68)</f>
        <v>0</v>
      </c>
      <c r="G39" s="171" t="e">
        <f>ROUND(IF(E2="工业",C39*$M$42,C39*$M$41),0)</f>
        <v>#DIV/0!</v>
      </c>
      <c r="H39" s="171">
        <f t="shared" si="5"/>
        <v>0</v>
      </c>
      <c r="I39" s="171" t="e">
        <f t="shared" si="6"/>
        <v>#DIV/0!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t="e">
        <f>ROUND(D5*C22*C23*C24*C28*F40,0)</f>
        <v>#DIV/0!</v>
      </c>
      <c r="D40" s="2098"/>
      <c r="E40" s="171" t="e">
        <f t="shared" si="4"/>
        <v>#DIV/0!</v>
      </c>
      <c r="F40" s="175">
        <f>SUMIF(修正!A57:A68,G2,修正!E57:E68)</f>
        <v>0</v>
      </c>
      <c r="G40" s="171" t="e">
        <f>ROUND(IF(E2="工业",C40*$M$42,C40*$M$41),0)</f>
        <v>#DIV/0!</v>
      </c>
      <c r="H40" s="171">
        <f t="shared" si="5"/>
        <v>0</v>
      </c>
      <c r="I40" s="171" t="e">
        <f t="shared" si="6"/>
        <v>#DIV/0!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t="e">
        <f>ROUND(D5*C22*C23*C44*C28*F41,0)</f>
        <v>#DIV/0!</v>
      </c>
      <c r="D41" s="2098"/>
      <c r="E41" s="171" t="e">
        <f t="shared" si="4"/>
        <v>#DIV/0!</v>
      </c>
      <c r="F41" s="175">
        <f>SUMIF(修正!A57:A68,G2,修正!F57:F68)</f>
        <v>0</v>
      </c>
      <c r="G41" s="171" t="e">
        <f>ROUND(IF(E2="工业",C41*$M$42,C41*$M$41),0)</f>
        <v>#DIV/0!</v>
      </c>
      <c r="H41" s="171">
        <f t="shared" si="5"/>
        <v>0</v>
      </c>
      <c r="I41" s="171" t="e">
        <f t="shared" si="6"/>
        <v>#DIV/0!</v>
      </c>
      <c r="J41" s="2114"/>
      <c r="L41" s="3360" t="s">
        <v>3271</v>
      </c>
      <c r="M41" s="2118">
        <v>0.25</v>
      </c>
      <c r="Z41" s="1120"/>
      <c r="AA41" s="1120"/>
      <c r="AB41" s="1120"/>
      <c r="AC41" s="1120"/>
      <c r="AD41" s="1120"/>
      <c r="AE41" s="1120"/>
      <c r="AF41" s="1120"/>
      <c r="AG41" s="1120"/>
      <c r="AH41" s="1120"/>
      <c r="AI41" s="1120"/>
      <c r="AJ41" s="1120"/>
    </row>
    <row r="42" spans="1:37" s="1119" customFormat="1" ht="13.8" thickBot="1">
      <c r="A42" s="2101"/>
      <c r="B42" s="2119" t="s">
        <v>2041</v>
      </c>
      <c r="C42" s="187" t="e">
        <f>ROUND(D5*C22*C23*C44*C28*F42,0)</f>
        <v>#DIV/0!</v>
      </c>
      <c r="D42" s="2103"/>
      <c r="E42" s="187" t="e">
        <f t="shared" si="4"/>
        <v>#DIV/0!</v>
      </c>
      <c r="F42" s="767">
        <f>SUMIF(修正!A57:A68,G2,修正!G57:G68)</f>
        <v>0</v>
      </c>
      <c r="G42" s="187" t="e">
        <f>ROUND(IF(E2="工业",C42*$M$42,C42*$M$41),0)</f>
        <v>#DIV/0!</v>
      </c>
      <c r="H42" s="187">
        <f t="shared" si="5"/>
        <v>0</v>
      </c>
      <c r="I42" s="187" t="e">
        <f t="shared" si="6"/>
        <v>#DIV/0!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ht="24">
      <c r="A44" s="1120"/>
      <c r="B44" s="2154" t="s">
        <v>2122</v>
      </c>
      <c r="C44" s="342" t="e">
        <f>ROUND(POWER(1+E44,H44-G44)*(POWER(1+E44,G44)-1)/(POWER(1+E44,H44)-1),4)</f>
        <v>#DIV/0!</v>
      </c>
      <c r="D44" s="171" t="s">
        <v>1999</v>
      </c>
      <c r="E44" s="2153">
        <f>G24</f>
        <v>0</v>
      </c>
      <c r="F44" s="171" t="s">
        <v>2008</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4.4">
      <c r="A48" s="2126" t="s">
        <v>2043</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5.2">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9.6">
      <c r="A50" s="2130" t="s">
        <v>2052</v>
      </c>
      <c r="B50" s="2133" t="str">
        <f>估价对象房地状况!C4</f>
        <v>估价对象位于XX商圈，周边商业氛围成熟，人流量大，商业繁华度好</v>
      </c>
      <c r="C50" s="2044"/>
      <c r="D50" s="1065">
        <f t="shared" ref="D50:D58" si="7">SUMIF($J$49:$N$49,C50,J50:N50)</f>
        <v>0</v>
      </c>
      <c r="E50" s="744">
        <f>ROUND(SUM(D50:D58),4)</f>
        <v>0</v>
      </c>
      <c r="F50" s="1814" t="str">
        <f>IF(E2="商业",SUMIF(L1:L12,G2,N1:N12),"——")</f>
        <v>——</v>
      </c>
      <c r="G50" s="1063"/>
      <c r="H50" s="1066" t="str">
        <f t="shared" ref="H50:H58" si="8">IFERROR(ROUNDDOWN($F$50*I50/2,4),"——")</f>
        <v>——</v>
      </c>
      <c r="I50" s="3367">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52.8">
      <c r="A51" s="2130" t="s">
        <v>2053</v>
      </c>
      <c r="B51" s="2134" t="str">
        <f>估价对象房地状况!C18</f>
        <v>估价对象周边道路状况、公共交通通达情况、停车便捷程度，综合评价交通便捷度较好</v>
      </c>
      <c r="C51" s="2044"/>
      <c r="D51" s="1065">
        <f t="shared" si="7"/>
        <v>0</v>
      </c>
      <c r="E51" s="745"/>
      <c r="F51" s="1814"/>
      <c r="G51" s="1063"/>
      <c r="H51" s="1066" t="str">
        <f t="shared" si="8"/>
        <v>——</v>
      </c>
      <c r="I51" s="3367">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48">
      <c r="A52" s="3369" t="s">
        <v>3273</v>
      </c>
      <c r="B52" s="2134">
        <f>估价对象房地状况!C19</f>
        <v>0</v>
      </c>
      <c r="C52" s="2044"/>
      <c r="D52" s="1065">
        <f t="shared" si="7"/>
        <v>0</v>
      </c>
      <c r="E52" s="745"/>
      <c r="F52" s="1814"/>
      <c r="G52" s="1063"/>
      <c r="H52" s="1066" t="str">
        <f t="shared" si="8"/>
        <v>——</v>
      </c>
      <c r="I52" s="3367">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7.200000000000003">
      <c r="A53" s="2130" t="s">
        <v>2054</v>
      </c>
      <c r="B53" s="2135" t="s">
        <v>2055</v>
      </c>
      <c r="C53" s="2044"/>
      <c r="D53" s="1065">
        <f t="shared" si="7"/>
        <v>0</v>
      </c>
      <c r="E53" s="745"/>
      <c r="F53" s="1814"/>
      <c r="G53" s="1063"/>
      <c r="H53" s="1066" t="str">
        <f t="shared" si="8"/>
        <v>——</v>
      </c>
      <c r="I53" s="3367">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c r="D54" s="1065">
        <f t="shared" si="7"/>
        <v>0</v>
      </c>
      <c r="E54" s="745"/>
      <c r="F54" s="1814"/>
      <c r="G54" s="1063"/>
      <c r="H54" s="1066" t="str">
        <f t="shared" si="8"/>
        <v>——</v>
      </c>
      <c r="I54" s="3367">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36">
      <c r="A55" s="2130" t="s">
        <v>2057</v>
      </c>
      <c r="B55" s="2136" t="s">
        <v>2058</v>
      </c>
      <c r="C55" s="2044"/>
      <c r="D55" s="1065">
        <f t="shared" si="7"/>
        <v>0</v>
      </c>
      <c r="E55" s="745"/>
      <c r="F55" s="1814"/>
      <c r="G55" s="1063"/>
      <c r="H55" s="1066" t="str">
        <f t="shared" si="8"/>
        <v>——</v>
      </c>
      <c r="I55" s="3367">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6.4">
      <c r="A56" s="2137" t="s">
        <v>2059</v>
      </c>
      <c r="B56" s="1326" t="str">
        <f>估价对象房地状况!C21</f>
        <v>估价对象所在区域公共配套设施齐备情况</v>
      </c>
      <c r="C56" s="2044"/>
      <c r="D56" s="1065">
        <f t="shared" si="7"/>
        <v>0</v>
      </c>
      <c r="E56" s="745"/>
      <c r="F56" s="1814"/>
      <c r="G56" s="1063"/>
      <c r="H56" s="1066" t="str">
        <f t="shared" si="8"/>
        <v>——</v>
      </c>
      <c r="I56" s="3367">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6.4">
      <c r="A57" s="2137" t="s">
        <v>2060</v>
      </c>
      <c r="B57" s="2134" t="str">
        <f>估价对象房地状况!C22</f>
        <v>估价对象所在区域基础设施水平</v>
      </c>
      <c r="C57" s="2044"/>
      <c r="D57" s="1065">
        <f t="shared" si="7"/>
        <v>0</v>
      </c>
      <c r="E57" s="745"/>
      <c r="F57" s="1814"/>
      <c r="G57" s="1063"/>
      <c r="H57" s="1066" t="str">
        <f t="shared" si="8"/>
        <v>——</v>
      </c>
      <c r="I57" s="3367">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40.200000000000003" thickBot="1">
      <c r="A58" s="2138" t="s">
        <v>2061</v>
      </c>
      <c r="B58" s="2139" t="str">
        <f>估价对象房地状况!C20</f>
        <v>区域自然环境：；人文环境；综合评价环境状况一般</v>
      </c>
      <c r="C58" s="2044"/>
      <c r="D58" s="1065">
        <f t="shared" si="7"/>
        <v>0</v>
      </c>
      <c r="E58" s="746"/>
      <c r="F58" s="1814"/>
      <c r="G58" s="1063"/>
      <c r="H58" s="1066" t="str">
        <f t="shared" si="8"/>
        <v>——</v>
      </c>
      <c r="I58" s="3368">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4.4">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5.2">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9.6">
      <c r="A61" s="2130" t="s">
        <v>2064</v>
      </c>
      <c r="B61" s="2133" t="str">
        <f>估价对象房地状况!C17</f>
        <v>估价对象位于XX商圈，周边办公楼项目较多，入驻率高，办公集聚程度较好</v>
      </c>
      <c r="C61" s="2044"/>
      <c r="D61" s="1065">
        <f t="shared" ref="D61:D69" si="12">SUMIF($J$60:$N$60,C61,J61:N61)</f>
        <v>0</v>
      </c>
      <c r="E61" s="744">
        <f>ROUND(SUM(D61:D69),4)</f>
        <v>0</v>
      </c>
      <c r="F61" s="1814" t="str">
        <f>IF(E2="办公",SUMIF(L1:L12,G2,N1:N12),"——")</f>
        <v>——</v>
      </c>
      <c r="G61" s="1063"/>
      <c r="H61" s="1066" t="str">
        <f t="shared" ref="H61:H69" si="13">IFERROR(ROUNDDOWN($F$61*I61/2,4),"——")</f>
        <v>——</v>
      </c>
      <c r="I61" s="3367">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52.8">
      <c r="A62" s="2130" t="s">
        <v>2053</v>
      </c>
      <c r="B62" s="2134" t="str">
        <f>估价对象房地状况!C18</f>
        <v>估价对象周边道路状况、公共交通通达情况、停车便捷程度，综合评价交通便捷度较好</v>
      </c>
      <c r="C62" s="2044"/>
      <c r="D62" s="1065">
        <f t="shared" si="12"/>
        <v>0</v>
      </c>
      <c r="E62" s="745"/>
      <c r="F62" s="1814"/>
      <c r="G62" s="1063"/>
      <c r="H62" s="1066" t="str">
        <f t="shared" si="13"/>
        <v>——</v>
      </c>
      <c r="I62" s="3367">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48">
      <c r="A63" s="3369" t="s">
        <v>3273</v>
      </c>
      <c r="B63" s="2134">
        <f>估价对象房地状况!C19</f>
        <v>0</v>
      </c>
      <c r="C63" s="2044"/>
      <c r="D63" s="1065">
        <f t="shared" si="12"/>
        <v>0</v>
      </c>
      <c r="E63" s="745"/>
      <c r="F63" s="1814"/>
      <c r="G63" s="1063"/>
      <c r="H63" s="1066" t="str">
        <f t="shared" si="13"/>
        <v>——</v>
      </c>
      <c r="I63" s="3367">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7.200000000000003">
      <c r="A64" s="2130" t="s">
        <v>2054</v>
      </c>
      <c r="B64" s="2135" t="s">
        <v>2055</v>
      </c>
      <c r="C64" s="2044"/>
      <c r="D64" s="1065">
        <f t="shared" si="12"/>
        <v>0</v>
      </c>
      <c r="E64" s="745"/>
      <c r="F64" s="1814"/>
      <c r="G64" s="1063"/>
      <c r="H64" s="1066" t="str">
        <f t="shared" si="13"/>
        <v>——</v>
      </c>
      <c r="I64" s="3367">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2"/>
        <v>0</v>
      </c>
      <c r="E65" s="745"/>
      <c r="F65" s="1814"/>
      <c r="G65" s="1063"/>
      <c r="H65" s="1066" t="str">
        <f t="shared" si="13"/>
        <v>——</v>
      </c>
      <c r="I65" s="3367">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36">
      <c r="A66" s="2130" t="s">
        <v>2057</v>
      </c>
      <c r="B66" s="2136" t="s">
        <v>2058</v>
      </c>
      <c r="C66" s="2044"/>
      <c r="D66" s="1065">
        <f t="shared" si="12"/>
        <v>0</v>
      </c>
      <c r="E66" s="745"/>
      <c r="F66" s="1814"/>
      <c r="G66" s="1063"/>
      <c r="H66" s="1066" t="str">
        <f t="shared" si="13"/>
        <v>——</v>
      </c>
      <c r="I66" s="3367">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6.4">
      <c r="A67" s="2130" t="s">
        <v>2059</v>
      </c>
      <c r="B67" s="1326" t="str">
        <f>估价对象房地状况!C21</f>
        <v>估价对象所在区域公共配套设施齐备情况</v>
      </c>
      <c r="C67" s="2044"/>
      <c r="D67" s="1065">
        <f t="shared" si="12"/>
        <v>0</v>
      </c>
      <c r="E67" s="745"/>
      <c r="F67" s="1814"/>
      <c r="G67" s="1063"/>
      <c r="H67" s="1066" t="str">
        <f t="shared" si="13"/>
        <v>——</v>
      </c>
      <c r="I67" s="3367">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6.4">
      <c r="A68" s="2130" t="s">
        <v>2060</v>
      </c>
      <c r="B68" s="1326" t="str">
        <f>估价对象房地状况!C22</f>
        <v>估价对象所在区域基础设施水平</v>
      </c>
      <c r="C68" s="2044"/>
      <c r="D68" s="1065">
        <f t="shared" si="12"/>
        <v>0</v>
      </c>
      <c r="E68" s="745"/>
      <c r="F68" s="1814"/>
      <c r="G68" s="1063"/>
      <c r="H68" s="1066" t="str">
        <f t="shared" si="13"/>
        <v>——</v>
      </c>
      <c r="I68" s="3367">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40.200000000000003" thickBot="1">
      <c r="A69" s="2138" t="s">
        <v>2061</v>
      </c>
      <c r="B69" s="2140" t="str">
        <f>估价对象房地状况!C20</f>
        <v>区域自然环境：；人文环境；综合评价环境状况一般</v>
      </c>
      <c r="C69" s="2044"/>
      <c r="D69" s="1065">
        <f t="shared" si="12"/>
        <v>0</v>
      </c>
      <c r="E69" s="746"/>
      <c r="F69" s="1814"/>
      <c r="G69" s="1063"/>
      <c r="H69" s="1066" t="str">
        <f t="shared" si="13"/>
        <v>——</v>
      </c>
      <c r="I69" s="3368">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4.4">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5.2">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2.8">
      <c r="A72" s="2130" t="s">
        <v>2066</v>
      </c>
      <c r="B72" s="2133" t="str">
        <f>估价对象房地状况!C15</f>
        <v>估价对象周边居住用地比例、居住小区规模和社区发展完善程度，综合评价居住社区成熟度一般</v>
      </c>
      <c r="C72" s="2044"/>
      <c r="D72" s="1065">
        <f t="shared" ref="D72:D80" si="17">SUMIF($J$71:$N$71,C72,J72:N72)</f>
        <v>0</v>
      </c>
      <c r="E72" s="744">
        <f>ROUND(SUM(D72:D80),4)</f>
        <v>0</v>
      </c>
      <c r="F72" s="1814" t="str">
        <f>IF(E2="住宅",SUMIF(L1:L12,G2,N1:N12),"——")</f>
        <v>——</v>
      </c>
      <c r="G72" s="1063"/>
      <c r="H72" s="1066" t="str">
        <f t="shared" ref="H72:H80" si="18">IFERROR(ROUNDDOWN($F$72*I72/2,4),"——")</f>
        <v>——</v>
      </c>
      <c r="I72" s="3367">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52.8">
      <c r="A73" s="2130" t="s">
        <v>2053</v>
      </c>
      <c r="B73" s="2134" t="str">
        <f>估价对象房地状况!C18</f>
        <v>估价对象周边道路状况、公共交通通达情况、停车便捷程度，综合评价交通便捷度较好</v>
      </c>
      <c r="C73" s="2044"/>
      <c r="D73" s="1065">
        <f t="shared" si="17"/>
        <v>0</v>
      </c>
      <c r="E73" s="747"/>
      <c r="F73" s="1814"/>
      <c r="G73" s="1063"/>
      <c r="H73" s="1066" t="str">
        <f t="shared" si="18"/>
        <v>——</v>
      </c>
      <c r="I73" s="3367">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7" customFormat="1" ht="48">
      <c r="A74" s="3369" t="s">
        <v>3273</v>
      </c>
      <c r="B74" s="2134">
        <f>估价对象房地状况!C19</f>
        <v>0</v>
      </c>
      <c r="C74" s="2044"/>
      <c r="D74" s="1065">
        <f t="shared" si="17"/>
        <v>0</v>
      </c>
      <c r="E74" s="747"/>
      <c r="F74" s="1814"/>
      <c r="G74" s="1063"/>
      <c r="H74" s="1066" t="str">
        <f t="shared" si="18"/>
        <v>——</v>
      </c>
      <c r="I74" s="3367">
        <v>0.1</v>
      </c>
      <c r="J74" s="1064">
        <f t="shared" si="19"/>
        <v>0</v>
      </c>
      <c r="K74" s="1064">
        <f t="shared" si="20"/>
        <v>0</v>
      </c>
      <c r="L74" s="1064">
        <v>0</v>
      </c>
      <c r="M74" s="1064">
        <f t="shared" si="21"/>
        <v>0</v>
      </c>
      <c r="N74" s="1064">
        <f t="shared" si="21"/>
        <v>0</v>
      </c>
      <c r="O74" s="1119"/>
      <c r="P74" s="1119"/>
      <c r="Q74" s="1119"/>
      <c r="AA74" s="2141"/>
      <c r="AB74" s="1120"/>
      <c r="AC74" s="1120"/>
      <c r="AD74" s="1120"/>
      <c r="AE74" s="1120"/>
      <c r="AF74" s="1120"/>
      <c r="AG74" s="1120"/>
      <c r="AH74" s="2141"/>
      <c r="AI74" s="2141"/>
      <c r="AJ74" s="2141"/>
      <c r="AK74" s="2141"/>
    </row>
    <row r="75" spans="1:37" ht="13.8">
      <c r="A75" s="2130" t="s">
        <v>2067</v>
      </c>
      <c r="B75" s="2134">
        <f>估价对象房地状况!C24</f>
        <v>0</v>
      </c>
      <c r="C75" s="2044"/>
      <c r="D75" s="1065">
        <f t="shared" si="17"/>
        <v>0</v>
      </c>
      <c r="E75" s="747"/>
      <c r="F75" s="1814"/>
      <c r="G75" s="1063"/>
      <c r="H75" s="1066" t="str">
        <f t="shared" si="18"/>
        <v>——</v>
      </c>
      <c r="I75" s="3367">
        <v>0.05</v>
      </c>
      <c r="J75" s="1064">
        <f t="shared" si="19"/>
        <v>0</v>
      </c>
      <c r="K75" s="1064">
        <f t="shared" si="20"/>
        <v>0</v>
      </c>
      <c r="L75" s="1064">
        <v>0</v>
      </c>
      <c r="M75" s="1064">
        <f t="shared" si="21"/>
        <v>0</v>
      </c>
      <c r="N75" s="1064">
        <f t="shared" si="21"/>
        <v>0</v>
      </c>
      <c r="O75" s="1119"/>
      <c r="P75" s="1119"/>
      <c r="Q75" s="1997"/>
      <c r="Z75" s="1998"/>
      <c r="AA75" s="2053"/>
      <c r="AG75" s="1121"/>
      <c r="AK75" s="2053"/>
    </row>
    <row r="76" spans="1:37" ht="26.4">
      <c r="A76" s="2130" t="s">
        <v>2059</v>
      </c>
      <c r="B76" s="1326" t="str">
        <f>估价对象房地状况!C21</f>
        <v>估价对象所在区域公共配套设施齐备情况</v>
      </c>
      <c r="C76" s="2044"/>
      <c r="D76" s="1065">
        <f t="shared" si="17"/>
        <v>0</v>
      </c>
      <c r="E76" s="747"/>
      <c r="F76" s="1814"/>
      <c r="G76" s="1063"/>
      <c r="H76" s="1066" t="str">
        <f t="shared" si="18"/>
        <v>——</v>
      </c>
      <c r="I76" s="3367">
        <v>0.08</v>
      </c>
      <c r="J76" s="1064">
        <f t="shared" si="19"/>
        <v>0</v>
      </c>
      <c r="K76" s="1064">
        <f t="shared" si="20"/>
        <v>0</v>
      </c>
      <c r="L76" s="1064">
        <v>0</v>
      </c>
      <c r="M76" s="1064">
        <f t="shared" si="21"/>
        <v>0</v>
      </c>
      <c r="N76" s="1064">
        <f t="shared" si="21"/>
        <v>0</v>
      </c>
      <c r="O76" s="1119"/>
      <c r="P76" s="1119"/>
      <c r="Z76" s="1998"/>
      <c r="AA76" s="2053"/>
      <c r="AG76" s="1121"/>
      <c r="AK76" s="2053"/>
    </row>
    <row r="77" spans="1:37" ht="26.4">
      <c r="A77" s="2130" t="s">
        <v>2060</v>
      </c>
      <c r="B77" s="1326" t="str">
        <f>估价对象房地状况!C22</f>
        <v>估价对象所在区域基础设施水平</v>
      </c>
      <c r="C77" s="2044"/>
      <c r="D77" s="1065">
        <f t="shared" si="17"/>
        <v>0</v>
      </c>
      <c r="E77" s="747"/>
      <c r="F77" s="1814"/>
      <c r="G77" s="1063"/>
      <c r="H77" s="1066" t="str">
        <f t="shared" si="18"/>
        <v>——</v>
      </c>
      <c r="I77" s="3367">
        <v>0.09</v>
      </c>
      <c r="J77" s="1064">
        <f t="shared" si="19"/>
        <v>0</v>
      </c>
      <c r="K77" s="1064">
        <f t="shared" si="20"/>
        <v>0</v>
      </c>
      <c r="L77" s="1064">
        <v>0</v>
      </c>
      <c r="M77" s="1064">
        <f t="shared" si="21"/>
        <v>0</v>
      </c>
      <c r="N77" s="1064">
        <f t="shared" si="21"/>
        <v>0</v>
      </c>
      <c r="O77" s="1119"/>
      <c r="P77" s="1119"/>
      <c r="Z77" s="1998"/>
      <c r="AA77" s="2053"/>
      <c r="AG77" s="1121"/>
      <c r="AK77" s="2053"/>
    </row>
    <row r="78" spans="1:37" ht="36">
      <c r="A78" s="2130" t="s">
        <v>2057</v>
      </c>
      <c r="B78" s="2136" t="s">
        <v>2058</v>
      </c>
      <c r="C78" s="2044"/>
      <c r="D78" s="1065">
        <f t="shared" si="17"/>
        <v>0</v>
      </c>
      <c r="E78" s="747"/>
      <c r="F78" s="1814"/>
      <c r="G78" s="1063"/>
      <c r="H78" s="1066" t="str">
        <f t="shared" si="18"/>
        <v>——</v>
      </c>
      <c r="I78" s="3367">
        <v>0.05</v>
      </c>
      <c r="J78" s="1064">
        <f t="shared" si="19"/>
        <v>0</v>
      </c>
      <c r="K78" s="1064">
        <f t="shared" si="20"/>
        <v>0</v>
      </c>
      <c r="L78" s="1064">
        <v>0</v>
      </c>
      <c r="M78" s="1064">
        <f t="shared" si="21"/>
        <v>0</v>
      </c>
      <c r="N78" s="1064">
        <f t="shared" si="21"/>
        <v>0</v>
      </c>
      <c r="O78" s="1997"/>
      <c r="P78" s="1997"/>
      <c r="Z78" s="1998"/>
      <c r="AA78" s="2053"/>
      <c r="AG78" s="1121"/>
      <c r="AK78" s="2053"/>
    </row>
    <row r="79" spans="1:37" ht="39.6">
      <c r="A79" s="2130" t="s">
        <v>2061</v>
      </c>
      <c r="B79" s="2133" t="str">
        <f>估价对象房地状况!C20</f>
        <v>区域自然环境：；人文环境；综合评价环境状况一般</v>
      </c>
      <c r="C79" s="2044"/>
      <c r="D79" s="1065">
        <f t="shared" si="17"/>
        <v>0</v>
      </c>
      <c r="E79" s="747"/>
      <c r="F79" s="1814"/>
      <c r="G79" s="1063"/>
      <c r="H79" s="1066" t="str">
        <f t="shared" si="18"/>
        <v>——</v>
      </c>
      <c r="I79" s="3367">
        <v>0.12</v>
      </c>
      <c r="J79" s="1064">
        <f t="shared" si="19"/>
        <v>0</v>
      </c>
      <c r="K79" s="1064">
        <f t="shared" si="20"/>
        <v>0</v>
      </c>
      <c r="L79" s="1064">
        <v>0</v>
      </c>
      <c r="M79" s="1064">
        <f t="shared" si="21"/>
        <v>0</v>
      </c>
      <c r="N79" s="1064">
        <f t="shared" si="21"/>
        <v>0</v>
      </c>
      <c r="Z79" s="1998"/>
      <c r="AA79" s="2053"/>
      <c r="AG79" s="1121"/>
      <c r="AK79" s="2053"/>
    </row>
    <row r="80" spans="1:37" ht="36.6" thickBot="1">
      <c r="A80" s="2138" t="s">
        <v>2068</v>
      </c>
      <c r="B80" s="2142"/>
      <c r="C80" s="2044"/>
      <c r="D80" s="1065">
        <f t="shared" si="17"/>
        <v>0</v>
      </c>
      <c r="E80" s="748"/>
      <c r="F80" s="1814"/>
      <c r="G80" s="1063"/>
      <c r="H80" s="1066" t="str">
        <f t="shared" si="18"/>
        <v>——</v>
      </c>
      <c r="I80" s="3368">
        <v>0.05</v>
      </c>
      <c r="J80" s="1064">
        <f t="shared" si="19"/>
        <v>0</v>
      </c>
      <c r="K80" s="1064">
        <f t="shared" si="20"/>
        <v>0</v>
      </c>
      <c r="L80" s="1064">
        <v>0</v>
      </c>
      <c r="M80" s="1064">
        <f t="shared" si="21"/>
        <v>0</v>
      </c>
      <c r="N80" s="1064">
        <f t="shared" si="21"/>
        <v>0</v>
      </c>
      <c r="Z80" s="1998"/>
      <c r="AA80" s="2053"/>
      <c r="AG80" s="1121"/>
      <c r="AK80" s="2053"/>
    </row>
    <row r="81" spans="1:37" ht="14.4">
      <c r="A81" s="2126" t="s">
        <v>2069</v>
      </c>
      <c r="B81" s="2127">
        <f>1+E83</f>
        <v>1</v>
      </c>
      <c r="C81" s="741"/>
      <c r="D81" s="741"/>
      <c r="E81" s="742"/>
      <c r="F81" s="2129"/>
      <c r="G81" s="3"/>
      <c r="H81" s="3"/>
      <c r="I81" s="3"/>
      <c r="J81" s="4"/>
      <c r="K81" s="4"/>
      <c r="L81" s="4"/>
      <c r="M81" s="4"/>
      <c r="N81" s="4"/>
      <c r="Z81" s="1998"/>
      <c r="AA81" s="2053"/>
      <c r="AG81" s="1121"/>
      <c r="AK81" s="2053"/>
    </row>
    <row r="82" spans="1:37" ht="25.2">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9.6">
      <c r="A83" s="2130" t="s">
        <v>2070</v>
      </c>
      <c r="B83" s="2134" t="str">
        <f>估价对象房地状况!G15</f>
        <v>估价对象位于XX开发区，园区建设成熟度XX，产业集聚程度XX</v>
      </c>
      <c r="C83" s="2044"/>
      <c r="D83" s="1065">
        <f t="shared" ref="D83:D90" si="22">SUMIF($J$82:$N$82,C83,J83:N83)</f>
        <v>0</v>
      </c>
      <c r="E83" s="744">
        <f>ROUND(SUM(D83:D90),4)</f>
        <v>0</v>
      </c>
      <c r="F83" s="1814" t="str">
        <f>IF(E2="工业",SUMIF(L1:L12,G2,N1:N12),"——")</f>
        <v>——</v>
      </c>
      <c r="G83" s="1063"/>
      <c r="H83" s="1066" t="str">
        <f t="shared" ref="H83:H90" si="23">IFERROR(ROUNDDOWN($F$83*I83/2,4),"——")</f>
        <v>——</v>
      </c>
      <c r="I83" s="3367">
        <v>0.26</v>
      </c>
      <c r="J83" s="1064">
        <f t="shared" ref="J83:J90" si="24">K83+$G83</f>
        <v>0</v>
      </c>
      <c r="K83" s="1064">
        <f t="shared" ref="K83:K90" si="25">$L83+$G83</f>
        <v>0</v>
      </c>
      <c r="L83" s="1064">
        <v>0</v>
      </c>
      <c r="M83" s="1064">
        <f t="shared" ref="M83:N90" si="26">L83-$G83</f>
        <v>0</v>
      </c>
      <c r="N83" s="1064">
        <f t="shared" si="26"/>
        <v>0</v>
      </c>
      <c r="Z83" s="1998"/>
      <c r="AA83" s="2053"/>
      <c r="AG83" s="1121"/>
      <c r="AK83" s="2053"/>
    </row>
    <row r="84" spans="1:37" ht="52.8">
      <c r="A84" s="2130" t="s">
        <v>2053</v>
      </c>
      <c r="B84" s="2134" t="str">
        <f>估价对象房地状况!G16</f>
        <v>估价对象周边道路状况、公共交通通达情况、停车便捷程度，综合评价交通便捷度较好</v>
      </c>
      <c r="C84" s="2044"/>
      <c r="D84" s="1065">
        <f t="shared" si="22"/>
        <v>0</v>
      </c>
      <c r="E84" s="747"/>
      <c r="F84" s="1814"/>
      <c r="G84" s="1063"/>
      <c r="H84" s="1066" t="str">
        <f t="shared" si="23"/>
        <v>——</v>
      </c>
      <c r="I84" s="3367">
        <v>0.3</v>
      </c>
      <c r="J84" s="1064">
        <f t="shared" si="24"/>
        <v>0</v>
      </c>
      <c r="K84" s="1064">
        <f t="shared" si="25"/>
        <v>0</v>
      </c>
      <c r="L84" s="1064">
        <v>0</v>
      </c>
      <c r="M84" s="1064">
        <f t="shared" si="26"/>
        <v>0</v>
      </c>
      <c r="N84" s="1064">
        <f t="shared" si="26"/>
        <v>0</v>
      </c>
      <c r="Z84" s="1998"/>
      <c r="AA84" s="2053"/>
      <c r="AG84" s="1121"/>
      <c r="AK84" s="2053"/>
    </row>
    <row r="85" spans="1:37" ht="48">
      <c r="A85" s="3369" t="s">
        <v>3274</v>
      </c>
      <c r="B85" s="2134">
        <f>估价对象房地状况!G17</f>
        <v>0</v>
      </c>
      <c r="C85" s="2044"/>
      <c r="D85" s="1065">
        <f t="shared" si="22"/>
        <v>0</v>
      </c>
      <c r="E85" s="747"/>
      <c r="F85" s="1814"/>
      <c r="G85" s="1063"/>
      <c r="H85" s="1066" t="str">
        <f t="shared" si="23"/>
        <v>——</v>
      </c>
      <c r="I85" s="3367">
        <v>0.1</v>
      </c>
      <c r="J85" s="1064">
        <f t="shared" si="24"/>
        <v>0</v>
      </c>
      <c r="K85" s="1064">
        <f t="shared" si="25"/>
        <v>0</v>
      </c>
      <c r="L85" s="1064">
        <v>0</v>
      </c>
      <c r="M85" s="1064">
        <f t="shared" si="26"/>
        <v>0</v>
      </c>
      <c r="N85" s="1064">
        <f t="shared" si="26"/>
        <v>0</v>
      </c>
      <c r="Z85" s="1998"/>
      <c r="AA85" s="2053"/>
      <c r="AG85" s="1121"/>
      <c r="AK85" s="2053"/>
    </row>
    <row r="86" spans="1:37" ht="13.8">
      <c r="A86" s="2130" t="s">
        <v>2067</v>
      </c>
      <c r="B86" s="2134">
        <f>估价对象房地状况!G22</f>
        <v>0</v>
      </c>
      <c r="C86" s="2044"/>
      <c r="D86" s="1065">
        <f t="shared" si="22"/>
        <v>0</v>
      </c>
      <c r="E86" s="747"/>
      <c r="F86" s="1814"/>
      <c r="G86" s="1063"/>
      <c r="H86" s="1066" t="str">
        <f t="shared" si="23"/>
        <v>——</v>
      </c>
      <c r="I86" s="3367">
        <v>0.05</v>
      </c>
      <c r="J86" s="1064">
        <f t="shared" si="24"/>
        <v>0</v>
      </c>
      <c r="K86" s="1064">
        <f t="shared" si="25"/>
        <v>0</v>
      </c>
      <c r="L86" s="1064">
        <v>0</v>
      </c>
      <c r="M86" s="1064">
        <f t="shared" si="26"/>
        <v>0</v>
      </c>
      <c r="N86" s="1064">
        <f t="shared" si="26"/>
        <v>0</v>
      </c>
      <c r="Z86" s="1998"/>
      <c r="AA86" s="2053"/>
      <c r="AG86" s="1121"/>
      <c r="AK86" s="2053"/>
    </row>
    <row r="87" spans="1:37" ht="26.4">
      <c r="A87" s="2130" t="s">
        <v>2059</v>
      </c>
      <c r="B87" s="1326" t="str">
        <f>估价对象房地状况!G19</f>
        <v>估价对象所在区域公共配套设施齐备情况</v>
      </c>
      <c r="C87" s="2044"/>
      <c r="D87" s="1065">
        <f t="shared" si="22"/>
        <v>0</v>
      </c>
      <c r="E87" s="747"/>
      <c r="F87" s="1814"/>
      <c r="G87" s="1063"/>
      <c r="H87" s="1066" t="str">
        <f t="shared" si="23"/>
        <v>——</v>
      </c>
      <c r="I87" s="3367">
        <v>0.06</v>
      </c>
      <c r="J87" s="1064">
        <f t="shared" si="24"/>
        <v>0</v>
      </c>
      <c r="K87" s="1064">
        <f t="shared" si="25"/>
        <v>0</v>
      </c>
      <c r="L87" s="1064">
        <v>0</v>
      </c>
      <c r="M87" s="1064">
        <f t="shared" si="26"/>
        <v>0</v>
      </c>
      <c r="N87" s="1064">
        <f t="shared" si="26"/>
        <v>0</v>
      </c>
    </row>
    <row r="88" spans="1:37" ht="26.4">
      <c r="A88" s="2130" t="s">
        <v>2060</v>
      </c>
      <c r="B88" s="1326" t="str">
        <f>估价对象房地状况!G20</f>
        <v>估价对象所在区域基础设施水平</v>
      </c>
      <c r="C88" s="2044"/>
      <c r="D88" s="1065">
        <f t="shared" si="22"/>
        <v>0</v>
      </c>
      <c r="E88" s="747"/>
      <c r="F88" s="1814"/>
      <c r="G88" s="1063"/>
      <c r="H88" s="1066" t="str">
        <f t="shared" si="23"/>
        <v>——</v>
      </c>
      <c r="I88" s="3367">
        <v>0.12</v>
      </c>
      <c r="J88" s="1064">
        <f t="shared" si="24"/>
        <v>0</v>
      </c>
      <c r="K88" s="1064">
        <f t="shared" si="25"/>
        <v>0</v>
      </c>
      <c r="L88" s="1064">
        <v>0</v>
      </c>
      <c r="M88" s="1064">
        <f t="shared" si="26"/>
        <v>0</v>
      </c>
      <c r="N88" s="1064">
        <f t="shared" si="26"/>
        <v>0</v>
      </c>
    </row>
    <row r="89" spans="1:37" ht="36">
      <c r="A89" s="2130" t="s">
        <v>2057</v>
      </c>
      <c r="B89" s="2136" t="s">
        <v>2071</v>
      </c>
      <c r="C89" s="2044"/>
      <c r="D89" s="1065">
        <f t="shared" si="22"/>
        <v>0</v>
      </c>
      <c r="E89" s="747"/>
      <c r="F89" s="1814"/>
      <c r="G89" s="1063"/>
      <c r="H89" s="1066" t="str">
        <f t="shared" si="23"/>
        <v>——</v>
      </c>
      <c r="I89" s="3367">
        <v>0.06</v>
      </c>
      <c r="J89" s="1064">
        <f t="shared" si="24"/>
        <v>0</v>
      </c>
      <c r="K89" s="1064">
        <f t="shared" si="25"/>
        <v>0</v>
      </c>
      <c r="L89" s="1064">
        <v>0</v>
      </c>
      <c r="M89" s="1064">
        <f t="shared" si="26"/>
        <v>0</v>
      </c>
      <c r="N89" s="1064">
        <f t="shared" si="26"/>
        <v>0</v>
      </c>
    </row>
    <row r="90" spans="1:37" ht="40.200000000000003" thickBot="1">
      <c r="A90" s="2138" t="s">
        <v>2072</v>
      </c>
      <c r="B90" s="2143" t="str">
        <f>估价对象房地状况!G18</f>
        <v>该园区内是否有污染型企业，绿化情况，卫生条件，整体环境状况判断</v>
      </c>
      <c r="C90" s="2044"/>
      <c r="D90" s="1065">
        <f t="shared" si="22"/>
        <v>0</v>
      </c>
      <c r="E90" s="748"/>
      <c r="F90" s="1814"/>
      <c r="G90" s="1063"/>
      <c r="H90" s="1066" t="str">
        <f t="shared" si="23"/>
        <v>——</v>
      </c>
      <c r="I90" s="3368">
        <v>0.05</v>
      </c>
      <c r="J90" s="1064">
        <f t="shared" si="24"/>
        <v>0</v>
      </c>
      <c r="K90" s="1064">
        <f t="shared" si="25"/>
        <v>0</v>
      </c>
      <c r="L90" s="1064">
        <v>0</v>
      </c>
      <c r="M90" s="1064">
        <f t="shared" si="26"/>
        <v>0</v>
      </c>
      <c r="N90" s="1064">
        <f t="shared" si="26"/>
        <v>0</v>
      </c>
    </row>
    <row r="91" spans="1:37" ht="13.8">
      <c r="A91" s="3377" t="s">
        <v>2616</v>
      </c>
      <c r="B91" s="3378">
        <f>1+E93</f>
        <v>1</v>
      </c>
      <c r="C91" s="3371"/>
      <c r="D91" s="3372"/>
      <c r="E91" s="1814"/>
      <c r="F91" s="1814"/>
      <c r="G91" s="3373"/>
      <c r="H91" s="3374"/>
      <c r="I91" s="3375"/>
      <c r="J91" s="3376"/>
      <c r="K91" s="3376"/>
      <c r="L91" s="3376"/>
      <c r="M91" s="3376"/>
      <c r="N91" s="3376"/>
    </row>
    <row r="92" spans="1:37" ht="25.2">
      <c r="A92" s="3379" t="s">
        <v>3275</v>
      </c>
      <c r="B92" s="3366"/>
      <c r="C92" s="3366" t="s">
        <v>3284</v>
      </c>
      <c r="D92" s="3366" t="s">
        <v>3285</v>
      </c>
      <c r="E92" s="3348" t="s">
        <v>3286</v>
      </c>
      <c r="F92" s="3381" t="s">
        <v>3287</v>
      </c>
      <c r="G92" s="3366" t="s">
        <v>3288</v>
      </c>
      <c r="H92" s="3388" t="s">
        <v>3291</v>
      </c>
      <c r="I92" s="3366" t="s">
        <v>3292</v>
      </c>
      <c r="J92" s="3389" t="s">
        <v>3293</v>
      </c>
      <c r="K92" s="3389" t="s">
        <v>3294</v>
      </c>
      <c r="L92" s="3389" t="s">
        <v>3295</v>
      </c>
      <c r="M92" s="3389" t="s">
        <v>3296</v>
      </c>
      <c r="N92" s="3389" t="s">
        <v>3297</v>
      </c>
    </row>
    <row r="93" spans="1:37" ht="24">
      <c r="A93" s="3369" t="s">
        <v>3276</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7">K93+$G93</f>
        <v>0</v>
      </c>
      <c r="K93" s="3345">
        <f t="shared" ref="K93:K101" si="28">$L93+$G93</f>
        <v>0</v>
      </c>
      <c r="L93" s="3345">
        <v>0</v>
      </c>
      <c r="M93" s="3345">
        <f t="shared" ref="M93:N101" si="29">L93-$G93</f>
        <v>0</v>
      </c>
      <c r="N93" s="3345">
        <f t="shared" si="29"/>
        <v>0</v>
      </c>
    </row>
    <row r="94" spans="1:37" ht="52.8">
      <c r="A94" s="3379" t="s">
        <v>3277</v>
      </c>
      <c r="B94" s="3370" t="str">
        <f>估价对象房地状况!C18</f>
        <v>估价对象周边道路状况、公共交通通达情况、停车便捷程度，综合评价交通便捷度较好</v>
      </c>
      <c r="C94" s="2044"/>
      <c r="D94" s="3366">
        <f t="shared" ref="D94:D101" si="30">SUMIF($J$60:$N$60,C94,J94:N94)</f>
        <v>0</v>
      </c>
      <c r="E94" s="3383"/>
      <c r="F94" s="1814"/>
      <c r="G94" s="3373"/>
      <c r="H94" s="3421" t="str">
        <f>IFERROR(ROUNDDOWN($F$93*I94/2,4),"——")</f>
        <v>——</v>
      </c>
      <c r="I94" s="3367">
        <v>0.26</v>
      </c>
      <c r="J94" s="3345">
        <f t="shared" si="27"/>
        <v>0</v>
      </c>
      <c r="K94" s="3345">
        <f t="shared" si="28"/>
        <v>0</v>
      </c>
      <c r="L94" s="3345">
        <v>0</v>
      </c>
      <c r="M94" s="3345">
        <f t="shared" si="29"/>
        <v>0</v>
      </c>
      <c r="N94" s="3345">
        <f t="shared" si="29"/>
        <v>0</v>
      </c>
    </row>
    <row r="95" spans="1:37" ht="48">
      <c r="A95" s="3369" t="s">
        <v>3273</v>
      </c>
      <c r="B95" s="3370">
        <f>估价对象房地状况!C19</f>
        <v>0</v>
      </c>
      <c r="C95" s="2044"/>
      <c r="D95" s="3366">
        <f t="shared" si="30"/>
        <v>0</v>
      </c>
      <c r="E95" s="3383"/>
      <c r="F95" s="1814"/>
      <c r="G95" s="3373"/>
      <c r="H95" s="3421" t="str">
        <f t="shared" ref="H95:H101" si="31">IFERROR(ROUNDDOWN($F$93*I95/2,4),"——")</f>
        <v>——</v>
      </c>
      <c r="I95" s="3367">
        <v>0.11</v>
      </c>
      <c r="J95" s="3345">
        <f t="shared" si="27"/>
        <v>0</v>
      </c>
      <c r="K95" s="3345">
        <f t="shared" si="28"/>
        <v>0</v>
      </c>
      <c r="L95" s="3345">
        <v>0</v>
      </c>
      <c r="M95" s="3345">
        <f t="shared" si="29"/>
        <v>0</v>
      </c>
      <c r="N95" s="3345">
        <f t="shared" si="29"/>
        <v>0</v>
      </c>
    </row>
    <row r="96" spans="1:37" ht="37.200000000000003">
      <c r="A96" s="3379" t="s">
        <v>3278</v>
      </c>
      <c r="B96" s="3385" t="s">
        <v>3289</v>
      </c>
      <c r="C96" s="2044"/>
      <c r="D96" s="3366">
        <f t="shared" si="30"/>
        <v>0</v>
      </c>
      <c r="E96" s="3383"/>
      <c r="F96" s="1814"/>
      <c r="G96" s="3373"/>
      <c r="H96" s="3421" t="str">
        <f t="shared" si="31"/>
        <v>——</v>
      </c>
      <c r="I96" s="3367">
        <v>0.05</v>
      </c>
      <c r="J96" s="3345">
        <f t="shared" si="27"/>
        <v>0</v>
      </c>
      <c r="K96" s="3345">
        <f t="shared" si="28"/>
        <v>0</v>
      </c>
      <c r="L96" s="3345">
        <v>0</v>
      </c>
      <c r="M96" s="3345">
        <f t="shared" si="29"/>
        <v>0</v>
      </c>
      <c r="N96" s="3345">
        <f t="shared" si="29"/>
        <v>0</v>
      </c>
    </row>
    <row r="97" spans="1:14" ht="24">
      <c r="A97" s="3379" t="s">
        <v>3279</v>
      </c>
      <c r="B97" s="3370">
        <f>估价对象房地状况!C24</f>
        <v>0</v>
      </c>
      <c r="C97" s="2044"/>
      <c r="D97" s="3366">
        <f t="shared" si="30"/>
        <v>0</v>
      </c>
      <c r="E97" s="3383"/>
      <c r="F97" s="1814"/>
      <c r="G97" s="3373"/>
      <c r="H97" s="3421" t="str">
        <f t="shared" si="31"/>
        <v>——</v>
      </c>
      <c r="I97" s="3367">
        <v>0.05</v>
      </c>
      <c r="J97" s="3345">
        <f t="shared" si="27"/>
        <v>0</v>
      </c>
      <c r="K97" s="3345">
        <f t="shared" si="28"/>
        <v>0</v>
      </c>
      <c r="L97" s="3345">
        <v>0</v>
      </c>
      <c r="M97" s="3345">
        <f t="shared" si="29"/>
        <v>0</v>
      </c>
      <c r="N97" s="3345">
        <f t="shared" si="29"/>
        <v>0</v>
      </c>
    </row>
    <row r="98" spans="1:14" ht="36">
      <c r="A98" s="3379" t="s">
        <v>3280</v>
      </c>
      <c r="B98" s="3386" t="s">
        <v>3290</v>
      </c>
      <c r="C98" s="2044"/>
      <c r="D98" s="3366">
        <f t="shared" si="30"/>
        <v>0</v>
      </c>
      <c r="E98" s="3383"/>
      <c r="F98" s="1814"/>
      <c r="G98" s="3373"/>
      <c r="H98" s="3421" t="str">
        <f t="shared" si="31"/>
        <v>——</v>
      </c>
      <c r="I98" s="3367">
        <v>0.06</v>
      </c>
      <c r="J98" s="3345">
        <f t="shared" si="27"/>
        <v>0</v>
      </c>
      <c r="K98" s="3345">
        <f t="shared" si="28"/>
        <v>0</v>
      </c>
      <c r="L98" s="3345">
        <v>0</v>
      </c>
      <c r="M98" s="3345">
        <f t="shared" si="29"/>
        <v>0</v>
      </c>
      <c r="N98" s="3345">
        <f t="shared" si="29"/>
        <v>0</v>
      </c>
    </row>
    <row r="99" spans="1:14" ht="26.4">
      <c r="A99" s="3379" t="s">
        <v>3281</v>
      </c>
      <c r="B99" s="3370" t="str">
        <f>估价对象房地状况!C21</f>
        <v>估价对象所在区域公共配套设施齐备情况</v>
      </c>
      <c r="C99" s="2044"/>
      <c r="D99" s="3366">
        <f t="shared" si="30"/>
        <v>0</v>
      </c>
      <c r="E99" s="3383"/>
      <c r="F99" s="1814"/>
      <c r="G99" s="3373"/>
      <c r="H99" s="3421" t="str">
        <f t="shared" si="31"/>
        <v>——</v>
      </c>
      <c r="I99" s="3367">
        <v>0.06</v>
      </c>
      <c r="J99" s="3345">
        <f t="shared" si="27"/>
        <v>0</v>
      </c>
      <c r="K99" s="3345">
        <f t="shared" si="28"/>
        <v>0</v>
      </c>
      <c r="L99" s="3345">
        <v>0</v>
      </c>
      <c r="M99" s="3345">
        <f t="shared" si="29"/>
        <v>0</v>
      </c>
      <c r="N99" s="3345">
        <f t="shared" si="29"/>
        <v>0</v>
      </c>
    </row>
    <row r="100" spans="1:14" ht="26.4">
      <c r="A100" s="3379" t="s">
        <v>3282</v>
      </c>
      <c r="B100" s="3370" t="str">
        <f>估价对象房地状况!C22</f>
        <v>估价对象所在区域基础设施水平</v>
      </c>
      <c r="C100" s="2044"/>
      <c r="D100" s="3366">
        <f t="shared" si="30"/>
        <v>0</v>
      </c>
      <c r="E100" s="3383"/>
      <c r="F100" s="1814"/>
      <c r="G100" s="3373"/>
      <c r="H100" s="3421" t="str">
        <f t="shared" si="31"/>
        <v>——</v>
      </c>
      <c r="I100" s="3367">
        <v>0.09</v>
      </c>
      <c r="J100" s="3345">
        <f t="shared" si="27"/>
        <v>0</v>
      </c>
      <c r="K100" s="3345">
        <f t="shared" si="28"/>
        <v>0</v>
      </c>
      <c r="L100" s="3345">
        <v>0</v>
      </c>
      <c r="M100" s="3345">
        <f t="shared" si="29"/>
        <v>0</v>
      </c>
      <c r="N100" s="3345">
        <f t="shared" si="29"/>
        <v>0</v>
      </c>
    </row>
    <row r="101" spans="1:14" ht="40.200000000000003" thickBot="1">
      <c r="A101" s="3380" t="s">
        <v>3283</v>
      </c>
      <c r="B101" s="3387" t="str">
        <f>估价对象房地状况!C20</f>
        <v>区域自然环境：；人文环境；综合评价环境状况一般</v>
      </c>
      <c r="C101" s="2044"/>
      <c r="D101" s="3366">
        <f t="shared" si="30"/>
        <v>0</v>
      </c>
      <c r="E101" s="3384"/>
      <c r="F101" s="1814"/>
      <c r="G101" s="3373"/>
      <c r="H101" s="3421" t="str">
        <f t="shared" si="31"/>
        <v>——</v>
      </c>
      <c r="I101" s="3368">
        <v>7.0000000000000007E-2</v>
      </c>
      <c r="J101" s="3345">
        <f t="shared" si="27"/>
        <v>0</v>
      </c>
      <c r="K101" s="3345">
        <f t="shared" si="28"/>
        <v>0</v>
      </c>
      <c r="L101" s="3345">
        <v>0</v>
      </c>
      <c r="M101" s="3345">
        <f t="shared" si="29"/>
        <v>0</v>
      </c>
      <c r="N101" s="3345">
        <f t="shared" si="29"/>
        <v>0</v>
      </c>
    </row>
    <row r="103" spans="1:14">
      <c r="A103" s="3971" t="s">
        <v>3298</v>
      </c>
      <c r="B103" s="3971"/>
      <c r="C103" s="3971"/>
      <c r="D103" s="3971"/>
      <c r="E103" s="3971"/>
      <c r="F103" s="3971"/>
      <c r="G103" s="3971"/>
      <c r="H103" s="3971"/>
      <c r="I103" s="3971"/>
      <c r="J103" s="3971"/>
      <c r="K103" s="3390"/>
      <c r="L103" s="3390"/>
      <c r="M103" s="3390"/>
      <c r="N103" s="3390"/>
    </row>
    <row r="104" spans="1:14">
      <c r="A104" s="3972" t="s">
        <v>3299</v>
      </c>
      <c r="B104" s="3972" t="s">
        <v>3300</v>
      </c>
      <c r="C104" s="3391" t="s">
        <v>3301</v>
      </c>
      <c r="D104" s="3392"/>
      <c r="E104" s="3392"/>
      <c r="F104" s="3392"/>
      <c r="G104" s="3392"/>
      <c r="H104" s="3392"/>
      <c r="I104" s="3392"/>
      <c r="J104" s="3393"/>
      <c r="K104" s="3394"/>
      <c r="L104" s="3394"/>
      <c r="M104" s="3394"/>
      <c r="N104" s="3394"/>
    </row>
    <row r="105" spans="1:14">
      <c r="A105" s="3972"/>
      <c r="B105" s="3972"/>
      <c r="C105" s="3395" t="s">
        <v>3302</v>
      </c>
      <c r="D105" s="3395" t="s">
        <v>3303</v>
      </c>
      <c r="E105" s="3395" t="s">
        <v>3304</v>
      </c>
      <c r="F105" s="3395" t="s">
        <v>3305</v>
      </c>
      <c r="G105" s="3395" t="s">
        <v>3306</v>
      </c>
      <c r="H105" s="3395" t="s">
        <v>3307</v>
      </c>
      <c r="I105" s="3395" t="s">
        <v>3308</v>
      </c>
      <c r="J105" s="3395" t="s">
        <v>3309</v>
      </c>
      <c r="K105" s="3395" t="s">
        <v>3310</v>
      </c>
      <c r="L105" s="3395" t="s">
        <v>3311</v>
      </c>
      <c r="M105" s="3395" t="s">
        <v>3312</v>
      </c>
      <c r="N105" s="3395" t="s">
        <v>3313</v>
      </c>
    </row>
    <row r="106" spans="1:14">
      <c r="A106" s="3958" t="s">
        <v>3314</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959"/>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959"/>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959"/>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959"/>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959"/>
      <c r="B111" s="3395" t="s">
        <v>3272</v>
      </c>
      <c r="C111" s="3396">
        <f>$I$3</f>
        <v>0</v>
      </c>
      <c r="D111" s="3396">
        <f t="shared" ref="D111:M111" si="32">$I$3</f>
        <v>0</v>
      </c>
      <c r="E111" s="3396">
        <f t="shared" si="32"/>
        <v>0</v>
      </c>
      <c r="F111" s="3396">
        <f t="shared" si="32"/>
        <v>0</v>
      </c>
      <c r="G111" s="3396">
        <f t="shared" si="32"/>
        <v>0</v>
      </c>
      <c r="H111" s="3396">
        <f t="shared" si="32"/>
        <v>0</v>
      </c>
      <c r="I111" s="3396">
        <f t="shared" si="32"/>
        <v>0</v>
      </c>
      <c r="J111" s="3396">
        <f t="shared" si="32"/>
        <v>0</v>
      </c>
      <c r="K111" s="3396">
        <f t="shared" si="32"/>
        <v>0</v>
      </c>
      <c r="L111" s="3396">
        <f t="shared" si="32"/>
        <v>0</v>
      </c>
      <c r="M111" s="3396">
        <f t="shared" si="32"/>
        <v>0</v>
      </c>
      <c r="N111" s="3396">
        <f>$I$3</f>
        <v>0</v>
      </c>
    </row>
    <row r="112" spans="1:14">
      <c r="A112" s="3960"/>
      <c r="B112" s="3395">
        <v>6</v>
      </c>
      <c r="C112" s="3388">
        <f>(-0.5556*(C111^2)-0.2719*C111+8944)*(10^(-4))</f>
        <v>0.89440000000000008</v>
      </c>
      <c r="D112" s="3388">
        <f>(-0.5556*(D111^2)-0.2719*D111+8944)*(10^(-4))</f>
        <v>0.89440000000000008</v>
      </c>
      <c r="E112" s="3388">
        <f>(-0.7912*(E111^2)-11.3794*E111+8482)*(10^(-4))</f>
        <v>0.84820000000000007</v>
      </c>
      <c r="F112" s="3388">
        <f t="shared" ref="F112:I112" si="33">(-0.7912*(F111^2)-11.3794*F111+8482)*(10^(-4))</f>
        <v>0.84820000000000007</v>
      </c>
      <c r="G112" s="3388">
        <f t="shared" si="33"/>
        <v>0.84820000000000007</v>
      </c>
      <c r="H112" s="3388">
        <f t="shared" si="33"/>
        <v>0.84820000000000007</v>
      </c>
      <c r="I112" s="3388">
        <f t="shared" si="33"/>
        <v>0.84820000000000007</v>
      </c>
      <c r="J112" s="3388">
        <f>(-0.989*(J111^2)-63.78*J111+7771)*(10^(-4))</f>
        <v>0.77710000000000001</v>
      </c>
      <c r="K112" s="3388">
        <f t="shared" ref="K112:N112" si="34">(-0.989*(K111^2)-63.78*K111+7771)*(10^(-4))</f>
        <v>0.77710000000000001</v>
      </c>
      <c r="L112" s="3388">
        <f t="shared" si="34"/>
        <v>0.77710000000000001</v>
      </c>
      <c r="M112" s="3388">
        <f t="shared" si="34"/>
        <v>0.77710000000000001</v>
      </c>
      <c r="N112" s="3388">
        <f t="shared" si="34"/>
        <v>0.77710000000000001</v>
      </c>
    </row>
    <row r="113" spans="1:14">
      <c r="A113" s="3961" t="s">
        <v>3315</v>
      </c>
      <c r="B113" s="3961"/>
      <c r="C113" s="3961"/>
      <c r="D113" s="3961"/>
      <c r="E113" s="3961"/>
      <c r="F113" s="3961"/>
      <c r="G113" s="3961"/>
      <c r="H113" s="3961"/>
      <c r="I113" s="3961"/>
      <c r="J113" s="3961"/>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8" thickBot="1">
      <c r="A115" s="3398"/>
      <c r="B115" s="3398"/>
      <c r="C115" s="3398"/>
      <c r="D115" s="3398"/>
      <c r="E115" s="3398"/>
      <c r="F115" s="3398"/>
      <c r="G115" s="3398"/>
      <c r="H115" s="3398"/>
      <c r="I115" s="3398"/>
      <c r="J115" s="3398"/>
      <c r="K115" s="3357"/>
      <c r="L115" s="3398"/>
      <c r="M115" s="3398"/>
      <c r="N115" s="3398"/>
    </row>
    <row r="116" spans="1:14" ht="25.8" thickBot="1">
      <c r="A116" s="3399" t="s">
        <v>3316</v>
      </c>
      <c r="B116" s="3416">
        <f>G3</f>
        <v>0</v>
      </c>
      <c r="C116" s="3400" t="s">
        <v>3317</v>
      </c>
      <c r="D116" s="3401">
        <f>SUMPRODUCT((A118:A122=F116)*(B117:M117=H116)*B118:M122)</f>
        <v>0</v>
      </c>
      <c r="E116" s="2000" t="s">
        <v>3318</v>
      </c>
      <c r="F116" s="3402">
        <f>E2</f>
        <v>0</v>
      </c>
      <c r="G116" s="2000" t="s">
        <v>3319</v>
      </c>
      <c r="H116" s="3402">
        <f>G2</f>
        <v>0</v>
      </c>
      <c r="I116" s="2000"/>
      <c r="J116" s="3403"/>
      <c r="K116" s="3403"/>
      <c r="L116" s="3403"/>
      <c r="M116" s="3403"/>
      <c r="N116" s="3398"/>
    </row>
    <row r="117" spans="1:14">
      <c r="A117" s="3404"/>
      <c r="B117" s="3405" t="s">
        <v>3320</v>
      </c>
      <c r="C117" s="3405" t="s">
        <v>3321</v>
      </c>
      <c r="D117" s="3405" t="s">
        <v>3322</v>
      </c>
      <c r="E117" s="3406" t="s">
        <v>3323</v>
      </c>
      <c r="F117" s="3406" t="s">
        <v>3324</v>
      </c>
      <c r="G117" s="3406" t="s">
        <v>3325</v>
      </c>
      <c r="H117" s="3407" t="s">
        <v>3326</v>
      </c>
      <c r="I117" s="3407" t="s">
        <v>3327</v>
      </c>
      <c r="J117" s="3408" t="s">
        <v>3328</v>
      </c>
      <c r="K117" s="3408" t="s">
        <v>3329</v>
      </c>
      <c r="L117" s="3408" t="s">
        <v>3330</v>
      </c>
      <c r="M117" s="3409" t="s">
        <v>3331</v>
      </c>
      <c r="N117" s="3398"/>
    </row>
    <row r="118" spans="1:14">
      <c r="A118" s="3410" t="s">
        <v>3332</v>
      </c>
      <c r="B118" s="3388">
        <f>ROUND(0.9968-0.011*B116,4)</f>
        <v>0.99680000000000002</v>
      </c>
      <c r="C118" s="3388">
        <f>B118</f>
        <v>0.99680000000000002</v>
      </c>
      <c r="D118" s="3388">
        <f>ROUND(0.949-0.014*B116,4)</f>
        <v>0.94899999999999995</v>
      </c>
      <c r="E118" s="3388">
        <f>D118</f>
        <v>0.94899999999999995</v>
      </c>
      <c r="F118" s="3388">
        <f>E118</f>
        <v>0.94899999999999995</v>
      </c>
      <c r="G118" s="3388">
        <f>F118</f>
        <v>0.94899999999999995</v>
      </c>
      <c r="H118" s="3388">
        <f>G118</f>
        <v>0.94899999999999995</v>
      </c>
      <c r="I118" s="3388">
        <f>ROUND(0.8486-0.018*B116,4)</f>
        <v>0.84860000000000002</v>
      </c>
      <c r="J118" s="3388">
        <f t="shared" ref="J118:M122" si="35">I118</f>
        <v>0.84860000000000002</v>
      </c>
      <c r="K118" s="3388">
        <f t="shared" si="35"/>
        <v>0.84860000000000002</v>
      </c>
      <c r="L118" s="3388">
        <f t="shared" si="35"/>
        <v>0.84860000000000002</v>
      </c>
      <c r="M118" s="3411">
        <f t="shared" si="35"/>
        <v>0.84860000000000002</v>
      </c>
      <c r="N118" s="3398"/>
    </row>
    <row r="119" spans="1:14">
      <c r="A119" s="3410" t="s">
        <v>3333</v>
      </c>
      <c r="B119" s="3388">
        <f>ROUND(0.993-0.0112*B116,4)</f>
        <v>0.99299999999999999</v>
      </c>
      <c r="C119" s="3388">
        <f>B119</f>
        <v>0.99299999999999999</v>
      </c>
      <c r="D119" s="3388">
        <f>ROUND(0.9415-0.0142*B116,4)</f>
        <v>0.9415</v>
      </c>
      <c r="E119" s="3388">
        <f t="shared" ref="E119:H120" si="36">D119</f>
        <v>0.9415</v>
      </c>
      <c r="F119" s="3388">
        <f t="shared" si="36"/>
        <v>0.9415</v>
      </c>
      <c r="G119" s="3388">
        <f t="shared" si="36"/>
        <v>0.9415</v>
      </c>
      <c r="H119" s="3388">
        <f t="shared" si="36"/>
        <v>0.9415</v>
      </c>
      <c r="I119" s="3388">
        <f>ROUND(0.838-0.0182*B116,4)</f>
        <v>0.83799999999999997</v>
      </c>
      <c r="J119" s="3388">
        <f t="shared" si="35"/>
        <v>0.83799999999999997</v>
      </c>
      <c r="K119" s="3388">
        <f t="shared" si="35"/>
        <v>0.83799999999999997</v>
      </c>
      <c r="L119" s="3388">
        <f t="shared" si="35"/>
        <v>0.83799999999999997</v>
      </c>
      <c r="M119" s="3411">
        <f t="shared" si="35"/>
        <v>0.83799999999999997</v>
      </c>
      <c r="N119" s="3398"/>
    </row>
    <row r="120" spans="1:14">
      <c r="A120" s="3410" t="s">
        <v>3334</v>
      </c>
      <c r="B120" s="3388">
        <f>ROUND(0.9448-0.0115*B116,4)</f>
        <v>0.94479999999999997</v>
      </c>
      <c r="C120" s="3388">
        <f>B120</f>
        <v>0.94479999999999997</v>
      </c>
      <c r="D120" s="3388">
        <f>ROUND(0.937-0.0145*B116,4)</f>
        <v>0.93700000000000006</v>
      </c>
      <c r="E120" s="3388">
        <f t="shared" si="36"/>
        <v>0.93700000000000006</v>
      </c>
      <c r="F120" s="3388">
        <f t="shared" si="36"/>
        <v>0.93700000000000006</v>
      </c>
      <c r="G120" s="3388">
        <f t="shared" si="36"/>
        <v>0.93700000000000006</v>
      </c>
      <c r="H120" s="3388">
        <f t="shared" si="36"/>
        <v>0.93700000000000006</v>
      </c>
      <c r="I120" s="3388">
        <f>ROUND(0.7965-0.0185*B116,4)</f>
        <v>0.79649999999999999</v>
      </c>
      <c r="J120" s="3388">
        <f t="shared" si="35"/>
        <v>0.79649999999999999</v>
      </c>
      <c r="K120" s="3388">
        <f t="shared" si="35"/>
        <v>0.79649999999999999</v>
      </c>
      <c r="L120" s="3388">
        <f t="shared" si="35"/>
        <v>0.79649999999999999</v>
      </c>
      <c r="M120" s="3411">
        <f t="shared" si="35"/>
        <v>0.79649999999999999</v>
      </c>
      <c r="N120" s="3398"/>
    </row>
    <row r="121" spans="1:14" ht="13.8" thickBot="1">
      <c r="A121" s="3412" t="s">
        <v>3335</v>
      </c>
      <c r="B121" s="3413">
        <f>ROUND(0.7836-0.012*B116,4)</f>
        <v>0.78359999999999996</v>
      </c>
      <c r="C121" s="3413">
        <f>B121</f>
        <v>0.78359999999999996</v>
      </c>
      <c r="D121" s="3413">
        <f>ROUND(0.753-0.015*B116,4)</f>
        <v>0.753</v>
      </c>
      <c r="E121" s="3413">
        <f>D121</f>
        <v>0.753</v>
      </c>
      <c r="F121" s="3413">
        <f>E121</f>
        <v>0.753</v>
      </c>
      <c r="G121" s="3413">
        <f>ROUND(0.6612-0.018*B116,4)</f>
        <v>0.66120000000000001</v>
      </c>
      <c r="H121" s="3413">
        <f>G121</f>
        <v>0.66120000000000001</v>
      </c>
      <c r="I121" s="3413">
        <f>ROUND(0.5905-0.019*B116,4)</f>
        <v>0.59050000000000002</v>
      </c>
      <c r="J121" s="3413">
        <f t="shared" si="35"/>
        <v>0.59050000000000002</v>
      </c>
      <c r="K121" s="3413">
        <f t="shared" si="35"/>
        <v>0.59050000000000002</v>
      </c>
      <c r="L121" s="3413">
        <f t="shared" si="35"/>
        <v>0.59050000000000002</v>
      </c>
      <c r="M121" s="3414">
        <f t="shared" si="35"/>
        <v>0.59050000000000002</v>
      </c>
      <c r="N121" s="3398"/>
    </row>
    <row r="122" spans="1:14">
      <c r="A122" s="3415" t="s">
        <v>2616</v>
      </c>
      <c r="B122" s="3388">
        <f>ROUND(0.9404-0.0106*B116,4)</f>
        <v>0.94040000000000001</v>
      </c>
      <c r="C122" s="3388">
        <f>B122</f>
        <v>0.94040000000000001</v>
      </c>
      <c r="D122" s="3388">
        <f>ROUND(0.8955-0.0135*B116,4)</f>
        <v>0.89549999999999996</v>
      </c>
      <c r="E122" s="3388">
        <f t="shared" ref="E122:H122" si="37">D122</f>
        <v>0.89549999999999996</v>
      </c>
      <c r="F122" s="3388">
        <f t="shared" si="37"/>
        <v>0.89549999999999996</v>
      </c>
      <c r="G122" s="3388">
        <f t="shared" si="37"/>
        <v>0.89549999999999996</v>
      </c>
      <c r="H122" s="3388">
        <f t="shared" si="37"/>
        <v>0.89549999999999996</v>
      </c>
      <c r="I122" s="3388">
        <f>ROUND(0.7632-0.0166*B116,4)</f>
        <v>0.76319999999999999</v>
      </c>
      <c r="J122" s="3388">
        <f t="shared" si="35"/>
        <v>0.76319999999999999</v>
      </c>
      <c r="K122" s="3388">
        <f t="shared" si="35"/>
        <v>0.76319999999999999</v>
      </c>
      <c r="L122" s="3388">
        <f t="shared" si="35"/>
        <v>0.76319999999999999</v>
      </c>
      <c r="M122" s="3411">
        <f t="shared" si="35"/>
        <v>0.76319999999999999</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1875" defaultRowHeight="19.5" customHeight="1"/>
  <cols>
    <col min="1" max="13" width="15.21875" style="3074" customWidth="1"/>
    <col min="14" max="14" width="10" style="3074" customWidth="1"/>
    <col min="15" max="16" width="8.21875" style="3074"/>
    <col min="17" max="17" width="34.109375" style="3074" customWidth="1"/>
    <col min="18" max="18" width="8.21875" style="3074" customWidth="1"/>
    <col min="19" max="19" width="8.21875" style="3074"/>
    <col min="20" max="20" width="11.6640625" style="3074" customWidth="1"/>
    <col min="21" max="16384" width="8.21875" style="3074"/>
  </cols>
  <sheetData>
    <row r="1" spans="1:13" ht="19.5" customHeight="1" thickBot="1">
      <c r="A1" s="3071" t="s">
        <v>2598</v>
      </c>
      <c r="B1" s="3072" t="s">
        <v>2599</v>
      </c>
      <c r="C1" s="3072" t="s">
        <v>2600</v>
      </c>
      <c r="D1" s="3072" t="s">
        <v>2601</v>
      </c>
      <c r="E1" s="3072" t="s">
        <v>2602</v>
      </c>
      <c r="F1" s="3072" t="s">
        <v>2603</v>
      </c>
      <c r="G1" s="3072" t="s">
        <v>2604</v>
      </c>
      <c r="H1" s="3072" t="s">
        <v>2605</v>
      </c>
      <c r="I1" s="3072" t="s">
        <v>2606</v>
      </c>
      <c r="J1" s="3072" t="s">
        <v>2607</v>
      </c>
      <c r="K1" s="3072" t="s">
        <v>2608</v>
      </c>
      <c r="L1" s="3072" t="s">
        <v>2609</v>
      </c>
      <c r="M1" s="3073" t="s">
        <v>2610</v>
      </c>
    </row>
    <row r="2" spans="1:13" ht="19.5" customHeight="1">
      <c r="A2" s="3075" t="s">
        <v>2611</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2612</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2613</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2614</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2615</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2616</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2617</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2618</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2619</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2620</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2621</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2622</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2623</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2624</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2625</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2626</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2627</v>
      </c>
      <c r="B18" s="3097"/>
      <c r="C18" s="3098"/>
      <c r="D18" s="3098"/>
      <c r="E18" s="3097"/>
      <c r="F18" s="3098"/>
      <c r="G18" s="3098"/>
    </row>
    <row r="19" spans="1:13" ht="19.5" customHeight="1" thickBot="1">
      <c r="A19" s="3095" t="s">
        <v>2628</v>
      </c>
      <c r="B19" s="3100" t="s">
        <v>2629</v>
      </c>
      <c r="C19" s="3100" t="s">
        <v>2630</v>
      </c>
      <c r="D19" s="3101"/>
      <c r="E19" s="3095" t="s">
        <v>2631</v>
      </c>
      <c r="F19" s="3102"/>
      <c r="G19" s="3102"/>
    </row>
    <row r="20" spans="1:13" ht="19.5" customHeight="1">
      <c r="A20" s="3986" t="s">
        <v>2611</v>
      </c>
      <c r="B20" s="3981" t="s">
        <v>2632</v>
      </c>
      <c r="C20" s="3103" t="s">
        <v>2443</v>
      </c>
      <c r="D20" s="3104"/>
      <c r="E20" s="3105">
        <v>1</v>
      </c>
      <c r="F20" s="3106" t="s">
        <v>2444</v>
      </c>
      <c r="G20" s="3106"/>
    </row>
    <row r="21" spans="1:13" ht="19.5" customHeight="1">
      <c r="A21" s="3987"/>
      <c r="B21" s="3980"/>
      <c r="C21" s="3107" t="s">
        <v>2445</v>
      </c>
      <c r="D21" s="3108"/>
      <c r="E21" s="3109">
        <v>1</v>
      </c>
      <c r="F21" s="3106" t="s">
        <v>2446</v>
      </c>
      <c r="G21" s="3106"/>
    </row>
    <row r="22" spans="1:13" ht="19.5" customHeight="1">
      <c r="A22" s="3987"/>
      <c r="B22" s="3980"/>
      <c r="C22" s="3107" t="s">
        <v>2447</v>
      </c>
      <c r="D22" s="3108"/>
      <c r="E22" s="3109">
        <v>0.9</v>
      </c>
      <c r="F22" s="3106" t="s">
        <v>2448</v>
      </c>
      <c r="G22" s="3106"/>
    </row>
    <row r="23" spans="1:13" ht="19.5" customHeight="1">
      <c r="A23" s="3987"/>
      <c r="B23" s="3980"/>
      <c r="C23" s="3107" t="s">
        <v>2449</v>
      </c>
      <c r="D23" s="3108"/>
      <c r="E23" s="3109">
        <v>0.9</v>
      </c>
      <c r="F23" s="3106" t="s">
        <v>2450</v>
      </c>
      <c r="G23" s="3106"/>
    </row>
    <row r="24" spans="1:13" ht="19.5" customHeight="1">
      <c r="A24" s="3987"/>
      <c r="B24" s="3980"/>
      <c r="C24" s="3107" t="s">
        <v>2451</v>
      </c>
      <c r="D24" s="3108"/>
      <c r="E24" s="3109">
        <v>0.8</v>
      </c>
      <c r="F24" s="3106" t="s">
        <v>2452</v>
      </c>
      <c r="G24" s="3106"/>
    </row>
    <row r="25" spans="1:13" ht="19.5" customHeight="1" thickBot="1">
      <c r="A25" s="3988"/>
      <c r="B25" s="3982"/>
      <c r="C25" s="3110" t="s">
        <v>2453</v>
      </c>
      <c r="D25" s="3111"/>
      <c r="E25" s="3112">
        <v>0.8</v>
      </c>
      <c r="F25" s="3106" t="s">
        <v>2454</v>
      </c>
      <c r="G25" s="3106"/>
    </row>
    <row r="26" spans="1:13" ht="19.5" customHeight="1" thickBot="1">
      <c r="A26" s="3113" t="s">
        <v>2633</v>
      </c>
      <c r="B26" s="3114" t="s">
        <v>2632</v>
      </c>
      <c r="C26" s="3115" t="s">
        <v>2634</v>
      </c>
      <c r="D26" s="3116"/>
      <c r="E26" s="3117">
        <v>1</v>
      </c>
      <c r="F26" s="3106" t="s">
        <v>2455</v>
      </c>
      <c r="G26" s="3106"/>
    </row>
    <row r="27" spans="1:13" ht="19.5" customHeight="1">
      <c r="A27" s="3983" t="s">
        <v>2635</v>
      </c>
      <c r="B27" s="3981" t="s">
        <v>2616</v>
      </c>
      <c r="C27" s="3103" t="s">
        <v>2456</v>
      </c>
      <c r="D27" s="3104"/>
      <c r="E27" s="3105">
        <v>1</v>
      </c>
      <c r="F27" s="3106" t="s">
        <v>2457</v>
      </c>
      <c r="G27" s="3106"/>
    </row>
    <row r="28" spans="1:13" ht="19.5" customHeight="1">
      <c r="A28" s="3984"/>
      <c r="B28" s="3980"/>
      <c r="C28" s="3107" t="s">
        <v>2458</v>
      </c>
      <c r="D28" s="3108"/>
      <c r="E28" s="3109">
        <v>1</v>
      </c>
      <c r="F28" s="3106" t="s">
        <v>2459</v>
      </c>
      <c r="G28" s="3106"/>
    </row>
    <row r="29" spans="1:13" ht="19.5" customHeight="1">
      <c r="A29" s="3984"/>
      <c r="B29" s="3980"/>
      <c r="C29" s="3107" t="s">
        <v>2460</v>
      </c>
      <c r="D29" s="3108"/>
      <c r="E29" s="3109">
        <v>0.8</v>
      </c>
      <c r="F29" s="3106" t="s">
        <v>2461</v>
      </c>
      <c r="G29" s="3106"/>
    </row>
    <row r="30" spans="1:13" ht="19.5" customHeight="1">
      <c r="A30" s="3984"/>
      <c r="B30" s="3980"/>
      <c r="C30" s="3107" t="s">
        <v>2462</v>
      </c>
      <c r="D30" s="3108"/>
      <c r="E30" s="3109">
        <v>0.8</v>
      </c>
      <c r="F30" s="3106" t="s">
        <v>2463</v>
      </c>
      <c r="G30" s="3106"/>
    </row>
    <row r="31" spans="1:13" ht="19.5" customHeight="1">
      <c r="A31" s="3984"/>
      <c r="B31" s="3980"/>
      <c r="C31" s="3107" t="s">
        <v>2464</v>
      </c>
      <c r="D31" s="3108"/>
      <c r="E31" s="3109">
        <v>0.8</v>
      </c>
      <c r="F31" s="3106" t="s">
        <v>2465</v>
      </c>
      <c r="G31" s="3106"/>
    </row>
    <row r="32" spans="1:13" ht="19.5" customHeight="1">
      <c r="A32" s="3984"/>
      <c r="B32" s="3980"/>
      <c r="C32" s="3107" t="s">
        <v>2466</v>
      </c>
      <c r="D32" s="3108"/>
      <c r="E32" s="3109">
        <v>0.7</v>
      </c>
      <c r="F32" s="3106" t="s">
        <v>2467</v>
      </c>
      <c r="G32" s="3106"/>
    </row>
    <row r="33" spans="1:7" ht="19.5" customHeight="1">
      <c r="A33" s="3984"/>
      <c r="B33" s="3980"/>
      <c r="C33" s="3107" t="s">
        <v>2468</v>
      </c>
      <c r="D33" s="3108"/>
      <c r="E33" s="3109">
        <v>0.8</v>
      </c>
      <c r="F33" s="3106" t="s">
        <v>2469</v>
      </c>
      <c r="G33" s="3106"/>
    </row>
    <row r="34" spans="1:7" ht="19.5" customHeight="1">
      <c r="A34" s="3984"/>
      <c r="B34" s="3980"/>
      <c r="C34" s="3107" t="s">
        <v>2470</v>
      </c>
      <c r="D34" s="3108"/>
      <c r="E34" s="3109">
        <v>0.6</v>
      </c>
      <c r="F34" s="3106" t="s">
        <v>2471</v>
      </c>
      <c r="G34" s="3106"/>
    </row>
    <row r="35" spans="1:7" ht="19.5" customHeight="1">
      <c r="A35" s="3984"/>
      <c r="B35" s="3980"/>
      <c r="C35" s="3107" t="s">
        <v>2472</v>
      </c>
      <c r="D35" s="3108"/>
      <c r="E35" s="3109">
        <v>0.2</v>
      </c>
      <c r="F35" s="3106" t="s">
        <v>2473</v>
      </c>
      <c r="G35" s="3106"/>
    </row>
    <row r="36" spans="1:7" ht="19.5" customHeight="1">
      <c r="A36" s="3984"/>
      <c r="B36" s="3980"/>
      <c r="C36" s="3107" t="s">
        <v>2474</v>
      </c>
      <c r="D36" s="3108"/>
      <c r="E36" s="3109">
        <v>0.2</v>
      </c>
      <c r="F36" s="3106" t="s">
        <v>2475</v>
      </c>
      <c r="G36" s="3106"/>
    </row>
    <row r="37" spans="1:7" ht="19.5" customHeight="1">
      <c r="A37" s="3984"/>
      <c r="B37" s="3978" t="s">
        <v>2636</v>
      </c>
      <c r="C37" s="3107" t="s">
        <v>2476</v>
      </c>
      <c r="D37" s="3108"/>
      <c r="E37" s="3109">
        <v>0.6</v>
      </c>
      <c r="F37" s="3106" t="s">
        <v>2477</v>
      </c>
      <c r="G37" s="3106"/>
    </row>
    <row r="38" spans="1:7" ht="19.5" customHeight="1">
      <c r="A38" s="3984"/>
      <c r="B38" s="3980"/>
      <c r="C38" s="3107" t="s">
        <v>2478</v>
      </c>
      <c r="D38" s="3108"/>
      <c r="E38" s="3109">
        <v>0.6</v>
      </c>
      <c r="F38" s="3106" t="s">
        <v>2479</v>
      </c>
      <c r="G38" s="3106"/>
    </row>
    <row r="39" spans="1:7" ht="19.5" customHeight="1" thickBot="1">
      <c r="A39" s="3985"/>
      <c r="B39" s="3982"/>
      <c r="C39" s="3110" t="s">
        <v>2480</v>
      </c>
      <c r="D39" s="3111"/>
      <c r="E39" s="3112">
        <v>0.6</v>
      </c>
      <c r="F39" s="3106" t="s">
        <v>2481</v>
      </c>
      <c r="G39" s="3106"/>
    </row>
    <row r="40" spans="1:7" ht="19.5" customHeight="1" thickBot="1">
      <c r="A40" s="3113" t="s">
        <v>2613</v>
      </c>
      <c r="B40" s="3114" t="s">
        <v>2613</v>
      </c>
      <c r="C40" s="3115" t="s">
        <v>2637</v>
      </c>
      <c r="D40" s="3116"/>
      <c r="E40" s="3117">
        <v>1</v>
      </c>
      <c r="F40" s="3106" t="s">
        <v>2482</v>
      </c>
      <c r="G40" s="3106"/>
    </row>
    <row r="41" spans="1:7" ht="19.5" customHeight="1">
      <c r="A41" s="3986" t="s">
        <v>2614</v>
      </c>
      <c r="B41" s="3981" t="s">
        <v>2638</v>
      </c>
      <c r="C41" s="3103" t="s">
        <v>2483</v>
      </c>
      <c r="D41" s="3104"/>
      <c r="E41" s="3105">
        <v>1</v>
      </c>
      <c r="F41" s="3106" t="s">
        <v>2484</v>
      </c>
      <c r="G41" s="3106"/>
    </row>
    <row r="42" spans="1:7" ht="19.5" customHeight="1">
      <c r="A42" s="3987"/>
      <c r="B42" s="3980"/>
      <c r="C42" s="3107" t="s">
        <v>2485</v>
      </c>
      <c r="D42" s="3108"/>
      <c r="E42" s="3109">
        <v>1</v>
      </c>
      <c r="F42" s="3106" t="s">
        <v>2486</v>
      </c>
      <c r="G42" s="3106"/>
    </row>
    <row r="43" spans="1:7" ht="19.5" customHeight="1">
      <c r="A43" s="3987"/>
      <c r="B43" s="3979"/>
      <c r="C43" s="3107" t="s">
        <v>2487</v>
      </c>
      <c r="D43" s="3108"/>
      <c r="E43" s="3109">
        <v>1.5</v>
      </c>
      <c r="F43" s="3106" t="s">
        <v>2488</v>
      </c>
      <c r="G43" s="3106"/>
    </row>
    <row r="44" spans="1:7" ht="19.5" customHeight="1">
      <c r="A44" s="3987"/>
      <c r="B44" s="3118" t="s">
        <v>2639</v>
      </c>
      <c r="C44" s="3107" t="s">
        <v>2640</v>
      </c>
      <c r="D44" s="3108"/>
      <c r="E44" s="3109">
        <v>2</v>
      </c>
      <c r="F44" s="3106" t="s">
        <v>2489</v>
      </c>
      <c r="G44" s="3106"/>
    </row>
    <row r="45" spans="1:7" ht="19.5" customHeight="1">
      <c r="A45" s="3987"/>
      <c r="B45" s="3978" t="s">
        <v>2641</v>
      </c>
      <c r="C45" s="3107" t="s">
        <v>2490</v>
      </c>
      <c r="D45" s="3108"/>
      <c r="E45" s="3109">
        <v>1</v>
      </c>
      <c r="F45" s="3106" t="s">
        <v>2491</v>
      </c>
      <c r="G45" s="3106"/>
    </row>
    <row r="46" spans="1:7" ht="19.5" customHeight="1">
      <c r="A46" s="3987"/>
      <c r="B46" s="3980"/>
      <c r="C46" s="3107" t="s">
        <v>2492</v>
      </c>
      <c r="D46" s="3108"/>
      <c r="E46" s="3109">
        <v>1</v>
      </c>
      <c r="F46" s="3106" t="s">
        <v>2493</v>
      </c>
      <c r="G46" s="3106"/>
    </row>
    <row r="47" spans="1:7" ht="19.5" customHeight="1">
      <c r="A47" s="3987"/>
      <c r="B47" s="3980"/>
      <c r="C47" s="3107" t="s">
        <v>2494</v>
      </c>
      <c r="D47" s="3108"/>
      <c r="E47" s="3109">
        <v>1</v>
      </c>
      <c r="F47" s="3106" t="s">
        <v>2495</v>
      </c>
      <c r="G47" s="3106"/>
    </row>
    <row r="48" spans="1:7" ht="19.5" customHeight="1">
      <c r="A48" s="3987"/>
      <c r="B48" s="3980"/>
      <c r="C48" s="3107" t="s">
        <v>2496</v>
      </c>
      <c r="D48" s="3108"/>
      <c r="E48" s="3109">
        <v>1</v>
      </c>
      <c r="F48" s="3106" t="s">
        <v>2497</v>
      </c>
      <c r="G48" s="3106"/>
    </row>
    <row r="49" spans="1:7" ht="19.5" customHeight="1">
      <c r="A49" s="3987"/>
      <c r="B49" s="3980"/>
      <c r="C49" s="3107" t="s">
        <v>2498</v>
      </c>
      <c r="D49" s="3108"/>
      <c r="E49" s="3109">
        <v>1</v>
      </c>
      <c r="F49" s="3106" t="s">
        <v>2499</v>
      </c>
      <c r="G49" s="3106"/>
    </row>
    <row r="50" spans="1:7" ht="19.5" customHeight="1">
      <c r="A50" s="3987"/>
      <c r="B50" s="3980"/>
      <c r="C50" s="3107" t="s">
        <v>2500</v>
      </c>
      <c r="D50" s="3108"/>
      <c r="E50" s="3109">
        <v>1</v>
      </c>
      <c r="F50" s="3106" t="s">
        <v>2501</v>
      </c>
      <c r="G50" s="3106"/>
    </row>
    <row r="51" spans="1:7" ht="19.5" customHeight="1" thickBot="1">
      <c r="A51" s="3988"/>
      <c r="B51" s="3982"/>
      <c r="C51" s="3110" t="s">
        <v>2502</v>
      </c>
      <c r="D51" s="3111"/>
      <c r="E51" s="3112">
        <v>1</v>
      </c>
      <c r="F51" s="3106" t="s">
        <v>2503</v>
      </c>
      <c r="G51" s="3106"/>
    </row>
    <row r="52" spans="1:7" ht="19.5" customHeight="1">
      <c r="A52" s="3119"/>
      <c r="B52" s="3119"/>
      <c r="C52" s="3119"/>
      <c r="D52" s="3119"/>
      <c r="E52" s="3119"/>
      <c r="F52" s="3119"/>
      <c r="G52" s="3119"/>
    </row>
    <row r="54" spans="1:7" ht="19.5" customHeight="1">
      <c r="A54" s="3120"/>
      <c r="B54" s="3092" t="s">
        <v>2642</v>
      </c>
      <c r="C54" s="3092" t="s">
        <v>2642</v>
      </c>
      <c r="D54" s="3092" t="s">
        <v>2642</v>
      </c>
      <c r="E54" s="3095" t="s">
        <v>2642</v>
      </c>
      <c r="F54" s="3095" t="s">
        <v>2643</v>
      </c>
      <c r="G54" s="3095" t="s">
        <v>2644</v>
      </c>
    </row>
    <row r="55" spans="1:7" ht="19.5" customHeight="1">
      <c r="A55" s="3121"/>
      <c r="B55" s="3095" t="s">
        <v>2611</v>
      </c>
      <c r="C55" s="3095" t="s">
        <v>2611</v>
      </c>
      <c r="D55" s="3095" t="s">
        <v>2611</v>
      </c>
      <c r="E55" s="3092" t="s">
        <v>2612</v>
      </c>
      <c r="F55" s="3092" t="s">
        <v>2614</v>
      </c>
      <c r="G55" s="3092" t="s">
        <v>2645</v>
      </c>
    </row>
    <row r="56" spans="1:7" ht="19.5" customHeight="1">
      <c r="A56" s="3122"/>
      <c r="B56" s="3092">
        <v>1</v>
      </c>
      <c r="C56" s="3092">
        <v>2</v>
      </c>
      <c r="D56" s="3092">
        <v>3</v>
      </c>
      <c r="E56" s="3123" t="s">
        <v>2646</v>
      </c>
      <c r="F56" s="3123" t="s">
        <v>2646</v>
      </c>
      <c r="G56" s="3123" t="s">
        <v>2646</v>
      </c>
    </row>
    <row r="57" spans="1:7" ht="19.5" customHeight="1">
      <c r="A57" s="3124" t="s">
        <v>2599</v>
      </c>
      <c r="B57" s="3092">
        <v>0.7</v>
      </c>
      <c r="C57" s="3092">
        <v>0.4</v>
      </c>
      <c r="D57" s="3092">
        <v>0.3</v>
      </c>
      <c r="E57" s="3123">
        <v>0.3</v>
      </c>
      <c r="F57" s="3092">
        <v>0.3</v>
      </c>
      <c r="G57" s="3092">
        <v>0.2</v>
      </c>
    </row>
    <row r="58" spans="1:7" ht="19.5" customHeight="1">
      <c r="A58" s="3124" t="s">
        <v>2600</v>
      </c>
      <c r="B58" s="3092">
        <v>0.7</v>
      </c>
      <c r="C58" s="3092">
        <v>0.4</v>
      </c>
      <c r="D58" s="3092">
        <v>0.3</v>
      </c>
      <c r="E58" s="3092">
        <v>0.3</v>
      </c>
      <c r="F58" s="3092">
        <v>0.3</v>
      </c>
      <c r="G58" s="3092">
        <v>0.2</v>
      </c>
    </row>
    <row r="59" spans="1:7" ht="19.5" customHeight="1">
      <c r="A59" s="3124" t="s">
        <v>2601</v>
      </c>
      <c r="B59" s="3092">
        <v>0.6</v>
      </c>
      <c r="C59" s="3092">
        <v>0.3</v>
      </c>
      <c r="D59" s="3092">
        <v>0.25</v>
      </c>
      <c r="E59" s="3092">
        <v>0.25</v>
      </c>
      <c r="F59" s="3092">
        <v>0.25</v>
      </c>
      <c r="G59" s="3092">
        <v>0.15</v>
      </c>
    </row>
    <row r="60" spans="1:7" ht="19.5" customHeight="1">
      <c r="A60" s="3124" t="s">
        <v>2602</v>
      </c>
      <c r="B60" s="3092">
        <v>0.6</v>
      </c>
      <c r="C60" s="3092">
        <v>0.3</v>
      </c>
      <c r="D60" s="3092">
        <v>0.25</v>
      </c>
      <c r="E60" s="3092">
        <v>0.25</v>
      </c>
      <c r="F60" s="3092">
        <v>0.25</v>
      </c>
      <c r="G60" s="3092">
        <v>0.15</v>
      </c>
    </row>
    <row r="61" spans="1:7" ht="19.5" customHeight="1">
      <c r="A61" s="3124" t="s">
        <v>2603</v>
      </c>
      <c r="B61" s="3092">
        <v>0.6</v>
      </c>
      <c r="C61" s="3092">
        <v>0.3</v>
      </c>
      <c r="D61" s="3092">
        <v>0.25</v>
      </c>
      <c r="E61" s="3092">
        <v>0.25</v>
      </c>
      <c r="F61" s="3092">
        <v>0.25</v>
      </c>
      <c r="G61" s="3092">
        <v>0.15</v>
      </c>
    </row>
    <row r="62" spans="1:7" ht="19.5" customHeight="1">
      <c r="A62" s="3124" t="s">
        <v>2604</v>
      </c>
      <c r="B62" s="3092">
        <v>0.6</v>
      </c>
      <c r="C62" s="3092">
        <v>0.3</v>
      </c>
      <c r="D62" s="3092">
        <v>0.25</v>
      </c>
      <c r="E62" s="3092">
        <v>0.25</v>
      </c>
      <c r="F62" s="3092">
        <v>0.25</v>
      </c>
      <c r="G62" s="3092">
        <v>0.15</v>
      </c>
    </row>
    <row r="63" spans="1:7" ht="19.5" customHeight="1">
      <c r="A63" s="3124" t="s">
        <v>2605</v>
      </c>
      <c r="B63" s="3092">
        <v>0.6</v>
      </c>
      <c r="C63" s="3092">
        <v>0.3</v>
      </c>
      <c r="D63" s="3092">
        <v>0.25</v>
      </c>
      <c r="E63" s="3092">
        <v>0.25</v>
      </c>
      <c r="F63" s="3092">
        <v>0.25</v>
      </c>
      <c r="G63" s="3092">
        <v>0.15</v>
      </c>
    </row>
    <row r="64" spans="1:7" ht="19.5" customHeight="1">
      <c r="A64" s="3124" t="s">
        <v>2606</v>
      </c>
      <c r="B64" s="3092">
        <v>0.5</v>
      </c>
      <c r="C64" s="3092">
        <v>0.2</v>
      </c>
      <c r="D64" s="3092">
        <v>0.2</v>
      </c>
      <c r="E64" s="3092">
        <v>0.2</v>
      </c>
      <c r="F64" s="3092">
        <v>0.2</v>
      </c>
      <c r="G64" s="3092">
        <v>0.1</v>
      </c>
    </row>
    <row r="65" spans="1:7" ht="19.5" customHeight="1">
      <c r="A65" s="3124" t="s">
        <v>2607</v>
      </c>
      <c r="B65" s="3092">
        <v>0.5</v>
      </c>
      <c r="C65" s="3092">
        <v>0.2</v>
      </c>
      <c r="D65" s="3092">
        <v>0.2</v>
      </c>
      <c r="E65" s="3092">
        <v>0.2</v>
      </c>
      <c r="F65" s="3092">
        <v>0.2</v>
      </c>
      <c r="G65" s="3092">
        <v>0.1</v>
      </c>
    </row>
    <row r="66" spans="1:7" ht="19.5" customHeight="1">
      <c r="A66" s="3124" t="s">
        <v>2608</v>
      </c>
      <c r="B66" s="3092">
        <v>0.5</v>
      </c>
      <c r="C66" s="3092">
        <v>0.2</v>
      </c>
      <c r="D66" s="3092">
        <v>0.2</v>
      </c>
      <c r="E66" s="3092">
        <v>0.2</v>
      </c>
      <c r="F66" s="3092">
        <v>0.2</v>
      </c>
      <c r="G66" s="3092">
        <v>0.1</v>
      </c>
    </row>
    <row r="67" spans="1:7" ht="19.5" customHeight="1">
      <c r="A67" s="3124" t="s">
        <v>2609</v>
      </c>
      <c r="B67" s="3092">
        <v>0.5</v>
      </c>
      <c r="C67" s="3092">
        <v>0.2</v>
      </c>
      <c r="D67" s="3092">
        <v>0.2</v>
      </c>
      <c r="E67" s="3092">
        <v>0.2</v>
      </c>
      <c r="F67" s="3092">
        <v>0.2</v>
      </c>
      <c r="G67" s="3092">
        <v>0.1</v>
      </c>
    </row>
    <row r="68" spans="1:7" ht="19.5" customHeight="1">
      <c r="A68" s="3124" t="s">
        <v>2610</v>
      </c>
      <c r="B68" s="3092">
        <v>0.5</v>
      </c>
      <c r="C68" s="3092">
        <v>0.2</v>
      </c>
      <c r="D68" s="3092">
        <v>0.2</v>
      </c>
      <c r="E68" s="3092">
        <v>0.2</v>
      </c>
      <c r="F68" s="3092">
        <v>0.2</v>
      </c>
      <c r="G68" s="3092">
        <v>0.1</v>
      </c>
    </row>
    <row r="70" spans="1:7" ht="19.5" customHeight="1">
      <c r="A70" s="3125"/>
      <c r="B70" s="3126"/>
      <c r="C70" s="3126"/>
      <c r="D70" s="3126" t="s">
        <v>2647</v>
      </c>
      <c r="E70" s="3126"/>
      <c r="F70" s="3126"/>
    </row>
    <row r="71" spans="1:7" ht="19.5" customHeight="1">
      <c r="A71" s="3118" t="s">
        <v>2648</v>
      </c>
      <c r="B71" s="3118" t="s">
        <v>2649</v>
      </c>
      <c r="C71" s="3118" t="s">
        <v>2650</v>
      </c>
      <c r="D71" s="3118" t="s">
        <v>2651</v>
      </c>
      <c r="E71" s="3118" t="s">
        <v>2652</v>
      </c>
      <c r="F71" s="3118" t="s">
        <v>2653</v>
      </c>
    </row>
    <row r="72" spans="1:7" ht="14.4">
      <c r="A72" s="3118"/>
      <c r="B72" s="3118"/>
      <c r="C72" s="3118" t="s">
        <v>2654</v>
      </c>
      <c r="D72" s="3118"/>
      <c r="E72" s="3118" t="s">
        <v>2625</v>
      </c>
      <c r="F72" s="3118" t="s">
        <v>2625</v>
      </c>
    </row>
    <row r="73" spans="1:7" ht="14.4">
      <c r="A73" s="3118">
        <v>1</v>
      </c>
      <c r="B73" s="3978" t="s">
        <v>2655</v>
      </c>
      <c r="C73" s="3092" t="s">
        <v>2656</v>
      </c>
      <c r="D73" s="3092" t="s">
        <v>2657</v>
      </c>
      <c r="E73" s="3118">
        <v>0.2</v>
      </c>
      <c r="F73" s="3118">
        <v>25</v>
      </c>
    </row>
    <row r="74" spans="1:7" ht="24">
      <c r="A74" s="3118">
        <v>2</v>
      </c>
      <c r="B74" s="3980"/>
      <c r="C74" s="3092" t="s">
        <v>2658</v>
      </c>
      <c r="D74" s="3092" t="s">
        <v>2659</v>
      </c>
      <c r="E74" s="3118">
        <v>0.2</v>
      </c>
      <c r="F74" s="3118">
        <v>25</v>
      </c>
    </row>
    <row r="75" spans="1:7" ht="24">
      <c r="A75" s="3118">
        <v>3</v>
      </c>
      <c r="B75" s="3980"/>
      <c r="C75" s="3092" t="s">
        <v>2660</v>
      </c>
      <c r="D75" s="3092" t="s">
        <v>2661</v>
      </c>
      <c r="E75" s="3118">
        <v>0.2</v>
      </c>
      <c r="F75" s="3118">
        <v>25</v>
      </c>
    </row>
    <row r="76" spans="1:7" ht="14.4">
      <c r="A76" s="3118">
        <v>4</v>
      </c>
      <c r="B76" s="3980"/>
      <c r="C76" s="3092" t="s">
        <v>2662</v>
      </c>
      <c r="D76" s="3092" t="s">
        <v>2663</v>
      </c>
      <c r="E76" s="3118">
        <v>0.15</v>
      </c>
      <c r="F76" s="3118">
        <v>20</v>
      </c>
    </row>
    <row r="77" spans="1:7" ht="24">
      <c r="A77" s="3118">
        <v>5</v>
      </c>
      <c r="B77" s="3980"/>
      <c r="C77" s="3092" t="s">
        <v>2664</v>
      </c>
      <c r="D77" s="3092" t="s">
        <v>2665</v>
      </c>
      <c r="E77" s="3118">
        <v>0.15</v>
      </c>
      <c r="F77" s="3118">
        <v>20</v>
      </c>
    </row>
    <row r="78" spans="1:7" ht="24">
      <c r="A78" s="3118">
        <v>6</v>
      </c>
      <c r="B78" s="3980"/>
      <c r="C78" s="3092" t="s">
        <v>2666</v>
      </c>
      <c r="D78" s="3092" t="s">
        <v>2667</v>
      </c>
      <c r="E78" s="3118">
        <v>0.15</v>
      </c>
      <c r="F78" s="3118">
        <v>20</v>
      </c>
    </row>
    <row r="79" spans="1:7" ht="24">
      <c r="A79" s="3118">
        <v>7</v>
      </c>
      <c r="B79" s="3980"/>
      <c r="C79" s="3092" t="s">
        <v>2668</v>
      </c>
      <c r="D79" s="3092" t="s">
        <v>2669</v>
      </c>
      <c r="E79" s="3118">
        <v>0.15</v>
      </c>
      <c r="F79" s="3118">
        <v>20</v>
      </c>
    </row>
    <row r="80" spans="1:7" ht="24">
      <c r="A80" s="3118">
        <v>8</v>
      </c>
      <c r="B80" s="3980"/>
      <c r="C80" s="3092" t="s">
        <v>2670</v>
      </c>
      <c r="D80" s="3092" t="s">
        <v>2671</v>
      </c>
      <c r="E80" s="3118">
        <v>0.1</v>
      </c>
      <c r="F80" s="3118">
        <v>15</v>
      </c>
    </row>
    <row r="81" spans="1:6" ht="24">
      <c r="A81" s="3118">
        <v>9</v>
      </c>
      <c r="B81" s="3980"/>
      <c r="C81" s="3092" t="s">
        <v>2672</v>
      </c>
      <c r="D81" s="3092" t="s">
        <v>2673</v>
      </c>
      <c r="E81" s="3118">
        <v>0.1</v>
      </c>
      <c r="F81" s="3118">
        <v>15</v>
      </c>
    </row>
    <row r="82" spans="1:6" ht="24">
      <c r="A82" s="3118">
        <v>10</v>
      </c>
      <c r="B82" s="3980"/>
      <c r="C82" s="3092" t="s">
        <v>2674</v>
      </c>
      <c r="D82" s="3092" t="s">
        <v>2675</v>
      </c>
      <c r="E82" s="3118">
        <v>0.1</v>
      </c>
      <c r="F82" s="3118">
        <v>15</v>
      </c>
    </row>
    <row r="83" spans="1:6" ht="24">
      <c r="A83" s="3118">
        <v>11</v>
      </c>
      <c r="B83" s="3980"/>
      <c r="C83" s="3092" t="s">
        <v>2676</v>
      </c>
      <c r="D83" s="3092" t="s">
        <v>2677</v>
      </c>
      <c r="E83" s="3118">
        <v>0.1</v>
      </c>
      <c r="F83" s="3118">
        <v>15</v>
      </c>
    </row>
    <row r="84" spans="1:6" ht="24">
      <c r="A84" s="3118">
        <v>12</v>
      </c>
      <c r="B84" s="3980"/>
      <c r="C84" s="3092" t="s">
        <v>2678</v>
      </c>
      <c r="D84" s="3092" t="s">
        <v>2679</v>
      </c>
      <c r="E84" s="3118">
        <v>0.1</v>
      </c>
      <c r="F84" s="3118">
        <v>15</v>
      </c>
    </row>
    <row r="85" spans="1:6" ht="24">
      <c r="A85" s="3118">
        <v>13</v>
      </c>
      <c r="B85" s="3980"/>
      <c r="C85" s="3092" t="s">
        <v>2680</v>
      </c>
      <c r="D85" s="3092" t="s">
        <v>2681</v>
      </c>
      <c r="E85" s="3118">
        <v>0.1</v>
      </c>
      <c r="F85" s="3118">
        <v>15</v>
      </c>
    </row>
    <row r="86" spans="1:6" ht="24">
      <c r="A86" s="3118">
        <v>14</v>
      </c>
      <c r="B86" s="3980"/>
      <c r="C86" s="3092" t="s">
        <v>2682</v>
      </c>
      <c r="D86" s="3092" t="s">
        <v>2683</v>
      </c>
      <c r="E86" s="3118">
        <v>0.1</v>
      </c>
      <c r="F86" s="3118">
        <v>15</v>
      </c>
    </row>
    <row r="87" spans="1:6" ht="24">
      <c r="A87" s="3118">
        <v>15</v>
      </c>
      <c r="B87" s="3980"/>
      <c r="C87" s="3092" t="s">
        <v>2684</v>
      </c>
      <c r="D87" s="3092" t="s">
        <v>2685</v>
      </c>
      <c r="E87" s="3118">
        <v>0.1</v>
      </c>
      <c r="F87" s="3118">
        <v>15</v>
      </c>
    </row>
    <row r="88" spans="1:6" ht="24">
      <c r="A88" s="3118">
        <v>16</v>
      </c>
      <c r="B88" s="3980"/>
      <c r="C88" s="3092" t="s">
        <v>2686</v>
      </c>
      <c r="D88" s="3092" t="s">
        <v>2687</v>
      </c>
      <c r="E88" s="3118">
        <v>0.1</v>
      </c>
      <c r="F88" s="3118">
        <v>15</v>
      </c>
    </row>
    <row r="89" spans="1:6" ht="24">
      <c r="A89" s="3118">
        <v>17</v>
      </c>
      <c r="B89" s="3979"/>
      <c r="C89" s="3092" t="s">
        <v>2688</v>
      </c>
      <c r="D89" s="3092" t="s">
        <v>2689</v>
      </c>
      <c r="E89" s="3118">
        <v>0.1</v>
      </c>
      <c r="F89" s="3118">
        <v>15</v>
      </c>
    </row>
    <row r="90" spans="1:6" ht="14.4">
      <c r="A90" s="3118">
        <v>18</v>
      </c>
      <c r="B90" s="3978" t="s">
        <v>2690</v>
      </c>
      <c r="C90" s="3092" t="s">
        <v>2691</v>
      </c>
      <c r="D90" s="3092" t="s">
        <v>2692</v>
      </c>
      <c r="E90" s="3118">
        <v>0.2</v>
      </c>
      <c r="F90" s="3118">
        <v>25</v>
      </c>
    </row>
    <row r="91" spans="1:6" ht="24">
      <c r="A91" s="3118">
        <v>19</v>
      </c>
      <c r="B91" s="3980"/>
      <c r="C91" s="3092" t="s">
        <v>2693</v>
      </c>
      <c r="D91" s="3092" t="s">
        <v>2694</v>
      </c>
      <c r="E91" s="3118">
        <v>0.2</v>
      </c>
      <c r="F91" s="3118">
        <v>25</v>
      </c>
    </row>
    <row r="92" spans="1:6" ht="14.4">
      <c r="A92" s="3118">
        <v>20</v>
      </c>
      <c r="B92" s="3980"/>
      <c r="C92" s="3092" t="s">
        <v>2695</v>
      </c>
      <c r="D92" s="3092" t="s">
        <v>2696</v>
      </c>
      <c r="E92" s="3118">
        <v>0.15</v>
      </c>
      <c r="F92" s="3118">
        <v>20</v>
      </c>
    </row>
    <row r="93" spans="1:6" ht="24">
      <c r="A93" s="3118">
        <v>21</v>
      </c>
      <c r="B93" s="3980"/>
      <c r="C93" s="3092" t="s">
        <v>2697</v>
      </c>
      <c r="D93" s="3092" t="s">
        <v>2698</v>
      </c>
      <c r="E93" s="3118">
        <v>0.15</v>
      </c>
      <c r="F93" s="3118">
        <v>20</v>
      </c>
    </row>
    <row r="94" spans="1:6" ht="24">
      <c r="A94" s="3118">
        <v>22</v>
      </c>
      <c r="B94" s="3980"/>
      <c r="C94" s="3092" t="s">
        <v>2699</v>
      </c>
      <c r="D94" s="3092" t="s">
        <v>2700</v>
      </c>
      <c r="E94" s="3118">
        <v>0.15</v>
      </c>
      <c r="F94" s="3118">
        <v>20</v>
      </c>
    </row>
    <row r="95" spans="1:6" ht="36">
      <c r="A95" s="3118">
        <v>23</v>
      </c>
      <c r="B95" s="3980"/>
      <c r="C95" s="3092" t="s">
        <v>2701</v>
      </c>
      <c r="D95" s="3092" t="s">
        <v>2702</v>
      </c>
      <c r="E95" s="3118">
        <v>0.15</v>
      </c>
      <c r="F95" s="3118">
        <v>20</v>
      </c>
    </row>
    <row r="96" spans="1:6" ht="24">
      <c r="A96" s="3118">
        <v>24</v>
      </c>
      <c r="B96" s="3980"/>
      <c r="C96" s="3092" t="s">
        <v>2703</v>
      </c>
      <c r="D96" s="3092" t="s">
        <v>2704</v>
      </c>
      <c r="E96" s="3118">
        <v>0.1</v>
      </c>
      <c r="F96" s="3118">
        <v>15</v>
      </c>
    </row>
    <row r="97" spans="1:6" ht="24">
      <c r="A97" s="3118">
        <v>25</v>
      </c>
      <c r="B97" s="3980"/>
      <c r="C97" s="3092" t="s">
        <v>2705</v>
      </c>
      <c r="D97" s="3092" t="s">
        <v>2706</v>
      </c>
      <c r="E97" s="3118">
        <v>0.1</v>
      </c>
      <c r="F97" s="3118">
        <v>15</v>
      </c>
    </row>
    <row r="98" spans="1:6" ht="24">
      <c r="A98" s="3118">
        <v>26</v>
      </c>
      <c r="B98" s="3980"/>
      <c r="C98" s="3092" t="s">
        <v>2707</v>
      </c>
      <c r="D98" s="3092" t="s">
        <v>2708</v>
      </c>
      <c r="E98" s="3118">
        <v>0.1</v>
      </c>
      <c r="F98" s="3118">
        <v>15</v>
      </c>
    </row>
    <row r="99" spans="1:6" ht="24">
      <c r="A99" s="3118">
        <v>27</v>
      </c>
      <c r="B99" s="3980"/>
      <c r="C99" s="3092" t="s">
        <v>2709</v>
      </c>
      <c r="D99" s="3092" t="s">
        <v>2710</v>
      </c>
      <c r="E99" s="3118">
        <v>0.1</v>
      </c>
      <c r="F99" s="3118">
        <v>15</v>
      </c>
    </row>
    <row r="100" spans="1:6" ht="24">
      <c r="A100" s="3118">
        <v>28</v>
      </c>
      <c r="B100" s="3980"/>
      <c r="C100" s="3092" t="s">
        <v>2711</v>
      </c>
      <c r="D100" s="3092" t="s">
        <v>2712</v>
      </c>
      <c r="E100" s="3118">
        <v>0.1</v>
      </c>
      <c r="F100" s="3118">
        <v>15</v>
      </c>
    </row>
    <row r="101" spans="1:6" ht="24">
      <c r="A101" s="3118">
        <v>29</v>
      </c>
      <c r="B101" s="3980"/>
      <c r="C101" s="3092" t="s">
        <v>2713</v>
      </c>
      <c r="D101" s="3092" t="s">
        <v>2714</v>
      </c>
      <c r="E101" s="3118">
        <v>0.1</v>
      </c>
      <c r="F101" s="3118">
        <v>15</v>
      </c>
    </row>
    <row r="102" spans="1:6" ht="24">
      <c r="A102" s="3118">
        <v>30</v>
      </c>
      <c r="B102" s="3980"/>
      <c r="C102" s="3092" t="s">
        <v>2715</v>
      </c>
      <c r="D102" s="3092" t="s">
        <v>2716</v>
      </c>
      <c r="E102" s="3118">
        <v>0.1</v>
      </c>
      <c r="F102" s="3118">
        <v>15</v>
      </c>
    </row>
    <row r="103" spans="1:6" ht="24">
      <c r="A103" s="3118">
        <v>31</v>
      </c>
      <c r="B103" s="3980"/>
      <c r="C103" s="3092" t="s">
        <v>2717</v>
      </c>
      <c r="D103" s="3092" t="s">
        <v>2718</v>
      </c>
      <c r="E103" s="3118">
        <v>0.1</v>
      </c>
      <c r="F103" s="3118">
        <v>15</v>
      </c>
    </row>
    <row r="104" spans="1:6" ht="24">
      <c r="A104" s="3118">
        <v>32</v>
      </c>
      <c r="B104" s="3980"/>
      <c r="C104" s="3092" t="s">
        <v>2719</v>
      </c>
      <c r="D104" s="3092" t="s">
        <v>2720</v>
      </c>
      <c r="E104" s="3118">
        <v>0.1</v>
      </c>
      <c r="F104" s="3118">
        <v>15</v>
      </c>
    </row>
    <row r="105" spans="1:6" ht="24">
      <c r="A105" s="3118">
        <v>33</v>
      </c>
      <c r="B105" s="3980"/>
      <c r="C105" s="3092" t="s">
        <v>2721</v>
      </c>
      <c r="D105" s="3092" t="s">
        <v>2722</v>
      </c>
      <c r="E105" s="3118">
        <v>0.1</v>
      </c>
      <c r="F105" s="3118">
        <v>15</v>
      </c>
    </row>
    <row r="106" spans="1:6" ht="24">
      <c r="A106" s="3118">
        <v>34</v>
      </c>
      <c r="B106" s="3979"/>
      <c r="C106" s="3092" t="s">
        <v>2723</v>
      </c>
      <c r="D106" s="3092" t="s">
        <v>2724</v>
      </c>
      <c r="E106" s="3118">
        <v>0.1</v>
      </c>
      <c r="F106" s="3118">
        <v>15</v>
      </c>
    </row>
    <row r="107" spans="1:6" ht="36">
      <c r="A107" s="3118">
        <v>35</v>
      </c>
      <c r="B107" s="3978" t="s">
        <v>2725</v>
      </c>
      <c r="C107" s="3118" t="s">
        <v>2726</v>
      </c>
      <c r="D107" s="3092" t="s">
        <v>2727</v>
      </c>
      <c r="E107" s="3118">
        <v>0.15</v>
      </c>
      <c r="F107" s="3118">
        <v>20</v>
      </c>
    </row>
    <row r="108" spans="1:6" ht="24">
      <c r="A108" s="3118">
        <v>36</v>
      </c>
      <c r="B108" s="3980"/>
      <c r="C108" s="3118" t="s">
        <v>2728</v>
      </c>
      <c r="D108" s="3092" t="s">
        <v>2729</v>
      </c>
      <c r="E108" s="3118">
        <v>0.15</v>
      </c>
      <c r="F108" s="3118">
        <v>20</v>
      </c>
    </row>
    <row r="109" spans="1:6" ht="24">
      <c r="A109" s="3118">
        <v>37</v>
      </c>
      <c r="B109" s="3980"/>
      <c r="C109" s="3118" t="s">
        <v>2730</v>
      </c>
      <c r="D109" s="3092" t="s">
        <v>2731</v>
      </c>
      <c r="E109" s="3118">
        <v>0.15</v>
      </c>
      <c r="F109" s="3118">
        <v>20</v>
      </c>
    </row>
    <row r="110" spans="1:6" ht="24">
      <c r="A110" s="3118">
        <v>38</v>
      </c>
      <c r="B110" s="3980"/>
      <c r="C110" s="3118" t="s">
        <v>2732</v>
      </c>
      <c r="D110" s="3092" t="s">
        <v>2733</v>
      </c>
      <c r="E110" s="3118">
        <v>0.1</v>
      </c>
      <c r="F110" s="3118">
        <v>15</v>
      </c>
    </row>
    <row r="111" spans="1:6" ht="24">
      <c r="A111" s="3118">
        <v>39</v>
      </c>
      <c r="B111" s="3980"/>
      <c r="C111" s="3118" t="s">
        <v>2734</v>
      </c>
      <c r="D111" s="3092" t="s">
        <v>2735</v>
      </c>
      <c r="E111" s="3118">
        <v>0.1</v>
      </c>
      <c r="F111" s="3118">
        <v>15</v>
      </c>
    </row>
    <row r="112" spans="1:6" ht="24">
      <c r="A112" s="3118">
        <v>40</v>
      </c>
      <c r="B112" s="3979"/>
      <c r="C112" s="3118" t="s">
        <v>2736</v>
      </c>
      <c r="D112" s="3092" t="s">
        <v>2737</v>
      </c>
      <c r="E112" s="3118">
        <v>0.1</v>
      </c>
      <c r="F112" s="3118">
        <v>15</v>
      </c>
    </row>
    <row r="113" spans="1:6" ht="24">
      <c r="A113" s="3118">
        <v>41</v>
      </c>
      <c r="B113" s="3977" t="s">
        <v>2738</v>
      </c>
      <c r="C113" s="3118" t="s">
        <v>2739</v>
      </c>
      <c r="D113" s="3092" t="s">
        <v>2740</v>
      </c>
      <c r="E113" s="3118">
        <v>0.1</v>
      </c>
      <c r="F113" s="3118">
        <v>15</v>
      </c>
    </row>
    <row r="114" spans="1:6" ht="24">
      <c r="A114" s="3118">
        <v>42</v>
      </c>
      <c r="B114" s="3977"/>
      <c r="C114" s="3118" t="s">
        <v>2741</v>
      </c>
      <c r="D114" s="3092" t="s">
        <v>2742</v>
      </c>
      <c r="E114" s="3118">
        <v>0.1</v>
      </c>
      <c r="F114" s="3118">
        <v>15</v>
      </c>
    </row>
    <row r="115" spans="1:6" ht="24">
      <c r="A115" s="3118">
        <v>43</v>
      </c>
      <c r="B115" s="3977"/>
      <c r="C115" s="3118" t="s">
        <v>2743</v>
      </c>
      <c r="D115" s="3092" t="s">
        <v>2744</v>
      </c>
      <c r="E115" s="3118">
        <v>0.1</v>
      </c>
      <c r="F115" s="3118">
        <v>15</v>
      </c>
    </row>
    <row r="116" spans="1:6" ht="24">
      <c r="A116" s="3118">
        <v>44</v>
      </c>
      <c r="B116" s="3978" t="s">
        <v>2745</v>
      </c>
      <c r="C116" s="3118" t="s">
        <v>2746</v>
      </c>
      <c r="D116" s="3092" t="s">
        <v>2747</v>
      </c>
      <c r="E116" s="3118">
        <v>0.1</v>
      </c>
      <c r="F116" s="3118">
        <v>15</v>
      </c>
    </row>
    <row r="117" spans="1:6" ht="24">
      <c r="A117" s="3118">
        <v>45</v>
      </c>
      <c r="B117" s="3979"/>
      <c r="C117" s="3092" t="s">
        <v>2748</v>
      </c>
      <c r="D117" s="3092" t="s">
        <v>2749</v>
      </c>
      <c r="E117" s="3118">
        <v>0.1</v>
      </c>
      <c r="F117" s="3118">
        <v>15</v>
      </c>
    </row>
    <row r="118" spans="1:6" ht="24">
      <c r="A118" s="3118">
        <v>46</v>
      </c>
      <c r="B118" s="3978" t="s">
        <v>2750</v>
      </c>
      <c r="C118" s="3118" t="s">
        <v>2751</v>
      </c>
      <c r="D118" s="3092" t="s">
        <v>2752</v>
      </c>
      <c r="E118" s="3118">
        <v>0.1</v>
      </c>
      <c r="F118" s="3118">
        <v>15</v>
      </c>
    </row>
    <row r="119" spans="1:6" ht="24">
      <c r="A119" s="3118">
        <v>47</v>
      </c>
      <c r="B119" s="3979"/>
      <c r="C119" s="3118" t="s">
        <v>2753</v>
      </c>
      <c r="D119" s="3092" t="s">
        <v>2754</v>
      </c>
      <c r="E119" s="3118">
        <v>0.1</v>
      </c>
      <c r="F119" s="3118">
        <v>15</v>
      </c>
    </row>
    <row r="120" spans="1:6" ht="24">
      <c r="A120" s="3118">
        <v>48</v>
      </c>
      <c r="B120" s="3978" t="s">
        <v>2755</v>
      </c>
      <c r="C120" s="3118" t="s">
        <v>2756</v>
      </c>
      <c r="D120" s="3092" t="s">
        <v>2757</v>
      </c>
      <c r="E120" s="3118">
        <v>0.1</v>
      </c>
      <c r="F120" s="3118">
        <v>15</v>
      </c>
    </row>
    <row r="121" spans="1:6" ht="24">
      <c r="A121" s="3118">
        <v>49</v>
      </c>
      <c r="B121" s="3979"/>
      <c r="C121" s="3118" t="s">
        <v>2758</v>
      </c>
      <c r="D121" s="3092" t="s">
        <v>2759</v>
      </c>
      <c r="E121" s="3118">
        <v>0.1</v>
      </c>
      <c r="F121" s="3118">
        <v>15</v>
      </c>
    </row>
    <row r="122" spans="1:6" ht="24">
      <c r="A122" s="3118">
        <v>50</v>
      </c>
      <c r="B122" s="3977" t="s">
        <v>2760</v>
      </c>
      <c r="C122" s="3118" t="s">
        <v>2761</v>
      </c>
      <c r="D122" s="3092" t="s">
        <v>2762</v>
      </c>
      <c r="E122" s="3118">
        <v>0.1</v>
      </c>
      <c r="F122" s="3118">
        <v>15</v>
      </c>
    </row>
    <row r="123" spans="1:6" ht="24">
      <c r="A123" s="3118">
        <v>51</v>
      </c>
      <c r="B123" s="3977"/>
      <c r="C123" s="3118" t="s">
        <v>2763</v>
      </c>
      <c r="D123" s="3092" t="s">
        <v>2764</v>
      </c>
      <c r="E123" s="3118">
        <v>0.1</v>
      </c>
      <c r="F123" s="3118">
        <v>15</v>
      </c>
    </row>
    <row r="124" spans="1:6" ht="24">
      <c r="A124" s="3118">
        <v>52</v>
      </c>
      <c r="B124" s="3977" t="s">
        <v>2765</v>
      </c>
      <c r="C124" s="3118" t="s">
        <v>2766</v>
      </c>
      <c r="D124" s="3092" t="s">
        <v>2767</v>
      </c>
      <c r="E124" s="3118">
        <v>0.1</v>
      </c>
      <c r="F124" s="3118">
        <v>15</v>
      </c>
    </row>
    <row r="125" spans="1:6" ht="24">
      <c r="A125" s="3118">
        <v>53</v>
      </c>
      <c r="B125" s="3977"/>
      <c r="C125" s="3118" t="s">
        <v>2768</v>
      </c>
      <c r="D125" s="3092" t="s">
        <v>2769</v>
      </c>
      <c r="E125" s="3118">
        <v>0.1</v>
      </c>
      <c r="F125" s="3118">
        <v>15</v>
      </c>
    </row>
    <row r="126" spans="1:6" ht="24">
      <c r="A126" s="3118">
        <v>54</v>
      </c>
      <c r="B126" s="3118" t="s">
        <v>2770</v>
      </c>
      <c r="C126" s="3118" t="s">
        <v>2771</v>
      </c>
      <c r="D126" s="3092" t="s">
        <v>2772</v>
      </c>
      <c r="E126" s="3118">
        <v>0.1</v>
      </c>
      <c r="F126" s="3118">
        <v>15</v>
      </c>
    </row>
    <row r="127" spans="1:6" ht="24">
      <c r="A127" s="3118">
        <v>55</v>
      </c>
      <c r="B127" s="3977" t="s">
        <v>2773</v>
      </c>
      <c r="C127" s="3118" t="s">
        <v>2774</v>
      </c>
      <c r="D127" s="3092" t="s">
        <v>2775</v>
      </c>
      <c r="E127" s="3118">
        <v>0.1</v>
      </c>
      <c r="F127" s="3118">
        <v>15</v>
      </c>
    </row>
    <row r="128" spans="1:6" ht="24">
      <c r="A128" s="3118">
        <v>56</v>
      </c>
      <c r="B128" s="3977"/>
      <c r="C128" s="3118" t="s">
        <v>2776</v>
      </c>
      <c r="D128" s="3092" t="s">
        <v>2777</v>
      </c>
      <c r="E128" s="3118">
        <v>0.1</v>
      </c>
      <c r="F128" s="3118">
        <v>15</v>
      </c>
    </row>
    <row r="129" spans="1:6" ht="24">
      <c r="A129" s="3118">
        <v>57</v>
      </c>
      <c r="B129" s="3977"/>
      <c r="C129" s="3118" t="s">
        <v>2778</v>
      </c>
      <c r="D129" s="3092" t="s">
        <v>2779</v>
      </c>
      <c r="E129" s="3118">
        <v>0.1</v>
      </c>
      <c r="F129" s="3118">
        <v>15</v>
      </c>
    </row>
    <row r="130" spans="1:6" ht="24">
      <c r="A130" s="3118">
        <v>58</v>
      </c>
      <c r="B130" s="3977" t="s">
        <v>2780</v>
      </c>
      <c r="C130" s="3118" t="s">
        <v>2781</v>
      </c>
      <c r="D130" s="3092" t="s">
        <v>2782</v>
      </c>
      <c r="E130" s="3118">
        <v>0.1</v>
      </c>
      <c r="F130" s="3118">
        <v>15</v>
      </c>
    </row>
    <row r="131" spans="1:6" ht="24">
      <c r="A131" s="3118">
        <v>59</v>
      </c>
      <c r="B131" s="3977"/>
      <c r="C131" s="3118" t="s">
        <v>2783</v>
      </c>
      <c r="D131" s="3092" t="s">
        <v>2784</v>
      </c>
      <c r="E131" s="3118">
        <v>0.1</v>
      </c>
      <c r="F131" s="3118">
        <v>15</v>
      </c>
    </row>
    <row r="132" spans="1:6" ht="24">
      <c r="A132" s="3118">
        <v>60</v>
      </c>
      <c r="B132" s="3978" t="s">
        <v>2785</v>
      </c>
      <c r="C132" s="3118" t="s">
        <v>2786</v>
      </c>
      <c r="D132" s="3092" t="s">
        <v>2787</v>
      </c>
      <c r="E132" s="3118">
        <v>0.1</v>
      </c>
      <c r="F132" s="3118">
        <v>15</v>
      </c>
    </row>
    <row r="133" spans="1:6" ht="24">
      <c r="A133" s="3118">
        <v>61</v>
      </c>
      <c r="B133" s="3979"/>
      <c r="C133" s="3118" t="s">
        <v>2788</v>
      </c>
      <c r="D133" s="3092" t="s">
        <v>2789</v>
      </c>
      <c r="E133" s="3118">
        <v>0.1</v>
      </c>
      <c r="F133" s="3118">
        <v>15</v>
      </c>
    </row>
    <row r="134" spans="1:6" ht="24">
      <c r="A134" s="3118">
        <v>62</v>
      </c>
      <c r="B134" s="3118" t="s">
        <v>2790</v>
      </c>
      <c r="C134" s="3118" t="s">
        <v>2791</v>
      </c>
      <c r="D134" s="3092" t="s">
        <v>2792</v>
      </c>
      <c r="E134" s="3118">
        <v>0.1</v>
      </c>
      <c r="F134" s="3118">
        <v>15</v>
      </c>
    </row>
    <row r="135" spans="1:6" ht="24">
      <c r="A135" s="3118">
        <v>63</v>
      </c>
      <c r="B135" s="3977" t="s">
        <v>2793</v>
      </c>
      <c r="C135" s="3118" t="s">
        <v>2794</v>
      </c>
      <c r="D135" s="3092" t="s">
        <v>2795</v>
      </c>
      <c r="E135" s="3118">
        <v>0.1</v>
      </c>
      <c r="F135" s="3118">
        <v>15</v>
      </c>
    </row>
    <row r="136" spans="1:6" ht="24">
      <c r="A136" s="3118">
        <v>64</v>
      </c>
      <c r="B136" s="3977"/>
      <c r="C136" s="3118" t="s">
        <v>2796</v>
      </c>
      <c r="D136" s="3092" t="s">
        <v>2797</v>
      </c>
      <c r="E136" s="3118">
        <v>0.1</v>
      </c>
      <c r="F136" s="3118">
        <v>15</v>
      </c>
    </row>
    <row r="137" spans="1:6" ht="24">
      <c r="A137" s="3118">
        <v>65</v>
      </c>
      <c r="B137" s="3118" t="s">
        <v>2798</v>
      </c>
      <c r="C137" s="3118" t="s">
        <v>2799</v>
      </c>
      <c r="D137" s="3092" t="s">
        <v>2800</v>
      </c>
      <c r="E137" s="3118">
        <v>0.1</v>
      </c>
      <c r="F137" s="3118">
        <v>15</v>
      </c>
    </row>
    <row r="138" spans="1:6" ht="14.4">
      <c r="A138" s="3118"/>
      <c r="B138" s="3118"/>
      <c r="C138" s="3118"/>
      <c r="D138" s="3118"/>
      <c r="E138" s="3118" t="s">
        <v>2801</v>
      </c>
      <c r="F138" s="3118" t="s">
        <v>2801</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4.4"/>
  <cols>
    <col min="1" max="13" width="9" style="3141"/>
    <col min="14" max="16384" width="9" style="750"/>
  </cols>
  <sheetData>
    <row r="1" spans="1:20" ht="16.2" thickBot="1">
      <c r="A1" s="3127" t="s">
        <v>2802</v>
      </c>
      <c r="B1" s="3127"/>
      <c r="C1" s="3127"/>
      <c r="D1" s="3127"/>
      <c r="E1" s="3127"/>
      <c r="F1" s="3127"/>
      <c r="G1" s="3127"/>
      <c r="H1" s="3127"/>
      <c r="I1" s="3127"/>
      <c r="J1" s="3127"/>
      <c r="K1" s="3127"/>
      <c r="L1" s="3127"/>
      <c r="M1" s="3127"/>
      <c r="N1" s="749"/>
    </row>
    <row r="2" spans="1:20">
      <c r="A2" s="3128" t="s">
        <v>2803</v>
      </c>
      <c r="B2" s="3129" t="s">
        <v>2599</v>
      </c>
      <c r="C2" s="3129" t="s">
        <v>2600</v>
      </c>
      <c r="D2" s="3129" t="s">
        <v>2601</v>
      </c>
      <c r="E2" s="3129" t="s">
        <v>2602</v>
      </c>
      <c r="F2" s="3129" t="s">
        <v>2603</v>
      </c>
      <c r="G2" s="3129" t="s">
        <v>2604</v>
      </c>
      <c r="H2" s="3130" t="s">
        <v>2605</v>
      </c>
      <c r="I2" s="3130" t="s">
        <v>2606</v>
      </c>
      <c r="J2" s="3131" t="s">
        <v>2607</v>
      </c>
      <c r="K2" s="3131" t="s">
        <v>2608</v>
      </c>
      <c r="L2" s="3131" t="s">
        <v>2609</v>
      </c>
      <c r="M2" s="3132" t="s">
        <v>2610</v>
      </c>
      <c r="Q2" s="3142" t="s">
        <v>2808</v>
      </c>
      <c r="R2" s="3142" t="s">
        <v>2809</v>
      </c>
      <c r="S2" s="3142" t="s">
        <v>2810</v>
      </c>
      <c r="T2" s="3142" t="s">
        <v>2811</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6.2" thickBot="1">
      <c r="A93" s="3127" t="s">
        <v>2804</v>
      </c>
      <c r="B93" s="3127"/>
      <c r="C93" s="3127"/>
      <c r="D93" s="3127"/>
      <c r="E93" s="3127"/>
      <c r="F93" s="3127"/>
      <c r="G93" s="3127"/>
      <c r="H93" s="3127"/>
      <c r="I93" s="3127"/>
      <c r="J93" s="3127"/>
      <c r="K93" s="3127"/>
      <c r="L93" s="3127"/>
      <c r="M93" s="3127"/>
    </row>
    <row r="94" spans="1:20">
      <c r="A94" s="3128" t="s">
        <v>2803</v>
      </c>
      <c r="B94" s="3129" t="s">
        <v>2599</v>
      </c>
      <c r="C94" s="3129" t="s">
        <v>2600</v>
      </c>
      <c r="D94" s="3129" t="s">
        <v>2601</v>
      </c>
      <c r="E94" s="3129" t="s">
        <v>2602</v>
      </c>
      <c r="F94" s="3129" t="s">
        <v>2603</v>
      </c>
      <c r="G94" s="3129" t="s">
        <v>2604</v>
      </c>
      <c r="H94" s="3130" t="s">
        <v>2605</v>
      </c>
      <c r="I94" s="3130" t="s">
        <v>2606</v>
      </c>
      <c r="J94" s="3131" t="s">
        <v>2607</v>
      </c>
      <c r="K94" s="3131" t="s">
        <v>2608</v>
      </c>
      <c r="L94" s="3131" t="s">
        <v>2609</v>
      </c>
      <c r="M94" s="3132" t="s">
        <v>2610</v>
      </c>
      <c r="N94" s="750">
        <f>SUMPRODUCT((A95:A184=ROUNDDOWN(基准地价修正!G3,1))*(B94:M94=基准地价修正!G2)*(B95:M184))</f>
        <v>0</v>
      </c>
      <c r="Q94" s="3142" t="s">
        <v>2808</v>
      </c>
      <c r="R94" s="3142" t="s">
        <v>2809</v>
      </c>
      <c r="S94" s="3142" t="s">
        <v>2810</v>
      </c>
      <c r="T94" s="3142" t="s">
        <v>2811</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5.6">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5.6">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6.2" thickBot="1">
      <c r="A185" s="3127" t="s">
        <v>2805</v>
      </c>
      <c r="B185" s="3127"/>
      <c r="C185" s="3127"/>
      <c r="D185" s="3127"/>
      <c r="E185" s="3127"/>
      <c r="F185" s="3127"/>
      <c r="G185" s="3127"/>
      <c r="H185" s="3127"/>
      <c r="I185" s="3127"/>
      <c r="J185" s="3127"/>
      <c r="K185" s="3127"/>
      <c r="L185" s="3127"/>
      <c r="M185" s="3127"/>
    </row>
    <row r="186" spans="1:20">
      <c r="A186" s="3128" t="s">
        <v>2803</v>
      </c>
      <c r="B186" s="3129" t="s">
        <v>2599</v>
      </c>
      <c r="C186" s="3129" t="s">
        <v>2600</v>
      </c>
      <c r="D186" s="3129" t="s">
        <v>2601</v>
      </c>
      <c r="E186" s="3129" t="s">
        <v>2602</v>
      </c>
      <c r="F186" s="3129" t="s">
        <v>2603</v>
      </c>
      <c r="G186" s="3129" t="s">
        <v>2604</v>
      </c>
      <c r="H186" s="3130" t="s">
        <v>2605</v>
      </c>
      <c r="I186" s="3130" t="s">
        <v>2606</v>
      </c>
      <c r="J186" s="3131" t="s">
        <v>2607</v>
      </c>
      <c r="K186" s="3131" t="s">
        <v>2608</v>
      </c>
      <c r="L186" s="3131" t="s">
        <v>2609</v>
      </c>
      <c r="M186" s="3132" t="s">
        <v>2610</v>
      </c>
      <c r="Q186" s="3142" t="s">
        <v>2808</v>
      </c>
      <c r="R186" s="3142" t="s">
        <v>2809</v>
      </c>
      <c r="S186" s="3142" t="s">
        <v>2810</v>
      </c>
      <c r="T186" s="3142" t="s">
        <v>2811</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6.2" thickBot="1">
      <c r="A277" s="3127" t="s">
        <v>2806</v>
      </c>
      <c r="B277" s="3127"/>
      <c r="C277" s="3127"/>
      <c r="D277" s="3127"/>
      <c r="E277" s="3127"/>
      <c r="F277" s="3127"/>
      <c r="G277" s="3127"/>
      <c r="H277" s="3127"/>
      <c r="I277" s="3127"/>
      <c r="J277" s="3127"/>
      <c r="K277" s="3127"/>
      <c r="L277" s="3127"/>
      <c r="M277" s="3127"/>
    </row>
    <row r="278" spans="1:21">
      <c r="A278" s="3128" t="s">
        <v>2803</v>
      </c>
      <c r="B278" s="3129" t="s">
        <v>2599</v>
      </c>
      <c r="C278" s="3129" t="s">
        <v>2600</v>
      </c>
      <c r="D278" s="3129" t="s">
        <v>2601</v>
      </c>
      <c r="E278" s="3129" t="s">
        <v>2602</v>
      </c>
      <c r="F278" s="3129" t="s">
        <v>2603</v>
      </c>
      <c r="G278" s="3129" t="s">
        <v>2604</v>
      </c>
      <c r="H278" s="3130" t="s">
        <v>2605</v>
      </c>
      <c r="I278" s="3130" t="s">
        <v>2606</v>
      </c>
      <c r="J278" s="3131" t="s">
        <v>2607</v>
      </c>
      <c r="K278" s="3131" t="s">
        <v>2608</v>
      </c>
      <c r="L278" s="3131" t="s">
        <v>2609</v>
      </c>
      <c r="M278" s="3132" t="s">
        <v>2610</v>
      </c>
      <c r="Q278" s="3142" t="s">
        <v>2808</v>
      </c>
      <c r="R278" s="3142" t="s">
        <v>2809</v>
      </c>
      <c r="S278" s="3142" t="s">
        <v>2812</v>
      </c>
      <c r="T278" s="3142" t="s">
        <v>2813</v>
      </c>
      <c r="U278" s="3142" t="s">
        <v>2811</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6.2" thickBot="1">
      <c r="A369" s="3127" t="s">
        <v>2807</v>
      </c>
      <c r="B369" s="3140"/>
      <c r="C369" s="3140"/>
      <c r="D369" s="3140"/>
      <c r="E369" s="3140"/>
      <c r="F369" s="3140"/>
      <c r="G369" s="3140"/>
      <c r="H369" s="3140"/>
      <c r="I369" s="3140"/>
      <c r="J369" s="3140"/>
      <c r="K369" s="3140"/>
      <c r="L369" s="3140"/>
      <c r="M369" s="3140"/>
    </row>
    <row r="370" spans="1:20">
      <c r="A370" s="3128" t="s">
        <v>2803</v>
      </c>
      <c r="B370" s="3129" t="s">
        <v>2599</v>
      </c>
      <c r="C370" s="3129" t="s">
        <v>2600</v>
      </c>
      <c r="D370" s="3129" t="s">
        <v>2601</v>
      </c>
      <c r="E370" s="3129" t="s">
        <v>2602</v>
      </c>
      <c r="F370" s="3129" t="s">
        <v>2603</v>
      </c>
      <c r="G370" s="3129" t="s">
        <v>2604</v>
      </c>
      <c r="H370" s="3130" t="s">
        <v>2605</v>
      </c>
      <c r="I370" s="3130" t="s">
        <v>2606</v>
      </c>
      <c r="J370" s="3131" t="s">
        <v>2607</v>
      </c>
      <c r="K370" s="3131" t="s">
        <v>2608</v>
      </c>
      <c r="L370" s="3131" t="s">
        <v>2609</v>
      </c>
      <c r="M370" s="3132" t="s">
        <v>2610</v>
      </c>
      <c r="N370" s="750">
        <f>SUMPRODUCT((A371:A460=ROUNDDOWN(基准地价修正!G3,1))*(B370:M370=基准地价修正!G2)*(B371:M460))</f>
        <v>0</v>
      </c>
      <c r="Q370" s="3142" t="s">
        <v>2808</v>
      </c>
      <c r="R370" s="3142" t="s">
        <v>2809</v>
      </c>
      <c r="S370" s="3142" t="s">
        <v>2810</v>
      </c>
      <c r="T370" s="3142" t="s">
        <v>2811</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3203125" defaultRowHeight="13.2"/>
  <cols>
    <col min="1" max="1" width="9.33203125" style="269" customWidth="1"/>
    <col min="2" max="2" width="29.21875" style="251" customWidth="1"/>
    <col min="3" max="3" width="12.109375" style="251" customWidth="1"/>
    <col min="4" max="5" width="11.21875" style="272" customWidth="1"/>
    <col min="6" max="6" width="9.44140625" style="251" customWidth="1"/>
    <col min="7" max="7" width="31.88671875" style="251" customWidth="1"/>
    <col min="8" max="254" width="9" style="251" customWidth="1"/>
    <col min="255" max="16384" width="8.33203125" style="251"/>
  </cols>
  <sheetData>
    <row r="1" spans="1:7" s="200" customFormat="1" ht="21">
      <c r="A1" s="196" t="s">
        <v>56</v>
      </c>
      <c r="B1" s="197"/>
      <c r="C1" s="198"/>
      <c r="D1" s="198"/>
      <c r="E1" s="198"/>
      <c r="F1" s="198"/>
      <c r="G1" s="199"/>
    </row>
    <row r="2" spans="1:7" s="200" customFormat="1" ht="18" customHeight="1">
      <c r="A2" s="201" t="s">
        <v>57</v>
      </c>
      <c r="B2" s="202">
        <f ca="1">C52</f>
        <v>31532</v>
      </c>
      <c r="C2" s="2" t="s">
        <v>106</v>
      </c>
      <c r="D2" s="199"/>
      <c r="E2" s="199"/>
      <c r="F2" s="199"/>
      <c r="G2" s="199"/>
    </row>
    <row r="3" spans="1:7" s="200" customFormat="1" ht="18" customHeight="1" thickBot="1">
      <c r="A3" s="203" t="s">
        <v>58</v>
      </c>
      <c r="B3" s="204">
        <f ca="1">ROUND(B2*10000/'数据-汇总表'!E3,0)</f>
        <v>130598</v>
      </c>
      <c r="C3" s="2" t="s">
        <v>107</v>
      </c>
      <c r="D3" s="199"/>
      <c r="E3" s="199"/>
      <c r="F3" s="199"/>
      <c r="G3" s="199"/>
    </row>
    <row r="4" spans="1:7" s="208" customFormat="1" ht="16.2">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48</v>
      </c>
      <c r="D10" s="845">
        <f>'数据-汇总表'!E6</f>
        <v>2414.4300000000003</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0</v>
      </c>
      <c r="D19" s="849">
        <f>'数据-汇总表'!E3</f>
        <v>2414.4300000000003</v>
      </c>
      <c r="E19" s="211">
        <f>'数据-取费表'!B31</f>
        <v>0</v>
      </c>
      <c r="F19" s="231"/>
      <c r="G19" s="1" t="s">
        <v>436</v>
      </c>
    </row>
    <row r="20" spans="1:7" s="214" customFormat="1" ht="13.5" customHeight="1">
      <c r="A20" s="777" t="s">
        <v>419</v>
      </c>
      <c r="B20" s="210" t="s">
        <v>77</v>
      </c>
      <c r="C20" s="232">
        <f>ROUND((C5+C19)*F20,0)</f>
        <v>412</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1461</v>
      </c>
      <c r="D22" s="235">
        <f ca="1">C26</f>
        <v>6.9999999999999999E-4</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0</v>
      </c>
      <c r="D24" s="238"/>
      <c r="E24" s="238"/>
      <c r="F24" s="239"/>
      <c r="G24" s="240" t="s">
        <v>82</v>
      </c>
    </row>
    <row r="25" spans="1:7" s="214" customFormat="1" ht="24">
      <c r="A25" s="780" t="s">
        <v>348</v>
      </c>
      <c r="B25" s="215" t="s">
        <v>420</v>
      </c>
      <c r="C25" s="1105">
        <f ca="1">ROUND(IF('数据-取费表'!B22&lt;=1,C20*F22*'数据-取费表'!B23/2,C20*(POWER((1+F22),'数据-取费表'!B23/2)-1)),0)</f>
        <v>14</v>
      </c>
      <c r="D25" s="238"/>
      <c r="E25" s="241"/>
      <c r="F25" s="239"/>
      <c r="G25" s="242" t="s">
        <v>83</v>
      </c>
    </row>
    <row r="26" spans="1:7" s="214" customFormat="1">
      <c r="A26" s="780" t="s">
        <v>350</v>
      </c>
      <c r="B26" s="215" t="s">
        <v>422</v>
      </c>
      <c r="C26" s="238">
        <f ca="1">ROUND(IF('数据-取费表'!B22&lt;=1,F21*F22*'数据-取费表'!B23/2,F21*(POWER((1+F22),'数据-取费表'!B23/2)-1)),4)</f>
        <v>6.9999999999999999E-4</v>
      </c>
      <c r="D26" s="238"/>
      <c r="E26" s="241"/>
      <c r="F26" s="239"/>
      <c r="G26" s="243"/>
    </row>
    <row r="27" spans="1:7" s="214" customFormat="1" ht="26.4">
      <c r="A27" s="777" t="s">
        <v>342</v>
      </c>
      <c r="B27" s="244" t="s">
        <v>85</v>
      </c>
      <c r="C27" s="245">
        <f>C28</f>
        <v>5676</v>
      </c>
      <c r="D27" s="235">
        <f>C29</f>
        <v>5.4000000000000003E-3</v>
      </c>
      <c r="E27" s="236" t="s">
        <v>99</v>
      </c>
      <c r="F27" s="246">
        <f>'数据-取费表'!Q16</f>
        <v>0.27</v>
      </c>
      <c r="G27" s="247" t="s">
        <v>431</v>
      </c>
    </row>
    <row r="28" spans="1:7" s="214" customFormat="1" ht="13.5" customHeight="1">
      <c r="A28" s="780" t="s">
        <v>349</v>
      </c>
      <c r="B28" s="248" t="s">
        <v>424</v>
      </c>
      <c r="C28" s="249">
        <f>ROUND((C5+C19+C20)*F27*'数据-取费表'!B21/'数据-取费表'!B20,0)</f>
        <v>5676</v>
      </c>
      <c r="D28" s="235"/>
      <c r="E28" s="236"/>
      <c r="F28" s="246"/>
      <c r="G28" s="247"/>
    </row>
    <row r="29" spans="1:7" s="214" customFormat="1" ht="13.5" customHeight="1">
      <c r="A29" s="780" t="s">
        <v>347</v>
      </c>
      <c r="B29" s="248" t="s">
        <v>425</v>
      </c>
      <c r="C29" s="238">
        <f>ROUND(C21*F27*'数据-取费表'!B21/'数据-取费表'!B20,4)</f>
        <v>5.4000000000000003E-3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30589</v>
      </c>
      <c r="D31" s="230"/>
      <c r="E31" s="211"/>
      <c r="F31" s="250"/>
      <c r="G31" s="234" t="s">
        <v>432</v>
      </c>
    </row>
    <row r="32" spans="1:7" s="208" customFormat="1" ht="16.2">
      <c r="A32" s="252" t="s">
        <v>87</v>
      </c>
      <c r="B32" s="253"/>
      <c r="C32" s="253"/>
      <c r="D32" s="253"/>
      <c r="E32" s="253"/>
      <c r="F32" s="253"/>
      <c r="G32" s="254"/>
    </row>
    <row r="33" spans="1:7" s="214" customFormat="1" ht="13.5" customHeight="1">
      <c r="A33" s="255" t="s">
        <v>337</v>
      </c>
      <c r="B33" s="210" t="s">
        <v>88</v>
      </c>
      <c r="C33" s="256">
        <f>SUM(C34:C38)</f>
        <v>931</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845</v>
      </c>
      <c r="D34" s="217"/>
      <c r="E34" s="220"/>
      <c r="F34" s="257">
        <f>IF('数据-取费表'!B24=0,1,'数据-取费表'!N16)</f>
        <v>1</v>
      </c>
      <c r="G34" s="219" t="s">
        <v>89</v>
      </c>
    </row>
    <row r="35" spans="1:7" ht="13.5" customHeight="1">
      <c r="A35" s="780" t="s">
        <v>351</v>
      </c>
      <c r="B35" s="215" t="s">
        <v>33</v>
      </c>
      <c r="C35" s="220">
        <f>ROUND(C34*F35,0)</f>
        <v>25</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0.1</v>
      </c>
      <c r="G36" s="260" t="s">
        <v>35</v>
      </c>
    </row>
    <row r="37" spans="1:7" s="258" customFormat="1" ht="13.5" customHeight="1">
      <c r="A37" s="780" t="s">
        <v>353</v>
      </c>
      <c r="B37" s="215" t="s">
        <v>91</v>
      </c>
      <c r="C37" s="249">
        <f>ROUND(E37*D37*F34/10000,0)</f>
        <v>48</v>
      </c>
      <c r="D37" s="217">
        <f>'数据-汇总表'!E3</f>
        <v>2414.4300000000003</v>
      </c>
      <c r="E37" s="249">
        <f>'数据-取费表'!B35</f>
        <v>200</v>
      </c>
      <c r="F37" s="259"/>
      <c r="G37" s="261" t="s">
        <v>92</v>
      </c>
    </row>
    <row r="38" spans="1:7" ht="13.5" customHeight="1">
      <c r="A38" s="780" t="s">
        <v>354</v>
      </c>
      <c r="B38" s="215" t="s">
        <v>36</v>
      </c>
      <c r="C38" s="220">
        <f>ROUND(C34*F38,0)</f>
        <v>13</v>
      </c>
      <c r="D38" s="220"/>
      <c r="E38" s="220"/>
      <c r="F38" s="259">
        <f>'数据-取费表'!B36</f>
        <v>1.4999999999999999E-2</v>
      </c>
      <c r="G38" s="219" t="s">
        <v>90</v>
      </c>
    </row>
    <row r="39" spans="1:7" s="214" customFormat="1" ht="13.5" customHeight="1">
      <c r="A39" s="777" t="s">
        <v>338</v>
      </c>
      <c r="B39" s="210" t="s">
        <v>77</v>
      </c>
      <c r="C39" s="232">
        <f>ROUND(C33*F20,0)</f>
        <v>19</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33</v>
      </c>
      <c r="D41" s="235">
        <f ca="1">C44</f>
        <v>6.9999999999999999E-4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32</v>
      </c>
      <c r="D42" s="238"/>
      <c r="E42" s="238"/>
      <c r="F42" s="239"/>
      <c r="G42" s="3897" t="s">
        <v>94</v>
      </c>
    </row>
    <row r="43" spans="1:7" ht="13.5" customHeight="1">
      <c r="A43" s="780" t="s">
        <v>347</v>
      </c>
      <c r="B43" s="215" t="s">
        <v>426</v>
      </c>
      <c r="C43" s="238">
        <f ca="1">ROUND(IF('数据-取费表'!B22&lt;=1,C39*F22*'数据-取费表'!B21/2,C39*(POWER((1+F22),'数据-取费表'!B21/2)-1)),0)</f>
        <v>1</v>
      </c>
      <c r="D43" s="238"/>
      <c r="E43" s="238"/>
      <c r="F43" s="239"/>
      <c r="G43" s="3898"/>
    </row>
    <row r="44" spans="1:7" ht="13.5" customHeight="1">
      <c r="A44" s="780" t="s">
        <v>348</v>
      </c>
      <c r="B44" s="215" t="s">
        <v>428</v>
      </c>
      <c r="C44" s="238">
        <f ca="1">ROUND(IF('数据-取费表'!B22&lt;=1,C40*F22*'数据-取费表'!B21/2,C40*(POWER((1+F22),'数据-取费表'!B21/2)-1)),4)</f>
        <v>6.9999999999999999E-4</v>
      </c>
      <c r="D44" s="238"/>
      <c r="E44" s="238"/>
      <c r="F44" s="239"/>
      <c r="G44" s="3899"/>
    </row>
    <row r="45" spans="1:7" s="214" customFormat="1" ht="13.5" customHeight="1">
      <c r="A45" s="777" t="s">
        <v>341</v>
      </c>
      <c r="B45" s="244" t="s">
        <v>85</v>
      </c>
      <c r="C45" s="245">
        <f>C46</f>
        <v>257</v>
      </c>
      <c r="D45" s="235">
        <f>C47</f>
        <v>5.4000000000000003E-3</v>
      </c>
      <c r="E45" s="236" t="s">
        <v>102</v>
      </c>
      <c r="F45" s="246"/>
      <c r="G45" s="247" t="s">
        <v>434</v>
      </c>
    </row>
    <row r="46" spans="1:7" s="214" customFormat="1" ht="13.5" customHeight="1">
      <c r="A46" s="780" t="s">
        <v>349</v>
      </c>
      <c r="B46" s="248" t="s">
        <v>427</v>
      </c>
      <c r="C46" s="249">
        <f>ROUND((C33+C39)*F27,0)</f>
        <v>257</v>
      </c>
      <c r="D46" s="263"/>
      <c r="E46" s="236"/>
      <c r="F46" s="246"/>
      <c r="G46" s="247"/>
    </row>
    <row r="47" spans="1:7" s="214" customFormat="1" ht="13.5" customHeight="1">
      <c r="A47" s="780" t="s">
        <v>347</v>
      </c>
      <c r="B47" s="248" t="s">
        <v>429</v>
      </c>
      <c r="C47" s="238">
        <f>ROUND(C40*F27,4)</f>
        <v>5.4000000000000003E-3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1347</v>
      </c>
      <c r="D49" s="232"/>
      <c r="E49" s="232"/>
      <c r="F49" s="264"/>
      <c r="G49" s="234" t="s">
        <v>435</v>
      </c>
    </row>
    <row r="50" spans="1:7" s="258" customFormat="1" ht="24">
      <c r="A50" s="777" t="s">
        <v>344</v>
      </c>
      <c r="B50" s="210" t="s">
        <v>97</v>
      </c>
      <c r="C50" s="232"/>
      <c r="D50" s="232"/>
      <c r="E50" s="232"/>
      <c r="F50" s="264">
        <f>IF('数据-取费表'!B24=0,'数据-取费表'!N16,1)</f>
        <v>0.7</v>
      </c>
      <c r="G50" s="247" t="s">
        <v>98</v>
      </c>
    </row>
    <row r="51" spans="1:7" ht="16.5" customHeight="1">
      <c r="A51" s="777" t="s">
        <v>345</v>
      </c>
      <c r="B51" s="210" t="s">
        <v>105</v>
      </c>
      <c r="C51" s="232">
        <f ca="1">ROUND(C49*F50,0)</f>
        <v>943</v>
      </c>
      <c r="D51" s="232"/>
      <c r="E51" s="232"/>
      <c r="F51" s="264"/>
      <c r="G51" s="234" t="s">
        <v>37</v>
      </c>
    </row>
    <row r="52" spans="1:7" s="208" customFormat="1" ht="16.8" thickBot="1">
      <c r="A52" s="265" t="s">
        <v>38</v>
      </c>
      <c r="B52" s="266"/>
      <c r="C52" s="267">
        <f ca="1">C31+C51</f>
        <v>31532</v>
      </c>
      <c r="D52" s="266"/>
      <c r="E52" s="266"/>
      <c r="F52" s="266"/>
      <c r="G52" s="268"/>
    </row>
    <row r="55" spans="1:7" ht="15">
      <c r="B55" s="270" t="s">
        <v>39</v>
      </c>
      <c r="C55" s="271"/>
    </row>
    <row r="56" spans="1:7">
      <c r="B56" s="273" t="s">
        <v>40</v>
      </c>
      <c r="C56" s="274">
        <f ca="1">ROUND(C51/C52,3)</f>
        <v>0.03</v>
      </c>
    </row>
    <row r="57" spans="1:7">
      <c r="B57" s="273" t="s">
        <v>41</v>
      </c>
      <c r="C57" s="275">
        <f ca="1">1-C56</f>
        <v>0.97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8671875" defaultRowHeight="10.8"/>
  <cols>
    <col min="1" max="1" width="9.6640625" style="3226" customWidth="1"/>
    <col min="2" max="2" width="18.6640625" style="3226" customWidth="1"/>
    <col min="3" max="6" width="10.21875" style="3226" customWidth="1"/>
    <col min="7" max="7" width="10.44140625" style="3226" bestFit="1" customWidth="1"/>
    <col min="8" max="8" width="8.88671875" style="3222"/>
    <col min="9" max="9" width="13.33203125" style="3222" customWidth="1"/>
    <col min="10" max="13" width="13.33203125" style="3226" customWidth="1"/>
    <col min="14" max="14" width="18.21875" style="3226" customWidth="1"/>
    <col min="15" max="17" width="15.109375" style="3226" customWidth="1"/>
    <col min="18" max="20" width="11.44140625" style="3226" customWidth="1"/>
    <col min="21" max="16384" width="8.88671875" style="3226"/>
  </cols>
  <sheetData>
    <row r="1" spans="1:20" ht="11.4" thickBot="1">
      <c r="A1" s="3991" t="s">
        <v>2843</v>
      </c>
      <c r="B1" s="3991"/>
      <c r="C1" s="3991"/>
      <c r="D1" s="3991"/>
      <c r="E1" s="3991"/>
      <c r="F1" s="3991"/>
      <c r="G1" s="3992"/>
      <c r="I1" s="3223" t="s">
        <v>2844</v>
      </c>
      <c r="J1" s="3224" t="s">
        <v>2845</v>
      </c>
      <c r="K1" s="3224" t="s">
        <v>2846</v>
      </c>
      <c r="L1" s="3224" t="s">
        <v>2847</v>
      </c>
      <c r="M1" s="3224" t="s">
        <v>2848</v>
      </c>
      <c r="N1" s="3224" t="s">
        <v>2849</v>
      </c>
      <c r="O1" s="3224" t="s">
        <v>2850</v>
      </c>
      <c r="P1" s="3224" t="s">
        <v>2851</v>
      </c>
      <c r="Q1" s="3224" t="s">
        <v>2852</v>
      </c>
      <c r="R1" s="3224" t="s">
        <v>2853</v>
      </c>
      <c r="S1" s="3224" t="s">
        <v>2854</v>
      </c>
      <c r="T1" s="3225" t="s">
        <v>2855</v>
      </c>
    </row>
    <row r="2" spans="1:20" ht="11.4" thickBot="1">
      <c r="A2" s="3227" t="s">
        <v>2856</v>
      </c>
      <c r="B2" s="3227"/>
      <c r="C2" s="3227"/>
      <c r="D2" s="3227"/>
      <c r="E2" s="3227"/>
      <c r="F2" s="3227"/>
      <c r="G2" s="3228" t="s">
        <v>2857</v>
      </c>
      <c r="I2" s="3229" t="s">
        <v>2858</v>
      </c>
      <c r="J2" s="3229" t="s">
        <v>2859</v>
      </c>
      <c r="K2" s="3229" t="s">
        <v>2860</v>
      </c>
      <c r="L2" s="3229" t="s">
        <v>2861</v>
      </c>
      <c r="M2" s="3229" t="s">
        <v>2862</v>
      </c>
      <c r="N2" s="3229" t="s">
        <v>2863</v>
      </c>
      <c r="O2" s="3229" t="s">
        <v>2864</v>
      </c>
      <c r="P2" s="3229" t="s">
        <v>2865</v>
      </c>
      <c r="Q2" s="3229" t="s">
        <v>2866</v>
      </c>
      <c r="R2" s="3229" t="s">
        <v>2867</v>
      </c>
      <c r="S2" s="3229" t="s">
        <v>2868</v>
      </c>
      <c r="T2" s="3229" t="s">
        <v>2869</v>
      </c>
    </row>
    <row r="3" spans="1:20" s="3235" customFormat="1">
      <c r="A3" s="3989" t="s">
        <v>2870</v>
      </c>
      <c r="B3" s="3230"/>
      <c r="C3" s="3231" t="s">
        <v>2815</v>
      </c>
      <c r="D3" s="3231" t="s">
        <v>2871</v>
      </c>
      <c r="E3" s="3231" t="s">
        <v>2817</v>
      </c>
      <c r="F3" s="3231" t="s">
        <v>2872</v>
      </c>
      <c r="G3" s="3231" t="s">
        <v>2635</v>
      </c>
      <c r="H3" s="3232"/>
      <c r="I3" s="3233" t="s">
        <v>2873</v>
      </c>
      <c r="J3" s="3234" t="s">
        <v>128</v>
      </c>
      <c r="K3" s="3234" t="s">
        <v>129</v>
      </c>
      <c r="L3" s="3233" t="s">
        <v>130</v>
      </c>
      <c r="M3" s="3233" t="s">
        <v>131</v>
      </c>
      <c r="N3" s="3233" t="s">
        <v>132</v>
      </c>
      <c r="O3" s="3233" t="s">
        <v>133</v>
      </c>
      <c r="P3" s="3233" t="s">
        <v>134</v>
      </c>
      <c r="Q3" s="3233" t="s">
        <v>135</v>
      </c>
      <c r="R3" s="3233" t="s">
        <v>136</v>
      </c>
      <c r="S3" s="3233" t="s">
        <v>2874</v>
      </c>
      <c r="T3" s="3233" t="s">
        <v>2875</v>
      </c>
    </row>
    <row r="4" spans="1:20" s="3235" customFormat="1" ht="11.4" thickBot="1">
      <c r="A4" s="3990"/>
      <c r="B4" s="3236" t="s">
        <v>2876</v>
      </c>
      <c r="C4" s="3236" t="s">
        <v>2877</v>
      </c>
      <c r="D4" s="3236" t="s">
        <v>2877</v>
      </c>
      <c r="E4" s="3236" t="s">
        <v>2877</v>
      </c>
      <c r="F4" s="3237" t="s">
        <v>2877</v>
      </c>
      <c r="G4" s="3237" t="s">
        <v>2877</v>
      </c>
      <c r="H4" s="3232"/>
      <c r="I4" s="3234" t="s">
        <v>137</v>
      </c>
      <c r="J4" s="3234" t="s">
        <v>111</v>
      </c>
      <c r="K4" s="3234" t="s">
        <v>138</v>
      </c>
      <c r="L4" s="3233" t="s">
        <v>139</v>
      </c>
      <c r="M4" s="3233" t="s">
        <v>140</v>
      </c>
      <c r="N4" s="3233" t="s">
        <v>141</v>
      </c>
      <c r="O4" s="3233" t="s">
        <v>142</v>
      </c>
      <c r="P4" s="3233" t="s">
        <v>143</v>
      </c>
      <c r="Q4" s="3233" t="s">
        <v>2878</v>
      </c>
      <c r="R4" s="3233" t="s">
        <v>2879</v>
      </c>
      <c r="S4" s="3233" t="s">
        <v>2880</v>
      </c>
      <c r="T4" s="3233" t="s">
        <v>2881</v>
      </c>
    </row>
    <row r="5" spans="1:20">
      <c r="A5" s="3238" t="s">
        <v>2844</v>
      </c>
      <c r="B5" s="3229" t="s">
        <v>2858</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2882</v>
      </c>
      <c r="R5" s="3233" t="s">
        <v>2883</v>
      </c>
      <c r="S5" s="3233" t="s">
        <v>153</v>
      </c>
      <c r="T5" s="3233" t="s">
        <v>2884</v>
      </c>
    </row>
    <row r="6" spans="1:20" ht="11.4" thickBot="1">
      <c r="A6" s="3233" t="s">
        <v>144</v>
      </c>
      <c r="B6" s="3233" t="s">
        <v>2873</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2885</v>
      </c>
      <c r="Q6" s="3233" t="s">
        <v>2886</v>
      </c>
      <c r="R6" s="3233" t="s">
        <v>161</v>
      </c>
      <c r="S6" s="3233" t="s">
        <v>2887</v>
      </c>
      <c r="T6" s="3233" t="s">
        <v>2888</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2889</v>
      </c>
      <c r="Q7" s="3233" t="s">
        <v>2890</v>
      </c>
      <c r="R7" s="3233" t="s">
        <v>2891</v>
      </c>
      <c r="S7" s="3233" t="s">
        <v>2892</v>
      </c>
      <c r="T7" s="3233" t="s">
        <v>2893</v>
      </c>
    </row>
    <row r="8" spans="1:20" ht="11.4"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2894</v>
      </c>
      <c r="Q8" s="3233" t="s">
        <v>174</v>
      </c>
      <c r="R8" s="3233" t="s">
        <v>2895</v>
      </c>
      <c r="S8" s="3233" t="s">
        <v>2896</v>
      </c>
      <c r="T8" s="3240" t="s">
        <v>2897</v>
      </c>
    </row>
    <row r="9" spans="1:20" ht="11.4"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2898</v>
      </c>
      <c r="Q9" s="3233" t="s">
        <v>182</v>
      </c>
      <c r="R9" s="3233" t="s">
        <v>183</v>
      </c>
      <c r="S9" s="3233" t="s">
        <v>200</v>
      </c>
    </row>
    <row r="10" spans="1:20">
      <c r="A10" s="3238" t="s">
        <v>184</v>
      </c>
      <c r="B10" s="3229" t="s">
        <v>2859</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2899</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2900</v>
      </c>
      <c r="P11" s="3233" t="s">
        <v>191</v>
      </c>
      <c r="Q11" s="3233" t="s">
        <v>199</v>
      </c>
      <c r="R11" s="3233" t="s">
        <v>2901</v>
      </c>
      <c r="S11" s="3233" t="s">
        <v>2902</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2903</v>
      </c>
      <c r="P12" s="3233" t="s">
        <v>2904</v>
      </c>
      <c r="Q12" s="3233" t="s">
        <v>2905</v>
      </c>
      <c r="R12" s="3233" t="s">
        <v>2906</v>
      </c>
      <c r="S12" s="3233" t="s">
        <v>2907</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2908</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2909</v>
      </c>
      <c r="K14" s="3234" t="s">
        <v>215</v>
      </c>
      <c r="L14" s="3233" t="s">
        <v>216</v>
      </c>
      <c r="M14" s="3233" t="s">
        <v>217</v>
      </c>
      <c r="N14" s="3233" t="s">
        <v>218</v>
      </c>
      <c r="O14" s="3233" t="s">
        <v>240</v>
      </c>
      <c r="P14" s="3233" t="s">
        <v>213</v>
      </c>
      <c r="Q14" s="3233" t="s">
        <v>2910</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2911</v>
      </c>
      <c r="P15" s="3233" t="s">
        <v>2912</v>
      </c>
      <c r="Q15" s="3233" t="s">
        <v>242</v>
      </c>
      <c r="R15" s="3233" t="s">
        <v>2913</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2914</v>
      </c>
      <c r="P16" s="3233" t="s">
        <v>227</v>
      </c>
      <c r="Q16" s="3233" t="s">
        <v>250</v>
      </c>
      <c r="R16" s="3233" t="s">
        <v>207</v>
      </c>
      <c r="S16" s="3233" t="s">
        <v>2915</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2916</v>
      </c>
      <c r="P17" s="3233" t="s">
        <v>2917</v>
      </c>
      <c r="Q17" s="3233" t="s">
        <v>256</v>
      </c>
      <c r="R17" s="3233" t="s">
        <v>2918</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2919</v>
      </c>
      <c r="P18" s="3233" t="s">
        <v>241</v>
      </c>
      <c r="Q18" s="3233" t="s">
        <v>2920</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2921</v>
      </c>
      <c r="P19" s="3233" t="s">
        <v>249</v>
      </c>
      <c r="Q19" s="3233" t="s">
        <v>2922</v>
      </c>
      <c r="R19" s="3233" t="s">
        <v>265</v>
      </c>
      <c r="S19" s="3233" t="s">
        <v>2923</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2924</v>
      </c>
      <c r="P20" s="3233" t="s">
        <v>2925</v>
      </c>
      <c r="Q20" s="3233" t="s">
        <v>290</v>
      </c>
      <c r="R20" s="3233" t="s">
        <v>2926</v>
      </c>
      <c r="S20" s="3233" t="s">
        <v>277</v>
      </c>
    </row>
    <row r="21" spans="1:19" ht="14.25" customHeight="1" thickBot="1">
      <c r="A21" s="3233" t="s">
        <v>184</v>
      </c>
      <c r="B21" s="3234" t="s">
        <v>208</v>
      </c>
      <c r="C21" s="3233">
        <v>32370</v>
      </c>
      <c r="D21" s="3233">
        <v>26730</v>
      </c>
      <c r="E21" s="3233">
        <v>26640</v>
      </c>
      <c r="F21" s="3233"/>
      <c r="G21" s="3233">
        <v>19440</v>
      </c>
      <c r="J21" s="3240" t="s">
        <v>2927</v>
      </c>
      <c r="K21" s="3234" t="s">
        <v>267</v>
      </c>
      <c r="L21" s="3233" t="s">
        <v>268</v>
      </c>
      <c r="M21" s="3233" t="s">
        <v>269</v>
      </c>
      <c r="N21" s="3233" t="s">
        <v>270</v>
      </c>
      <c r="O21" s="3233" t="s">
        <v>264</v>
      </c>
      <c r="P21" s="3233" t="s">
        <v>283</v>
      </c>
      <c r="Q21" s="3233" t="s">
        <v>293</v>
      </c>
      <c r="R21" s="3233" t="s">
        <v>2928</v>
      </c>
      <c r="S21" s="3240" t="s">
        <v>2929</v>
      </c>
    </row>
    <row r="22" spans="1:19" ht="14.25" customHeight="1">
      <c r="A22" s="3233" t="s">
        <v>184</v>
      </c>
      <c r="B22" s="3234" t="s">
        <v>2909</v>
      </c>
      <c r="C22" s="3233">
        <v>29830</v>
      </c>
      <c r="D22" s="3233">
        <v>27600</v>
      </c>
      <c r="E22" s="3233">
        <v>28150</v>
      </c>
      <c r="F22" s="3233"/>
      <c r="G22" s="3233">
        <v>20080</v>
      </c>
      <c r="K22" s="3234" t="s">
        <v>2930</v>
      </c>
      <c r="L22" s="3233" t="s">
        <v>272</v>
      </c>
      <c r="M22" s="3233" t="s">
        <v>273</v>
      </c>
      <c r="N22" s="3233" t="s">
        <v>274</v>
      </c>
      <c r="O22" s="3233" t="s">
        <v>2931</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2932</v>
      </c>
      <c r="L23" s="3233" t="s">
        <v>278</v>
      </c>
      <c r="M23" s="3233" t="s">
        <v>279</v>
      </c>
      <c r="N23" s="3233" t="s">
        <v>2933</v>
      </c>
      <c r="O23" s="3233" t="s">
        <v>2934</v>
      </c>
      <c r="P23" s="3233" t="s">
        <v>289</v>
      </c>
      <c r="Q23" s="3233" t="s">
        <v>298</v>
      </c>
      <c r="R23" s="3233" t="s">
        <v>2935</v>
      </c>
    </row>
    <row r="24" spans="1:19" ht="14.25" customHeight="1">
      <c r="A24" s="3233" t="s">
        <v>184</v>
      </c>
      <c r="B24" s="3234" t="s">
        <v>230</v>
      </c>
      <c r="C24" s="3233">
        <v>27930</v>
      </c>
      <c r="D24" s="3233">
        <v>32260</v>
      </c>
      <c r="E24" s="3233">
        <v>32120</v>
      </c>
      <c r="F24" s="3233"/>
      <c r="G24" s="3233">
        <v>23470</v>
      </c>
      <c r="K24" s="3234" t="s">
        <v>2936</v>
      </c>
      <c r="L24" s="3233" t="s">
        <v>281</v>
      </c>
      <c r="M24" s="3233" t="s">
        <v>282</v>
      </c>
      <c r="N24" s="3233" t="s">
        <v>2937</v>
      </c>
      <c r="O24" s="3233" t="s">
        <v>285</v>
      </c>
      <c r="P24" s="3233" t="s">
        <v>2938</v>
      </c>
      <c r="Q24" s="3242" t="s">
        <v>2939</v>
      </c>
      <c r="R24" s="3233" t="s">
        <v>2940</v>
      </c>
    </row>
    <row r="25" spans="1:19" ht="14.25" customHeight="1">
      <c r="A25" s="3233" t="s">
        <v>184</v>
      </c>
      <c r="B25" s="3234" t="s">
        <v>235</v>
      </c>
      <c r="C25" s="3233">
        <v>32230</v>
      </c>
      <c r="D25" s="3233">
        <v>29640</v>
      </c>
      <c r="E25" s="3233">
        <v>29510</v>
      </c>
      <c r="F25" s="3233"/>
      <c r="G25" s="3233">
        <v>21560</v>
      </c>
      <c r="K25" s="3234" t="s">
        <v>2941</v>
      </c>
      <c r="L25" s="3233" t="s">
        <v>2942</v>
      </c>
      <c r="M25" s="3233" t="s">
        <v>284</v>
      </c>
      <c r="N25" s="3233" t="s">
        <v>292</v>
      </c>
      <c r="O25" s="3233" t="s">
        <v>288</v>
      </c>
      <c r="P25" s="3233" t="s">
        <v>275</v>
      </c>
      <c r="Q25" s="3242" t="s">
        <v>271</v>
      </c>
      <c r="R25" s="3233" t="s">
        <v>2943</v>
      </c>
    </row>
    <row r="26" spans="1:19" ht="14.25" customHeight="1" thickBot="1">
      <c r="A26" s="3233" t="s">
        <v>184</v>
      </c>
      <c r="B26" s="3234" t="s">
        <v>244</v>
      </c>
      <c r="C26" s="3233">
        <v>31690</v>
      </c>
      <c r="D26" s="3233">
        <v>27650</v>
      </c>
      <c r="E26" s="3233">
        <v>28200</v>
      </c>
      <c r="F26" s="3233"/>
      <c r="G26" s="3233">
        <v>20110</v>
      </c>
      <c r="K26" s="3239" t="s">
        <v>2944</v>
      </c>
      <c r="L26" s="3233" t="s">
        <v>2945</v>
      </c>
      <c r="M26" s="3233" t="s">
        <v>287</v>
      </c>
      <c r="N26" s="3233" t="s">
        <v>294</v>
      </c>
      <c r="O26" s="3233" t="s">
        <v>2946</v>
      </c>
      <c r="P26" s="3233" t="s">
        <v>2947</v>
      </c>
      <c r="Q26" s="3242" t="s">
        <v>276</v>
      </c>
      <c r="R26" s="3233" t="s">
        <v>2948</v>
      </c>
    </row>
    <row r="27" spans="1:19" ht="14.25" customHeight="1">
      <c r="A27" s="3233" t="s">
        <v>184</v>
      </c>
      <c r="B27" s="3234" t="s">
        <v>251</v>
      </c>
      <c r="C27" s="3233">
        <v>29610</v>
      </c>
      <c r="D27" s="3233">
        <v>27770</v>
      </c>
      <c r="E27" s="3233">
        <v>28300</v>
      </c>
      <c r="F27" s="3233"/>
      <c r="G27" s="3233">
        <v>20210</v>
      </c>
      <c r="L27" s="3233" t="s">
        <v>2949</v>
      </c>
      <c r="M27" s="3233" t="s">
        <v>291</v>
      </c>
      <c r="N27" s="3233" t="s">
        <v>297</v>
      </c>
      <c r="O27" s="3233" t="s">
        <v>2950</v>
      </c>
      <c r="P27" s="3233" t="s">
        <v>2951</v>
      </c>
      <c r="Q27" s="3233" t="s">
        <v>2952</v>
      </c>
      <c r="R27" s="3233" t="s">
        <v>2953</v>
      </c>
    </row>
    <row r="28" spans="1:19" ht="14.25" customHeight="1">
      <c r="A28" s="3233" t="s">
        <v>184</v>
      </c>
      <c r="B28" s="3234" t="s">
        <v>259</v>
      </c>
      <c r="C28" s="3233"/>
      <c r="D28" s="3233">
        <v>31520</v>
      </c>
      <c r="E28" s="3233">
        <v>31410</v>
      </c>
      <c r="F28" s="3233"/>
      <c r="G28" s="3233">
        <v>22940</v>
      </c>
      <c r="L28" s="3233" t="s">
        <v>2954</v>
      </c>
      <c r="M28" s="3233" t="s">
        <v>2955</v>
      </c>
      <c r="N28" s="3233" t="s">
        <v>2956</v>
      </c>
      <c r="O28" s="3233" t="s">
        <v>2957</v>
      </c>
      <c r="P28" s="3233" t="s">
        <v>2958</v>
      </c>
      <c r="Q28" s="3233" t="s">
        <v>2959</v>
      </c>
      <c r="R28" s="3233" t="s">
        <v>2960</v>
      </c>
    </row>
    <row r="29" spans="1:19" ht="14.25" customHeight="1" thickBot="1">
      <c r="A29" s="3241" t="s">
        <v>184</v>
      </c>
      <c r="B29" s="3243" t="s">
        <v>2927</v>
      </c>
      <c r="C29" s="3244"/>
      <c r="D29" s="3244">
        <v>29460</v>
      </c>
      <c r="E29" s="3244">
        <v>28640</v>
      </c>
      <c r="F29" s="3244"/>
      <c r="G29" s="3244">
        <v>21430</v>
      </c>
      <c r="L29" s="3233" t="s">
        <v>2961</v>
      </c>
      <c r="M29" s="3233" t="s">
        <v>2962</v>
      </c>
      <c r="N29" s="3233" t="s">
        <v>2963</v>
      </c>
      <c r="O29" s="3233" t="s">
        <v>2964</v>
      </c>
      <c r="P29" s="3233" t="s">
        <v>2965</v>
      </c>
      <c r="Q29" s="3233" t="s">
        <v>2966</v>
      </c>
      <c r="R29" s="3233" t="s">
        <v>280</v>
      </c>
    </row>
    <row r="30" spans="1:19" ht="14.25" customHeight="1">
      <c r="A30" s="3238" t="s">
        <v>296</v>
      </c>
      <c r="B30" s="3229" t="s">
        <v>2860</v>
      </c>
      <c r="C30" s="3229">
        <v>26890</v>
      </c>
      <c r="D30" s="3229">
        <v>26770</v>
      </c>
      <c r="E30" s="3229">
        <v>25700</v>
      </c>
      <c r="F30" s="3229">
        <v>8180</v>
      </c>
      <c r="G30" s="3245">
        <v>18740</v>
      </c>
      <c r="L30" s="3233" t="s">
        <v>2967</v>
      </c>
      <c r="M30" s="3233" t="s">
        <v>2968</v>
      </c>
      <c r="N30" s="3233" t="s">
        <v>2969</v>
      </c>
      <c r="O30" s="3233" t="s">
        <v>2970</v>
      </c>
      <c r="P30" s="3233" t="s">
        <v>2971</v>
      </c>
      <c r="Q30" s="3233" t="s">
        <v>2972</v>
      </c>
      <c r="R30" s="3233" t="s">
        <v>2973</v>
      </c>
    </row>
    <row r="31" spans="1:19" ht="14.25" customHeight="1">
      <c r="A31" s="3233" t="s">
        <v>296</v>
      </c>
      <c r="B31" s="3234" t="s">
        <v>129</v>
      </c>
      <c r="C31" s="3233">
        <v>24550</v>
      </c>
      <c r="D31" s="3233">
        <v>23990</v>
      </c>
      <c r="E31" s="3233">
        <v>22930</v>
      </c>
      <c r="F31" s="3233">
        <v>7470</v>
      </c>
      <c r="G31" s="3246">
        <v>16790</v>
      </c>
      <c r="L31" s="3233" t="s">
        <v>2974</v>
      </c>
      <c r="M31" s="3233" t="s">
        <v>2975</v>
      </c>
      <c r="N31" s="3233" t="s">
        <v>2976</v>
      </c>
      <c r="O31" s="3233" t="s">
        <v>2977</v>
      </c>
      <c r="P31" s="3233" t="s">
        <v>2978</v>
      </c>
      <c r="Q31" s="3233" t="s">
        <v>2979</v>
      </c>
      <c r="R31" s="3233" t="s">
        <v>2980</v>
      </c>
    </row>
    <row r="32" spans="1:19" ht="14.25" customHeight="1" thickBot="1">
      <c r="A32" s="3233" t="s">
        <v>296</v>
      </c>
      <c r="B32" s="3234" t="s">
        <v>138</v>
      </c>
      <c r="C32" s="3233">
        <v>27210</v>
      </c>
      <c r="D32" s="3233">
        <v>23240</v>
      </c>
      <c r="E32" s="3233">
        <v>23260</v>
      </c>
      <c r="F32" s="3233">
        <v>7130</v>
      </c>
      <c r="G32" s="3246">
        <v>16270</v>
      </c>
      <c r="L32" s="3233" t="s">
        <v>2981</v>
      </c>
      <c r="M32" s="3233" t="s">
        <v>2982</v>
      </c>
      <c r="N32" s="3233" t="s">
        <v>300</v>
      </c>
      <c r="O32" s="3233" t="s">
        <v>2983</v>
      </c>
      <c r="P32" s="3233" t="s">
        <v>299</v>
      </c>
      <c r="Q32" s="3233" t="s">
        <v>2984</v>
      </c>
      <c r="R32" s="3240" t="s">
        <v>2985</v>
      </c>
    </row>
    <row r="33" spans="1:17" ht="14.25" customHeight="1" thickBot="1">
      <c r="A33" s="3233" t="s">
        <v>296</v>
      </c>
      <c r="B33" s="3234" t="s">
        <v>147</v>
      </c>
      <c r="C33" s="3233">
        <v>27300</v>
      </c>
      <c r="D33" s="3233">
        <v>22980</v>
      </c>
      <c r="E33" s="3233">
        <v>24260</v>
      </c>
      <c r="F33" s="3233">
        <v>5860</v>
      </c>
      <c r="G33" s="3246">
        <v>16090</v>
      </c>
      <c r="L33" s="3240" t="s">
        <v>2986</v>
      </c>
      <c r="M33" s="3233" t="s">
        <v>2987</v>
      </c>
      <c r="N33" s="3233" t="s">
        <v>301</v>
      </c>
      <c r="O33" s="3233" t="s">
        <v>2988</v>
      </c>
      <c r="P33" s="3233" t="s">
        <v>2989</v>
      </c>
      <c r="Q33" s="3233" t="s">
        <v>2990</v>
      </c>
    </row>
    <row r="34" spans="1:17" ht="14.25" customHeight="1">
      <c r="A34" s="3233" t="s">
        <v>296</v>
      </c>
      <c r="B34" s="3234" t="s">
        <v>156</v>
      </c>
      <c r="C34" s="3233">
        <v>23090</v>
      </c>
      <c r="D34" s="3233">
        <v>23390</v>
      </c>
      <c r="E34" s="3233">
        <v>23510</v>
      </c>
      <c r="F34" s="3233">
        <v>6700</v>
      </c>
      <c r="G34" s="3246">
        <v>16370</v>
      </c>
      <c r="M34" s="3233" t="s">
        <v>2991</v>
      </c>
      <c r="N34" s="3233" t="s">
        <v>302</v>
      </c>
      <c r="O34" s="3233" t="s">
        <v>2992</v>
      </c>
      <c r="P34" s="3233" t="s">
        <v>2993</v>
      </c>
      <c r="Q34" s="3233" t="s">
        <v>2994</v>
      </c>
    </row>
    <row r="35" spans="1:17" ht="14.25" customHeight="1">
      <c r="A35" s="3233" t="s">
        <v>296</v>
      </c>
      <c r="B35" s="3234" t="s">
        <v>163</v>
      </c>
      <c r="C35" s="3233">
        <v>27270</v>
      </c>
      <c r="D35" s="3233">
        <v>24270</v>
      </c>
      <c r="E35" s="3233">
        <v>24950</v>
      </c>
      <c r="F35" s="3233">
        <v>6600</v>
      </c>
      <c r="G35" s="3246">
        <v>16990</v>
      </c>
      <c r="M35" s="3233" t="s">
        <v>2995</v>
      </c>
      <c r="N35" s="3233" t="s">
        <v>2996</v>
      </c>
      <c r="O35" s="3233" t="s">
        <v>2997</v>
      </c>
      <c r="P35" s="3233" t="s">
        <v>2998</v>
      </c>
      <c r="Q35" s="3233" t="s">
        <v>2999</v>
      </c>
    </row>
    <row r="36" spans="1:17" ht="14.25" customHeight="1">
      <c r="A36" s="3233" t="s">
        <v>296</v>
      </c>
      <c r="B36" s="3234" t="s">
        <v>169</v>
      </c>
      <c r="C36" s="3233">
        <v>23490</v>
      </c>
      <c r="D36" s="3233">
        <v>23020</v>
      </c>
      <c r="E36" s="3233">
        <v>25230</v>
      </c>
      <c r="F36" s="3233">
        <v>6780</v>
      </c>
      <c r="G36" s="3246">
        <v>16120</v>
      </c>
      <c r="M36" s="3233" t="s">
        <v>3000</v>
      </c>
      <c r="N36" s="3233" t="s">
        <v>3001</v>
      </c>
      <c r="O36" s="3233" t="s">
        <v>3002</v>
      </c>
      <c r="P36" s="3233" t="s">
        <v>3003</v>
      </c>
      <c r="Q36" s="3233" t="s">
        <v>3004</v>
      </c>
    </row>
    <row r="37" spans="1:17" ht="14.25" customHeight="1">
      <c r="A37" s="3233" t="s">
        <v>296</v>
      </c>
      <c r="B37" s="3234" t="s">
        <v>176</v>
      </c>
      <c r="C37" s="3233">
        <v>24380</v>
      </c>
      <c r="D37" s="3233">
        <v>22240</v>
      </c>
      <c r="E37" s="3233">
        <v>25980</v>
      </c>
      <c r="F37" s="3233">
        <v>8160</v>
      </c>
      <c r="G37" s="3246">
        <v>15570</v>
      </c>
      <c r="M37" s="3233" t="s">
        <v>3005</v>
      </c>
      <c r="N37" s="3233" t="s">
        <v>3006</v>
      </c>
      <c r="O37" s="3233" t="s">
        <v>3007</v>
      </c>
      <c r="P37" s="3233" t="s">
        <v>3008</v>
      </c>
      <c r="Q37" s="3233" t="s">
        <v>3009</v>
      </c>
    </row>
    <row r="38" spans="1:17" ht="14.25" customHeight="1">
      <c r="A38" s="3233" t="s">
        <v>296</v>
      </c>
      <c r="B38" s="3234" t="s">
        <v>186</v>
      </c>
      <c r="C38" s="3233">
        <v>23120</v>
      </c>
      <c r="D38" s="3233">
        <v>24630</v>
      </c>
      <c r="E38" s="3233">
        <v>25030</v>
      </c>
      <c r="F38" s="3233">
        <v>7710</v>
      </c>
      <c r="G38" s="3246">
        <v>17240</v>
      </c>
      <c r="M38" s="3233" t="s">
        <v>3010</v>
      </c>
      <c r="N38" s="3233" t="s">
        <v>3011</v>
      </c>
      <c r="O38" s="3233" t="s">
        <v>3012</v>
      </c>
      <c r="P38" s="3233" t="s">
        <v>3013</v>
      </c>
      <c r="Q38" s="3233" t="s">
        <v>3014</v>
      </c>
    </row>
    <row r="39" spans="1:17" ht="14.25" customHeight="1">
      <c r="A39" s="3233" t="s">
        <v>296</v>
      </c>
      <c r="B39" s="3234" t="s">
        <v>195</v>
      </c>
      <c r="C39" s="3233">
        <v>22330</v>
      </c>
      <c r="D39" s="3233">
        <v>21140</v>
      </c>
      <c r="E39" s="3233">
        <v>23970</v>
      </c>
      <c r="F39" s="3233">
        <v>7940</v>
      </c>
      <c r="G39" s="3246">
        <v>14790</v>
      </c>
      <c r="M39" s="3233" t="s">
        <v>3015</v>
      </c>
      <c r="N39" s="3233" t="s">
        <v>3016</v>
      </c>
      <c r="O39" s="3233" t="s">
        <v>3017</v>
      </c>
      <c r="P39" s="3233" t="s">
        <v>3018</v>
      </c>
      <c r="Q39" s="3233" t="s">
        <v>3019</v>
      </c>
    </row>
    <row r="40" spans="1:17" ht="14.25" customHeight="1">
      <c r="A40" s="3233" t="s">
        <v>296</v>
      </c>
      <c r="B40" s="3234" t="s">
        <v>202</v>
      </c>
      <c r="C40" s="3233">
        <v>24740</v>
      </c>
      <c r="D40" s="3233">
        <v>24690</v>
      </c>
      <c r="E40" s="3233">
        <v>22610</v>
      </c>
      <c r="F40" s="3233"/>
      <c r="G40" s="3246">
        <v>17280</v>
      </c>
      <c r="M40" s="3233" t="s">
        <v>3020</v>
      </c>
      <c r="N40" s="3233" t="s">
        <v>3021</v>
      </c>
      <c r="O40" s="3233" t="s">
        <v>3022</v>
      </c>
      <c r="P40" s="3233" t="s">
        <v>3023</v>
      </c>
      <c r="Q40" s="3233" t="s">
        <v>3024</v>
      </c>
    </row>
    <row r="41" spans="1:17" ht="14.25" customHeight="1" thickBot="1">
      <c r="A41" s="3233" t="s">
        <v>296</v>
      </c>
      <c r="B41" s="3234" t="s">
        <v>209</v>
      </c>
      <c r="C41" s="3233">
        <v>21220</v>
      </c>
      <c r="D41" s="3233">
        <v>21120</v>
      </c>
      <c r="E41" s="3233">
        <v>22590</v>
      </c>
      <c r="F41" s="3233"/>
      <c r="G41" s="3246">
        <v>14780</v>
      </c>
      <c r="M41" s="3240" t="s">
        <v>3025</v>
      </c>
      <c r="N41" s="3233" t="s">
        <v>3026</v>
      </c>
      <c r="O41" s="3233" t="s">
        <v>3027</v>
      </c>
      <c r="P41" s="3233" t="s">
        <v>3028</v>
      </c>
      <c r="Q41" s="3233" t="s">
        <v>3029</v>
      </c>
    </row>
    <row r="42" spans="1:17" ht="14.25" customHeight="1">
      <c r="A42" s="3233" t="s">
        <v>296</v>
      </c>
      <c r="B42" s="3234" t="s">
        <v>215</v>
      </c>
      <c r="C42" s="3233">
        <v>24800</v>
      </c>
      <c r="D42" s="3233">
        <v>22280</v>
      </c>
      <c r="E42" s="3233">
        <v>24350</v>
      </c>
      <c r="F42" s="3233"/>
      <c r="G42" s="3246">
        <v>15590</v>
      </c>
      <c r="N42" s="3233" t="s">
        <v>3030</v>
      </c>
      <c r="O42" s="3233" t="s">
        <v>3031</v>
      </c>
      <c r="P42" s="3233" t="s">
        <v>3032</v>
      </c>
      <c r="Q42" s="3233" t="s">
        <v>3033</v>
      </c>
    </row>
    <row r="43" spans="1:17" ht="14.25" customHeight="1">
      <c r="A43" s="3233" t="s">
        <v>3034</v>
      </c>
      <c r="B43" s="3234" t="s">
        <v>223</v>
      </c>
      <c r="C43" s="3233">
        <v>21210</v>
      </c>
      <c r="D43" s="3233">
        <v>21160</v>
      </c>
      <c r="E43" s="3233">
        <v>22650</v>
      </c>
      <c r="F43" s="3233"/>
      <c r="G43" s="3246">
        <v>14800</v>
      </c>
      <c r="N43" s="3233" t="s">
        <v>3035</v>
      </c>
      <c r="O43" s="3233" t="s">
        <v>3036</v>
      </c>
      <c r="P43" s="3233" t="s">
        <v>3037</v>
      </c>
      <c r="Q43" s="3233" t="s">
        <v>3038</v>
      </c>
    </row>
    <row r="44" spans="1:17" ht="14.25" customHeight="1" thickBot="1">
      <c r="A44" s="3233" t="s">
        <v>296</v>
      </c>
      <c r="B44" s="3234" t="s">
        <v>231</v>
      </c>
      <c r="C44" s="3233">
        <v>22370</v>
      </c>
      <c r="D44" s="3233">
        <v>23140</v>
      </c>
      <c r="E44" s="3233">
        <v>25090</v>
      </c>
      <c r="F44" s="3233"/>
      <c r="G44" s="3246">
        <v>16190</v>
      </c>
      <c r="N44" s="3233" t="s">
        <v>3039</v>
      </c>
      <c r="O44" s="3233" t="s">
        <v>3040</v>
      </c>
      <c r="P44" s="3240" t="s">
        <v>3041</v>
      </c>
      <c r="Q44" s="3233" t="s">
        <v>3042</v>
      </c>
    </row>
    <row r="45" spans="1:17" ht="14.25" customHeight="1" thickBot="1">
      <c r="A45" s="3233" t="s">
        <v>296</v>
      </c>
      <c r="B45" s="3234" t="s">
        <v>236</v>
      </c>
      <c r="C45" s="3233">
        <v>21240</v>
      </c>
      <c r="D45" s="3233">
        <v>27050</v>
      </c>
      <c r="E45" s="3233">
        <v>28000</v>
      </c>
      <c r="F45" s="3233"/>
      <c r="G45" s="3246">
        <v>18940</v>
      </c>
      <c r="N45" s="3233" t="s">
        <v>3043</v>
      </c>
      <c r="O45" s="3240" t="s">
        <v>3044</v>
      </c>
      <c r="Q45" s="3233" t="s">
        <v>3045</v>
      </c>
    </row>
    <row r="46" spans="1:17" ht="14.25" customHeight="1">
      <c r="A46" s="3233" t="s">
        <v>296</v>
      </c>
      <c r="B46" s="3234" t="s">
        <v>245</v>
      </c>
      <c r="C46" s="3233">
        <v>23240</v>
      </c>
      <c r="D46" s="3233">
        <v>23000</v>
      </c>
      <c r="E46" s="3233">
        <v>24980</v>
      </c>
      <c r="F46" s="3233"/>
      <c r="G46" s="3246">
        <v>16100</v>
      </c>
      <c r="N46" s="3233" t="s">
        <v>3046</v>
      </c>
      <c r="Q46" s="3233" t="s">
        <v>3047</v>
      </c>
    </row>
    <row r="47" spans="1:17" ht="14.25" customHeight="1">
      <c r="A47" s="3233" t="s">
        <v>296</v>
      </c>
      <c r="B47" s="3234" t="s">
        <v>252</v>
      </c>
      <c r="C47" s="3233">
        <v>27150</v>
      </c>
      <c r="D47" s="3233">
        <v>23310</v>
      </c>
      <c r="E47" s="3233">
        <v>25150</v>
      </c>
      <c r="F47" s="3233"/>
      <c r="G47" s="3246">
        <v>16310</v>
      </c>
      <c r="N47" s="3233" t="s">
        <v>3048</v>
      </c>
      <c r="Q47" s="3233" t="s">
        <v>3049</v>
      </c>
    </row>
    <row r="48" spans="1:17" ht="14.25" customHeight="1">
      <c r="A48" s="3233" t="s">
        <v>296</v>
      </c>
      <c r="B48" s="3234" t="s">
        <v>260</v>
      </c>
      <c r="C48" s="3233">
        <v>23100</v>
      </c>
      <c r="D48" s="3233">
        <v>21110</v>
      </c>
      <c r="E48" s="3233">
        <v>23080</v>
      </c>
      <c r="F48" s="3233"/>
      <c r="G48" s="3246">
        <v>14780</v>
      </c>
      <c r="N48" s="3233" t="s">
        <v>3050</v>
      </c>
      <c r="Q48" s="3233" t="s">
        <v>3051</v>
      </c>
    </row>
    <row r="49" spans="1:17" ht="14.25" customHeight="1">
      <c r="A49" s="3233" t="s">
        <v>296</v>
      </c>
      <c r="B49" s="3234" t="s">
        <v>267</v>
      </c>
      <c r="C49" s="3233">
        <v>23400</v>
      </c>
      <c r="D49" s="3233">
        <v>22920</v>
      </c>
      <c r="E49" s="3233">
        <v>24900</v>
      </c>
      <c r="F49" s="3233"/>
      <c r="G49" s="3246">
        <v>16040</v>
      </c>
      <c r="N49" s="3233" t="s">
        <v>3052</v>
      </c>
      <c r="Q49" s="3233" t="s">
        <v>3053</v>
      </c>
    </row>
    <row r="50" spans="1:17" ht="14.25" customHeight="1">
      <c r="A50" s="3233" t="s">
        <v>296</v>
      </c>
      <c r="B50" s="3234" t="s">
        <v>2930</v>
      </c>
      <c r="C50" s="3233">
        <v>21200</v>
      </c>
      <c r="D50" s="3233">
        <v>26540</v>
      </c>
      <c r="E50" s="3233">
        <v>23200</v>
      </c>
      <c r="F50" s="3233"/>
      <c r="G50" s="3246">
        <v>18580</v>
      </c>
      <c r="N50" s="3233" t="s">
        <v>3054</v>
      </c>
      <c r="Q50" s="3234" t="s">
        <v>3055</v>
      </c>
    </row>
    <row r="51" spans="1:17" ht="14.25" customHeight="1" thickBot="1">
      <c r="A51" s="3233" t="s">
        <v>296</v>
      </c>
      <c r="B51" s="3234" t="s">
        <v>2932</v>
      </c>
      <c r="C51" s="3233">
        <v>23000</v>
      </c>
      <c r="D51" s="3233">
        <v>23460</v>
      </c>
      <c r="E51" s="3233">
        <v>25290</v>
      </c>
      <c r="F51" s="3233"/>
      <c r="G51" s="3246">
        <v>16420</v>
      </c>
      <c r="N51" s="3233" t="s">
        <v>3056</v>
      </c>
      <c r="Q51" s="3240" t="s">
        <v>3057</v>
      </c>
    </row>
    <row r="52" spans="1:17" ht="14.25" customHeight="1">
      <c r="A52" s="3233" t="s">
        <v>296</v>
      </c>
      <c r="B52" s="3234" t="s">
        <v>2936</v>
      </c>
      <c r="C52" s="3233">
        <v>26660</v>
      </c>
      <c r="D52" s="3233">
        <v>22350</v>
      </c>
      <c r="E52" s="3233">
        <v>22920</v>
      </c>
      <c r="F52" s="3233"/>
      <c r="G52" s="3246">
        <v>15640</v>
      </c>
      <c r="N52" s="3233" t="s">
        <v>3058</v>
      </c>
    </row>
    <row r="53" spans="1:17" ht="14.25" customHeight="1">
      <c r="A53" s="3233" t="s">
        <v>296</v>
      </c>
      <c r="B53" s="3234" t="s">
        <v>2941</v>
      </c>
      <c r="C53" s="3233">
        <v>23580</v>
      </c>
      <c r="D53" s="3233"/>
      <c r="E53" s="3233">
        <v>24280</v>
      </c>
      <c r="F53" s="3233"/>
      <c r="G53" s="3246"/>
      <c r="N53" s="3233" t="s">
        <v>3059</v>
      </c>
    </row>
    <row r="54" spans="1:17" ht="14.25" customHeight="1" thickBot="1">
      <c r="A54" s="3247" t="s">
        <v>296</v>
      </c>
      <c r="B54" s="3239" t="s">
        <v>2944</v>
      </c>
      <c r="C54" s="3240">
        <v>22460</v>
      </c>
      <c r="D54" s="3240"/>
      <c r="E54" s="3240"/>
      <c r="F54" s="3240"/>
      <c r="G54" s="3248"/>
      <c r="N54" s="3233" t="s">
        <v>3060</v>
      </c>
    </row>
    <row r="55" spans="1:17" ht="14.25" customHeight="1">
      <c r="A55" s="3238" t="s">
        <v>110</v>
      </c>
      <c r="B55" s="3229" t="s">
        <v>3061</v>
      </c>
      <c r="C55" s="3233">
        <v>21970</v>
      </c>
      <c r="D55" s="3233">
        <v>20370</v>
      </c>
      <c r="E55" s="3233">
        <v>20180</v>
      </c>
      <c r="F55" s="3233">
        <v>5730</v>
      </c>
      <c r="G55" s="3233">
        <v>13820</v>
      </c>
      <c r="N55" s="3233" t="s">
        <v>3062</v>
      </c>
    </row>
    <row r="56" spans="1:17" ht="14.25" customHeight="1">
      <c r="A56" s="3233" t="s">
        <v>110</v>
      </c>
      <c r="B56" s="3233" t="s">
        <v>130</v>
      </c>
      <c r="C56" s="3233">
        <v>20470</v>
      </c>
      <c r="D56" s="3233">
        <v>20700</v>
      </c>
      <c r="E56" s="3233">
        <v>20380</v>
      </c>
      <c r="F56" s="3233">
        <v>4760</v>
      </c>
      <c r="G56" s="3233">
        <v>14050</v>
      </c>
      <c r="N56" s="3233" t="s">
        <v>3063</v>
      </c>
    </row>
    <row r="57" spans="1:17" ht="14.25" customHeight="1">
      <c r="A57" s="3233" t="s">
        <v>110</v>
      </c>
      <c r="B57" s="3233" t="s">
        <v>139</v>
      </c>
      <c r="C57" s="3233">
        <v>20790</v>
      </c>
      <c r="D57" s="3233">
        <v>21370</v>
      </c>
      <c r="E57" s="3233">
        <v>20890</v>
      </c>
      <c r="F57" s="3233">
        <v>4910</v>
      </c>
      <c r="G57" s="3233">
        <v>14510</v>
      </c>
      <c r="N57" s="3233" t="s">
        <v>3064</v>
      </c>
    </row>
    <row r="58" spans="1:17" ht="14.25" customHeight="1">
      <c r="A58" s="3233" t="s">
        <v>110</v>
      </c>
      <c r="B58" s="3233" t="s">
        <v>148</v>
      </c>
      <c r="C58" s="3233">
        <v>21460</v>
      </c>
      <c r="D58" s="3233">
        <v>20920</v>
      </c>
      <c r="E58" s="3233">
        <v>23410</v>
      </c>
      <c r="F58" s="3233">
        <v>5100</v>
      </c>
      <c r="G58" s="3233">
        <v>14200</v>
      </c>
      <c r="N58" s="3233" t="s">
        <v>3065</v>
      </c>
    </row>
    <row r="59" spans="1:17" ht="14.25" customHeight="1">
      <c r="A59" s="3233" t="s">
        <v>110</v>
      </c>
      <c r="B59" s="3233" t="s">
        <v>157</v>
      </c>
      <c r="C59" s="3233">
        <v>21000</v>
      </c>
      <c r="D59" s="3233">
        <v>21550</v>
      </c>
      <c r="E59" s="3233">
        <v>21150</v>
      </c>
      <c r="F59" s="3233">
        <v>5250</v>
      </c>
      <c r="G59" s="3233">
        <v>14630</v>
      </c>
      <c r="N59" s="3233" t="s">
        <v>3066</v>
      </c>
    </row>
    <row r="60" spans="1:17" ht="14.25" customHeight="1">
      <c r="A60" s="3233" t="s">
        <v>110</v>
      </c>
      <c r="B60" s="3233" t="s">
        <v>164</v>
      </c>
      <c r="C60" s="3233">
        <v>21640</v>
      </c>
      <c r="D60" s="3233">
        <v>21260</v>
      </c>
      <c r="E60" s="3233">
        <v>24040</v>
      </c>
      <c r="F60" s="3233">
        <v>4470</v>
      </c>
      <c r="G60" s="3233">
        <v>14430</v>
      </c>
      <c r="N60" s="3233" t="s">
        <v>3067</v>
      </c>
    </row>
    <row r="61" spans="1:17" ht="14.25" customHeight="1">
      <c r="A61" s="3233" t="s">
        <v>110</v>
      </c>
      <c r="B61" s="3233" t="s">
        <v>170</v>
      </c>
      <c r="C61" s="3233">
        <v>21330</v>
      </c>
      <c r="D61" s="3233">
        <v>18640</v>
      </c>
      <c r="E61" s="3233">
        <v>21190</v>
      </c>
      <c r="F61" s="3233">
        <v>4180</v>
      </c>
      <c r="G61" s="3233">
        <v>12650</v>
      </c>
      <c r="N61" s="3233" t="s">
        <v>3068</v>
      </c>
    </row>
    <row r="62" spans="1:17" ht="14.25" customHeight="1">
      <c r="A62" s="3233" t="s">
        <v>110</v>
      </c>
      <c r="B62" s="3233" t="s">
        <v>177</v>
      </c>
      <c r="C62" s="3233">
        <v>18710</v>
      </c>
      <c r="D62" s="3233">
        <v>19400</v>
      </c>
      <c r="E62" s="3233">
        <v>23750</v>
      </c>
      <c r="F62" s="3233">
        <v>4860</v>
      </c>
      <c r="G62" s="3233">
        <v>13170</v>
      </c>
      <c r="N62" s="3233" t="s">
        <v>3069</v>
      </c>
    </row>
    <row r="63" spans="1:17" ht="14.25" customHeight="1">
      <c r="A63" s="3233" t="s">
        <v>110</v>
      </c>
      <c r="B63" s="3233" t="s">
        <v>187</v>
      </c>
      <c r="C63" s="3233">
        <v>19480</v>
      </c>
      <c r="D63" s="3233">
        <v>16830</v>
      </c>
      <c r="E63" s="3233">
        <v>21590</v>
      </c>
      <c r="F63" s="3233">
        <v>4560</v>
      </c>
      <c r="G63" s="3233">
        <v>11420</v>
      </c>
      <c r="N63" s="3233" t="s">
        <v>3070</v>
      </c>
    </row>
    <row r="64" spans="1:17" ht="14.25" customHeight="1" thickBot="1">
      <c r="A64" s="3233" t="s">
        <v>110</v>
      </c>
      <c r="B64" s="3233" t="s">
        <v>196</v>
      </c>
      <c r="C64" s="3233">
        <v>16920</v>
      </c>
      <c r="D64" s="3233">
        <v>19190</v>
      </c>
      <c r="E64" s="3233">
        <v>22200</v>
      </c>
      <c r="F64" s="3233">
        <v>4390</v>
      </c>
      <c r="G64" s="3233">
        <v>13030</v>
      </c>
      <c r="N64" s="3240" t="s">
        <v>3071</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2942</v>
      </c>
      <c r="C78" s="3233">
        <v>19820</v>
      </c>
      <c r="D78" s="3233">
        <v>19780</v>
      </c>
      <c r="E78" s="3233">
        <v>18560</v>
      </c>
      <c r="F78" s="3233"/>
      <c r="G78" s="3233">
        <v>13430</v>
      </c>
    </row>
    <row r="79" spans="1:7" s="3222" customFormat="1" ht="14.25" customHeight="1">
      <c r="A79" s="3233" t="s">
        <v>110</v>
      </c>
      <c r="B79" s="3233" t="s">
        <v>2945</v>
      </c>
      <c r="C79" s="3233">
        <v>21660</v>
      </c>
      <c r="D79" s="3233">
        <v>18000</v>
      </c>
      <c r="E79" s="3233">
        <v>22570</v>
      </c>
      <c r="F79" s="3233"/>
      <c r="G79" s="3233">
        <v>12220</v>
      </c>
    </row>
    <row r="80" spans="1:7" s="3222" customFormat="1" ht="14.25" customHeight="1">
      <c r="A80" s="3233" t="s">
        <v>110</v>
      </c>
      <c r="B80" s="3233" t="s">
        <v>2949</v>
      </c>
      <c r="C80" s="3233">
        <v>19850</v>
      </c>
      <c r="D80" s="3233"/>
      <c r="E80" s="3233">
        <v>21700</v>
      </c>
      <c r="F80" s="3233"/>
      <c r="G80" s="3233"/>
    </row>
    <row r="81" spans="1:7" s="3222" customFormat="1" ht="14.25" customHeight="1">
      <c r="A81" s="3233" t="s">
        <v>110</v>
      </c>
      <c r="B81" s="3233" t="s">
        <v>2954</v>
      </c>
      <c r="C81" s="3233">
        <v>18080</v>
      </c>
      <c r="D81" s="3233"/>
      <c r="E81" s="3233">
        <v>20900</v>
      </c>
      <c r="F81" s="3233"/>
      <c r="G81" s="3233"/>
    </row>
    <row r="82" spans="1:7" s="3222" customFormat="1" ht="14.25" customHeight="1">
      <c r="A82" s="3233" t="s">
        <v>110</v>
      </c>
      <c r="B82" s="3233" t="s">
        <v>2961</v>
      </c>
      <c r="C82" s="3233"/>
      <c r="D82" s="3233"/>
      <c r="E82" s="3233">
        <v>20840</v>
      </c>
      <c r="F82" s="3233"/>
      <c r="G82" s="3233"/>
    </row>
    <row r="83" spans="1:7" s="3222" customFormat="1" ht="14.25" customHeight="1">
      <c r="A83" s="3233" t="s">
        <v>110</v>
      </c>
      <c r="B83" s="3233" t="s">
        <v>3072</v>
      </c>
      <c r="C83" s="3233"/>
      <c r="D83" s="3233"/>
      <c r="E83" s="3233"/>
      <c r="F83" s="3233">
        <v>4770</v>
      </c>
      <c r="G83" s="3233"/>
    </row>
    <row r="84" spans="1:7" s="3222" customFormat="1" ht="14.25" customHeight="1">
      <c r="A84" s="3233" t="s">
        <v>110</v>
      </c>
      <c r="B84" s="3233" t="s">
        <v>3073</v>
      </c>
      <c r="C84" s="3233"/>
      <c r="D84" s="3233"/>
      <c r="E84" s="3233"/>
      <c r="F84" s="3233">
        <v>4600</v>
      </c>
      <c r="G84" s="3233"/>
    </row>
    <row r="85" spans="1:7" s="3222" customFormat="1" ht="14.25" customHeight="1">
      <c r="A85" s="3233" t="s">
        <v>110</v>
      </c>
      <c r="B85" s="3233" t="s">
        <v>3074</v>
      </c>
      <c r="C85" s="3233"/>
      <c r="D85" s="3233"/>
      <c r="E85" s="3233"/>
      <c r="F85" s="3233">
        <v>4680</v>
      </c>
      <c r="G85" s="3233"/>
    </row>
    <row r="86" spans="1:7" s="3222" customFormat="1" ht="14.25" customHeight="1" thickBot="1">
      <c r="A86" s="3241" t="s">
        <v>110</v>
      </c>
      <c r="B86" s="3243" t="s">
        <v>3075</v>
      </c>
      <c r="C86" s="3244">
        <v>16610</v>
      </c>
      <c r="D86" s="3244">
        <v>16540</v>
      </c>
      <c r="E86" s="3244">
        <v>18850</v>
      </c>
      <c r="F86" s="3244"/>
      <c r="G86" s="3244">
        <v>11220</v>
      </c>
    </row>
    <row r="87" spans="1:7" s="3222" customFormat="1" ht="14.25" customHeight="1">
      <c r="A87" s="3238" t="s">
        <v>303</v>
      </c>
      <c r="B87" s="3229" t="s">
        <v>3076</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2955</v>
      </c>
      <c r="C113" s="3233">
        <v>15520</v>
      </c>
      <c r="D113" s="3233">
        <v>15450</v>
      </c>
      <c r="E113" s="3233"/>
      <c r="F113" s="3233"/>
      <c r="G113" s="3246">
        <v>10210</v>
      </c>
    </row>
    <row r="114" spans="1:7" s="3222" customFormat="1" ht="14.25" customHeight="1">
      <c r="A114" s="3233" t="s">
        <v>303</v>
      </c>
      <c r="B114" s="3233" t="s">
        <v>2962</v>
      </c>
      <c r="C114" s="3233">
        <v>13110</v>
      </c>
      <c r="D114" s="3233">
        <v>13050</v>
      </c>
      <c r="E114" s="3233"/>
      <c r="F114" s="3233"/>
      <c r="G114" s="3246">
        <v>8620</v>
      </c>
    </row>
    <row r="115" spans="1:7" s="3222" customFormat="1" ht="14.25" customHeight="1">
      <c r="A115" s="3233" t="s">
        <v>303</v>
      </c>
      <c r="B115" s="3233" t="s">
        <v>2968</v>
      </c>
      <c r="C115" s="3233">
        <v>12460</v>
      </c>
      <c r="D115" s="3233">
        <v>12390</v>
      </c>
      <c r="E115" s="3233"/>
      <c r="F115" s="3233"/>
      <c r="G115" s="3246">
        <v>8190</v>
      </c>
    </row>
    <row r="116" spans="1:7" s="3222" customFormat="1" ht="14.25" customHeight="1">
      <c r="A116" s="3233" t="s">
        <v>303</v>
      </c>
      <c r="B116" s="3233" t="s">
        <v>2975</v>
      </c>
      <c r="C116" s="3233">
        <v>13580</v>
      </c>
      <c r="D116" s="3233">
        <v>13520</v>
      </c>
      <c r="E116" s="3233"/>
      <c r="F116" s="3233"/>
      <c r="G116" s="3246">
        <v>8930</v>
      </c>
    </row>
    <row r="117" spans="1:7" s="3222" customFormat="1" ht="14.25" customHeight="1">
      <c r="A117" s="3233" t="s">
        <v>303</v>
      </c>
      <c r="B117" s="3233" t="s">
        <v>2982</v>
      </c>
      <c r="C117" s="3233">
        <v>17120</v>
      </c>
      <c r="D117" s="3233">
        <v>17040</v>
      </c>
      <c r="E117" s="3233"/>
      <c r="F117" s="3233"/>
      <c r="G117" s="3246">
        <v>11260</v>
      </c>
    </row>
    <row r="118" spans="1:7" s="3222" customFormat="1" ht="14.25" customHeight="1">
      <c r="A118" s="3233" t="s">
        <v>303</v>
      </c>
      <c r="B118" s="3233" t="s">
        <v>2987</v>
      </c>
      <c r="C118" s="3233">
        <v>14860</v>
      </c>
      <c r="D118" s="3233">
        <v>14790</v>
      </c>
      <c r="E118" s="3233"/>
      <c r="F118" s="3233"/>
      <c r="G118" s="3246">
        <v>9780</v>
      </c>
    </row>
    <row r="119" spans="1:7" s="3222" customFormat="1" ht="14.25" customHeight="1">
      <c r="A119" s="3233" t="s">
        <v>303</v>
      </c>
      <c r="B119" s="3233" t="s">
        <v>2991</v>
      </c>
      <c r="C119" s="3233">
        <v>16470</v>
      </c>
      <c r="D119" s="3233">
        <v>16400</v>
      </c>
      <c r="E119" s="3233"/>
      <c r="F119" s="3233"/>
      <c r="G119" s="3246">
        <v>10840</v>
      </c>
    </row>
    <row r="120" spans="1:7" s="3222" customFormat="1" ht="14.25" customHeight="1">
      <c r="A120" s="3233" t="s">
        <v>303</v>
      </c>
      <c r="B120" s="3233" t="s">
        <v>3077</v>
      </c>
      <c r="C120" s="3233"/>
      <c r="D120" s="3233"/>
      <c r="E120" s="3233"/>
      <c r="F120" s="3233">
        <v>4160</v>
      </c>
      <c r="G120" s="3246"/>
    </row>
    <row r="121" spans="1:7" s="3222" customFormat="1" ht="14.25" customHeight="1">
      <c r="A121" s="3233" t="s">
        <v>303</v>
      </c>
      <c r="B121" s="3233" t="s">
        <v>3078</v>
      </c>
      <c r="C121" s="3233"/>
      <c r="D121" s="3233"/>
      <c r="E121" s="3233"/>
      <c r="F121" s="3233">
        <v>3880</v>
      </c>
      <c r="G121" s="3246"/>
    </row>
    <row r="122" spans="1:7" s="3222" customFormat="1" ht="14.25" customHeight="1">
      <c r="A122" s="3233" t="s">
        <v>303</v>
      </c>
      <c r="B122" s="3233" t="s">
        <v>3079</v>
      </c>
      <c r="C122" s="3233">
        <v>13750</v>
      </c>
      <c r="D122" s="3233">
        <v>13680</v>
      </c>
      <c r="E122" s="3233">
        <v>16460</v>
      </c>
      <c r="F122" s="3233">
        <v>2880</v>
      </c>
      <c r="G122" s="3246">
        <v>9040</v>
      </c>
    </row>
    <row r="123" spans="1:7" s="3222" customFormat="1" ht="14.25" customHeight="1">
      <c r="A123" s="3233" t="s">
        <v>303</v>
      </c>
      <c r="B123" s="3233" t="s">
        <v>3010</v>
      </c>
      <c r="C123" s="3233">
        <v>13590</v>
      </c>
      <c r="D123" s="3233">
        <v>13520</v>
      </c>
      <c r="E123" s="3233">
        <v>16290</v>
      </c>
      <c r="F123" s="3233">
        <v>2790</v>
      </c>
      <c r="G123" s="3246">
        <v>8930</v>
      </c>
    </row>
    <row r="124" spans="1:7" s="3222" customFormat="1" ht="14.25" customHeight="1">
      <c r="A124" s="3233" t="s">
        <v>303</v>
      </c>
      <c r="B124" s="3233" t="s">
        <v>3015</v>
      </c>
      <c r="C124" s="3233">
        <v>13400</v>
      </c>
      <c r="D124" s="3233">
        <v>13320</v>
      </c>
      <c r="E124" s="3233">
        <v>16100</v>
      </c>
      <c r="F124" s="3233">
        <v>2320</v>
      </c>
      <c r="G124" s="3246">
        <v>8800</v>
      </c>
    </row>
    <row r="125" spans="1:7" s="3222" customFormat="1" ht="14.25" customHeight="1">
      <c r="A125" s="3233" t="s">
        <v>303</v>
      </c>
      <c r="B125" s="3233" t="s">
        <v>3020</v>
      </c>
      <c r="C125" s="3233">
        <v>12860</v>
      </c>
      <c r="D125" s="3233">
        <v>12790</v>
      </c>
      <c r="E125" s="3233">
        <v>15370</v>
      </c>
      <c r="F125" s="3233">
        <v>2280</v>
      </c>
      <c r="G125" s="3246">
        <v>8450</v>
      </c>
    </row>
    <row r="126" spans="1:7" s="3222" customFormat="1" ht="14.25" customHeight="1" thickBot="1">
      <c r="A126" s="3247" t="s">
        <v>303</v>
      </c>
      <c r="B126" s="3240" t="s">
        <v>3025</v>
      </c>
      <c r="C126" s="3240">
        <v>12960</v>
      </c>
      <c r="D126" s="3240">
        <v>12890</v>
      </c>
      <c r="E126" s="3240">
        <v>15530</v>
      </c>
      <c r="F126" s="3240">
        <v>2910</v>
      </c>
      <c r="G126" s="3248">
        <v>8520</v>
      </c>
    </row>
    <row r="127" spans="1:7" s="3222" customFormat="1" ht="14.25" customHeight="1">
      <c r="A127" s="3238" t="s">
        <v>29</v>
      </c>
      <c r="B127" s="3229" t="s">
        <v>3080</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3081</v>
      </c>
      <c r="C148" s="3233">
        <v>10370</v>
      </c>
      <c r="D148" s="3233">
        <v>10310</v>
      </c>
      <c r="E148" s="3233">
        <v>12970</v>
      </c>
      <c r="F148" s="3233"/>
      <c r="G148" s="3233">
        <v>6630</v>
      </c>
    </row>
    <row r="149" spans="1:7" s="3222" customFormat="1" ht="14.25" customHeight="1">
      <c r="A149" s="3233" t="s">
        <v>29</v>
      </c>
      <c r="B149" s="3233" t="s">
        <v>3082</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2956</v>
      </c>
      <c r="C153" s="3233">
        <v>10880</v>
      </c>
      <c r="D153" s="3233">
        <v>10820</v>
      </c>
      <c r="E153" s="3233">
        <v>13660</v>
      </c>
      <c r="F153" s="3233">
        <v>2260</v>
      </c>
      <c r="G153" s="3233">
        <v>6970</v>
      </c>
    </row>
    <row r="154" spans="1:7" s="3222" customFormat="1" ht="14.25" customHeight="1">
      <c r="A154" s="3233" t="s">
        <v>29</v>
      </c>
      <c r="B154" s="3233" t="s">
        <v>3083</v>
      </c>
      <c r="C154" s="3233">
        <v>11220</v>
      </c>
      <c r="D154" s="3233">
        <v>11160</v>
      </c>
      <c r="E154" s="3233">
        <v>14130</v>
      </c>
      <c r="F154" s="3233">
        <v>2230</v>
      </c>
      <c r="G154" s="3233">
        <v>7180</v>
      </c>
    </row>
    <row r="155" spans="1:7" s="3222" customFormat="1" ht="14.25" customHeight="1">
      <c r="A155" s="3233" t="s">
        <v>29</v>
      </c>
      <c r="B155" s="3233" t="s">
        <v>2969</v>
      </c>
      <c r="C155" s="3233">
        <v>10430</v>
      </c>
      <c r="D155" s="3233">
        <v>10380</v>
      </c>
      <c r="E155" s="3233">
        <v>13140</v>
      </c>
      <c r="F155" s="3233">
        <v>2080</v>
      </c>
      <c r="G155" s="3233">
        <v>6650</v>
      </c>
    </row>
    <row r="156" spans="1:7" s="3222" customFormat="1" ht="14.25" customHeight="1">
      <c r="A156" s="3233" t="s">
        <v>29</v>
      </c>
      <c r="B156" s="3233" t="s">
        <v>3084</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3085</v>
      </c>
      <c r="C160" s="3233">
        <v>11180</v>
      </c>
      <c r="D160" s="3233">
        <v>11140</v>
      </c>
      <c r="E160" s="3233">
        <v>14050</v>
      </c>
      <c r="F160" s="3233">
        <v>2270</v>
      </c>
      <c r="G160" s="3233">
        <v>7170</v>
      </c>
    </row>
    <row r="161" spans="1:7" s="3222" customFormat="1" ht="14.25" customHeight="1">
      <c r="A161" s="3233" t="s">
        <v>29</v>
      </c>
      <c r="B161" s="3233" t="s">
        <v>3001</v>
      </c>
      <c r="C161" s="3233">
        <v>11160</v>
      </c>
      <c r="D161" s="3233">
        <v>11120</v>
      </c>
      <c r="E161" s="3233">
        <v>14020</v>
      </c>
      <c r="F161" s="3233">
        <v>2150</v>
      </c>
      <c r="G161" s="3233">
        <v>7160</v>
      </c>
    </row>
    <row r="162" spans="1:7" s="3222" customFormat="1" ht="14.25" customHeight="1">
      <c r="A162" s="3233" t="s">
        <v>29</v>
      </c>
      <c r="B162" s="3233" t="s">
        <v>3006</v>
      </c>
      <c r="C162" s="3233">
        <v>9620</v>
      </c>
      <c r="D162" s="3233">
        <v>9570</v>
      </c>
      <c r="E162" s="3233">
        <v>12320</v>
      </c>
      <c r="F162" s="3233">
        <v>2010</v>
      </c>
      <c r="G162" s="3233">
        <v>6160</v>
      </c>
    </row>
    <row r="163" spans="1:7" s="3222" customFormat="1" ht="14.25" customHeight="1">
      <c r="A163" s="3233" t="s">
        <v>29</v>
      </c>
      <c r="B163" s="3233" t="s">
        <v>3011</v>
      </c>
      <c r="C163" s="3233">
        <v>9320</v>
      </c>
      <c r="D163" s="3233">
        <v>9270</v>
      </c>
      <c r="E163" s="3233">
        <v>11790</v>
      </c>
      <c r="F163" s="3233">
        <v>1920</v>
      </c>
      <c r="G163" s="3233">
        <v>5960</v>
      </c>
    </row>
    <row r="164" spans="1:7" s="3222" customFormat="1" ht="14.25" customHeight="1">
      <c r="A164" s="3233" t="s">
        <v>29</v>
      </c>
      <c r="B164" s="3233" t="s">
        <v>3016</v>
      </c>
      <c r="C164" s="3233"/>
      <c r="D164" s="3233"/>
      <c r="E164" s="3233"/>
      <c r="F164" s="3233">
        <v>1980</v>
      </c>
      <c r="G164" s="3233"/>
    </row>
    <row r="165" spans="1:7" s="3222" customFormat="1" ht="14.25" customHeight="1">
      <c r="A165" s="3233" t="s">
        <v>29</v>
      </c>
      <c r="B165" s="3233" t="s">
        <v>3086</v>
      </c>
      <c r="C165" s="3233">
        <v>11060</v>
      </c>
      <c r="D165" s="3233">
        <v>11030</v>
      </c>
      <c r="E165" s="3233">
        <v>13850</v>
      </c>
      <c r="F165" s="3233">
        <v>2170</v>
      </c>
      <c r="G165" s="3233">
        <v>7090</v>
      </c>
    </row>
    <row r="166" spans="1:7" s="3222" customFormat="1" ht="14.25" customHeight="1">
      <c r="A166" s="3233" t="s">
        <v>29</v>
      </c>
      <c r="B166" s="3233" t="s">
        <v>3026</v>
      </c>
      <c r="C166" s="3233">
        <v>11050</v>
      </c>
      <c r="D166" s="3233">
        <v>11010</v>
      </c>
      <c r="E166" s="3233">
        <v>13920</v>
      </c>
      <c r="F166" s="3233">
        <v>2140</v>
      </c>
      <c r="G166" s="3233">
        <v>7080</v>
      </c>
    </row>
    <row r="167" spans="1:7" s="3222" customFormat="1" ht="14.25" customHeight="1">
      <c r="A167" s="3233" t="s">
        <v>29</v>
      </c>
      <c r="B167" s="3233" t="s">
        <v>3030</v>
      </c>
      <c r="C167" s="3233">
        <v>10930</v>
      </c>
      <c r="D167" s="3233">
        <v>10890</v>
      </c>
      <c r="E167" s="3233">
        <v>13790</v>
      </c>
      <c r="F167" s="3233">
        <v>2010</v>
      </c>
      <c r="G167" s="3233">
        <v>7000</v>
      </c>
    </row>
    <row r="168" spans="1:7" s="3222" customFormat="1" ht="14.25" customHeight="1">
      <c r="A168" s="3233" t="s">
        <v>29</v>
      </c>
      <c r="B168" s="3233" t="s">
        <v>3035</v>
      </c>
      <c r="C168" s="3233">
        <v>9420</v>
      </c>
      <c r="D168" s="3233">
        <v>9380</v>
      </c>
      <c r="E168" s="3233">
        <v>11970</v>
      </c>
      <c r="F168" s="3233"/>
      <c r="G168" s="3233">
        <v>6040</v>
      </c>
    </row>
    <row r="169" spans="1:7" s="3222" customFormat="1" ht="14.25" customHeight="1">
      <c r="A169" s="3233" t="s">
        <v>29</v>
      </c>
      <c r="B169" s="3233" t="s">
        <v>3087</v>
      </c>
      <c r="C169" s="3233"/>
      <c r="D169" s="3233"/>
      <c r="E169" s="3233"/>
      <c r="F169" s="3233">
        <v>2880</v>
      </c>
      <c r="G169" s="3233"/>
    </row>
    <row r="170" spans="1:7" s="3222" customFormat="1" ht="14.25" customHeight="1">
      <c r="A170" s="3233" t="s">
        <v>29</v>
      </c>
      <c r="B170" s="3233" t="s">
        <v>3043</v>
      </c>
      <c r="C170" s="3233"/>
      <c r="D170" s="3233"/>
      <c r="E170" s="3233"/>
      <c r="F170" s="3233">
        <v>2880</v>
      </c>
      <c r="G170" s="3233"/>
    </row>
    <row r="171" spans="1:7" s="3222" customFormat="1" ht="14.25" customHeight="1">
      <c r="A171" s="3233" t="s">
        <v>29</v>
      </c>
      <c r="B171" s="3233" t="s">
        <v>3046</v>
      </c>
      <c r="C171" s="3233"/>
      <c r="D171" s="3233"/>
      <c r="E171" s="3233"/>
      <c r="F171" s="3233">
        <v>2880</v>
      </c>
      <c r="G171" s="3233"/>
    </row>
    <row r="172" spans="1:7" s="3222" customFormat="1" ht="14.25" customHeight="1">
      <c r="A172" s="3233" t="s">
        <v>29</v>
      </c>
      <c r="B172" s="3233" t="s">
        <v>3048</v>
      </c>
      <c r="C172" s="3233"/>
      <c r="D172" s="3233"/>
      <c r="E172" s="3233"/>
      <c r="F172" s="3233">
        <v>2880</v>
      </c>
      <c r="G172" s="3233"/>
    </row>
    <row r="173" spans="1:7" s="3222" customFormat="1" ht="14.25" customHeight="1">
      <c r="A173" s="3233" t="s">
        <v>29</v>
      </c>
      <c r="B173" s="3233" t="s">
        <v>3050</v>
      </c>
      <c r="C173" s="3233"/>
      <c r="D173" s="3233"/>
      <c r="E173" s="3233"/>
      <c r="F173" s="3233">
        <v>2150</v>
      </c>
      <c r="G173" s="3233"/>
    </row>
    <row r="174" spans="1:7" s="3222" customFormat="1" ht="14.25" customHeight="1">
      <c r="A174" s="3233" t="s">
        <v>29</v>
      </c>
      <c r="B174" s="3233" t="s">
        <v>3052</v>
      </c>
      <c r="C174" s="3233"/>
      <c r="D174" s="3233"/>
      <c r="E174" s="3233"/>
      <c r="F174" s="3233">
        <v>2030</v>
      </c>
      <c r="G174" s="3233"/>
    </row>
    <row r="175" spans="1:7" s="3222" customFormat="1" ht="14.25" customHeight="1">
      <c r="A175" s="3233" t="s">
        <v>29</v>
      </c>
      <c r="B175" s="3233" t="s">
        <v>3054</v>
      </c>
      <c r="C175" s="3233"/>
      <c r="D175" s="3233"/>
      <c r="E175" s="3233"/>
      <c r="F175" s="3233">
        <v>2780</v>
      </c>
      <c r="G175" s="3233"/>
    </row>
    <row r="176" spans="1:7" s="3222" customFormat="1" ht="14.25" customHeight="1">
      <c r="A176" s="3233" t="s">
        <v>29</v>
      </c>
      <c r="B176" s="3233" t="s">
        <v>3056</v>
      </c>
      <c r="C176" s="3233"/>
      <c r="D176" s="3233"/>
      <c r="E176" s="3233"/>
      <c r="F176" s="3233">
        <v>2780</v>
      </c>
      <c r="G176" s="3233"/>
    </row>
    <row r="177" spans="1:7" s="3222" customFormat="1" ht="14.25" customHeight="1">
      <c r="A177" s="3233" t="s">
        <v>29</v>
      </c>
      <c r="B177" s="3233" t="s">
        <v>3088</v>
      </c>
      <c r="C177" s="3233"/>
      <c r="D177" s="3233"/>
      <c r="E177" s="3233"/>
      <c r="F177" s="3233">
        <v>2780</v>
      </c>
      <c r="G177" s="3233"/>
    </row>
    <row r="178" spans="1:7" s="3222" customFormat="1" ht="14.25" customHeight="1">
      <c r="A178" s="3233" t="s">
        <v>29</v>
      </c>
      <c r="B178" s="3233" t="s">
        <v>3089</v>
      </c>
      <c r="C178" s="3233"/>
      <c r="D178" s="3233"/>
      <c r="E178" s="3233"/>
      <c r="F178" s="3233">
        <v>2060</v>
      </c>
      <c r="G178" s="3233"/>
    </row>
    <row r="179" spans="1:7" s="3222" customFormat="1" ht="14.25" customHeight="1">
      <c r="A179" s="3233" t="s">
        <v>29</v>
      </c>
      <c r="B179" s="3233" t="s">
        <v>3090</v>
      </c>
      <c r="C179" s="3233"/>
      <c r="D179" s="3233"/>
      <c r="E179" s="3233"/>
      <c r="F179" s="3233">
        <v>2120</v>
      </c>
      <c r="G179" s="3233"/>
    </row>
    <row r="180" spans="1:7" s="3222" customFormat="1" ht="14.25" customHeight="1">
      <c r="A180" s="3233" t="s">
        <v>29</v>
      </c>
      <c r="B180" s="3233" t="s">
        <v>3062</v>
      </c>
      <c r="C180" s="3233"/>
      <c r="D180" s="3233"/>
      <c r="E180" s="3233"/>
      <c r="F180" s="3233">
        <v>2340</v>
      </c>
      <c r="G180" s="3233"/>
    </row>
    <row r="181" spans="1:7" s="3222" customFormat="1" ht="14.25" customHeight="1">
      <c r="A181" s="3233" t="s">
        <v>29</v>
      </c>
      <c r="B181" s="3233" t="s">
        <v>3063</v>
      </c>
      <c r="C181" s="3233"/>
      <c r="D181" s="3233"/>
      <c r="E181" s="3233"/>
      <c r="F181" s="3233">
        <v>2340</v>
      </c>
      <c r="G181" s="3233"/>
    </row>
    <row r="182" spans="1:7" s="3222" customFormat="1" ht="14.25" customHeight="1">
      <c r="A182" s="3233" t="s">
        <v>29</v>
      </c>
      <c r="B182" s="3233" t="s">
        <v>3064</v>
      </c>
      <c r="C182" s="3233"/>
      <c r="D182" s="3233"/>
      <c r="E182" s="3233"/>
      <c r="F182" s="3233">
        <v>2340</v>
      </c>
      <c r="G182" s="3233"/>
    </row>
    <row r="183" spans="1:7" s="3222" customFormat="1" ht="14.25" customHeight="1">
      <c r="A183" s="3233" t="s">
        <v>29</v>
      </c>
      <c r="B183" s="3233" t="s">
        <v>3065</v>
      </c>
      <c r="C183" s="3233"/>
      <c r="D183" s="3233"/>
      <c r="E183" s="3233"/>
      <c r="F183" s="3233">
        <v>2340</v>
      </c>
      <c r="G183" s="3233"/>
    </row>
    <row r="184" spans="1:7" s="3222" customFormat="1" ht="14.25" customHeight="1">
      <c r="A184" s="3233" t="s">
        <v>29</v>
      </c>
      <c r="B184" s="3233" t="s">
        <v>3066</v>
      </c>
      <c r="C184" s="3233"/>
      <c r="D184" s="3233"/>
      <c r="E184" s="3233"/>
      <c r="F184" s="3233">
        <v>2340</v>
      </c>
      <c r="G184" s="3233"/>
    </row>
    <row r="185" spans="1:7" s="3222" customFormat="1" ht="14.25" customHeight="1">
      <c r="A185" s="3233" t="s">
        <v>29</v>
      </c>
      <c r="B185" s="3233" t="s">
        <v>3067</v>
      </c>
      <c r="C185" s="3233"/>
      <c r="D185" s="3233"/>
      <c r="E185" s="3233"/>
      <c r="F185" s="3233">
        <v>2530</v>
      </c>
      <c r="G185" s="3233"/>
    </row>
    <row r="186" spans="1:7" s="3222" customFormat="1" ht="14.25" customHeight="1">
      <c r="A186" s="3233" t="s">
        <v>29</v>
      </c>
      <c r="B186" s="3233" t="s">
        <v>3068</v>
      </c>
      <c r="C186" s="3233"/>
      <c r="D186" s="3233"/>
      <c r="E186" s="3233"/>
      <c r="F186" s="3233">
        <v>2550</v>
      </c>
      <c r="G186" s="3233"/>
    </row>
    <row r="187" spans="1:7" s="3222" customFormat="1" ht="14.25" customHeight="1">
      <c r="A187" s="3233" t="s">
        <v>29</v>
      </c>
      <c r="B187" s="3233" t="s">
        <v>3069</v>
      </c>
      <c r="C187" s="3233"/>
      <c r="D187" s="3233"/>
      <c r="E187" s="3233"/>
      <c r="F187" s="3233">
        <v>2070</v>
      </c>
      <c r="G187" s="3233"/>
    </row>
    <row r="188" spans="1:7" s="3222" customFormat="1" ht="14.25" customHeight="1">
      <c r="A188" s="3233" t="s">
        <v>29</v>
      </c>
      <c r="B188" s="3233" t="s">
        <v>3070</v>
      </c>
      <c r="C188" s="3233"/>
      <c r="D188" s="3233"/>
      <c r="E188" s="3233"/>
      <c r="F188" s="3233">
        <v>2340</v>
      </c>
      <c r="G188" s="3233"/>
    </row>
    <row r="189" spans="1:7" s="3222" customFormat="1" ht="14.25" customHeight="1" thickBot="1">
      <c r="A189" s="3241" t="s">
        <v>29</v>
      </c>
      <c r="B189" s="3244" t="s">
        <v>3071</v>
      </c>
      <c r="C189" s="3244"/>
      <c r="D189" s="3244"/>
      <c r="E189" s="3244"/>
      <c r="F189" s="3244">
        <v>2050</v>
      </c>
      <c r="G189" s="3244"/>
    </row>
    <row r="190" spans="1:7" s="3222" customFormat="1" ht="14.25" customHeight="1">
      <c r="A190" s="3238" t="s">
        <v>304</v>
      </c>
      <c r="B190" s="3229" t="s">
        <v>3091</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3092</v>
      </c>
      <c r="C199" s="3233">
        <v>8690</v>
      </c>
      <c r="D199" s="3233">
        <v>8630</v>
      </c>
      <c r="E199" s="3233">
        <v>11350</v>
      </c>
      <c r="F199" s="3233">
        <v>1600</v>
      </c>
      <c r="G199" s="3246">
        <v>5450</v>
      </c>
    </row>
    <row r="200" spans="1:7" s="3222" customFormat="1" ht="14.25" customHeight="1">
      <c r="A200" s="3233" t="s">
        <v>304</v>
      </c>
      <c r="B200" s="3233" t="s">
        <v>2903</v>
      </c>
      <c r="C200" s="3233"/>
      <c r="D200" s="3233"/>
      <c r="E200" s="3233"/>
      <c r="F200" s="3233">
        <v>1510</v>
      </c>
      <c r="G200" s="3246"/>
    </row>
    <row r="201" spans="1:7" s="3222" customFormat="1" ht="14.25" customHeight="1">
      <c r="A201" s="3233" t="s">
        <v>304</v>
      </c>
      <c r="B201" s="3233" t="s">
        <v>3093</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3094</v>
      </c>
      <c r="C203" s="3233">
        <v>8130</v>
      </c>
      <c r="D203" s="3233">
        <v>8070</v>
      </c>
      <c r="E203" s="3233">
        <v>10820</v>
      </c>
      <c r="F203" s="3233">
        <v>1690</v>
      </c>
      <c r="G203" s="3246">
        <v>5100</v>
      </c>
    </row>
    <row r="204" spans="1:7" s="3222" customFormat="1" ht="14.25" customHeight="1">
      <c r="A204" s="3233" t="s">
        <v>304</v>
      </c>
      <c r="B204" s="3233" t="s">
        <v>2914</v>
      </c>
      <c r="C204" s="3233">
        <v>8350</v>
      </c>
      <c r="D204" s="3233">
        <v>8290</v>
      </c>
      <c r="E204" s="3233">
        <v>11080</v>
      </c>
      <c r="F204" s="3233">
        <v>1450</v>
      </c>
      <c r="G204" s="3246">
        <v>5240</v>
      </c>
    </row>
    <row r="205" spans="1:7" s="3222" customFormat="1" ht="14.25" customHeight="1">
      <c r="A205" s="3233" t="s">
        <v>304</v>
      </c>
      <c r="B205" s="3233" t="s">
        <v>2916</v>
      </c>
      <c r="C205" s="3233">
        <v>7190</v>
      </c>
      <c r="D205" s="3233">
        <v>7130</v>
      </c>
      <c r="E205" s="3233">
        <v>9490</v>
      </c>
      <c r="F205" s="3233">
        <v>1470</v>
      </c>
      <c r="G205" s="3246">
        <v>4510</v>
      </c>
    </row>
    <row r="206" spans="1:7" s="3222" customFormat="1" ht="14.25" customHeight="1">
      <c r="A206" s="3233" t="s">
        <v>304</v>
      </c>
      <c r="B206" s="3233" t="s">
        <v>2919</v>
      </c>
      <c r="C206" s="3233">
        <v>7000</v>
      </c>
      <c r="D206" s="3233">
        <v>6950</v>
      </c>
      <c r="E206" s="3233">
        <v>9170</v>
      </c>
      <c r="F206" s="3233">
        <v>1400</v>
      </c>
      <c r="G206" s="3246">
        <v>4380</v>
      </c>
    </row>
    <row r="207" spans="1:7" s="3222" customFormat="1" ht="14.25" customHeight="1">
      <c r="A207" s="3233" t="s">
        <v>304</v>
      </c>
      <c r="B207" s="3233" t="s">
        <v>2921</v>
      </c>
      <c r="C207" s="3233">
        <v>6950</v>
      </c>
      <c r="D207" s="3233">
        <v>6900</v>
      </c>
      <c r="E207" s="3233">
        <v>9110</v>
      </c>
      <c r="F207" s="3233">
        <v>1790</v>
      </c>
      <c r="G207" s="3246">
        <v>4360</v>
      </c>
    </row>
    <row r="208" spans="1:7" s="3222" customFormat="1" ht="14.25" customHeight="1">
      <c r="A208" s="3233" t="s">
        <v>304</v>
      </c>
      <c r="B208" s="3233" t="s">
        <v>3095</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2931</v>
      </c>
      <c r="C210" s="3233">
        <v>8710</v>
      </c>
      <c r="D210" s="3233">
        <v>8660</v>
      </c>
      <c r="E210" s="3233">
        <v>11440</v>
      </c>
      <c r="F210" s="3233">
        <v>1740</v>
      </c>
      <c r="G210" s="3246">
        <v>5470</v>
      </c>
    </row>
    <row r="211" spans="1:7" s="3222" customFormat="1" ht="14.25" customHeight="1">
      <c r="A211" s="3233" t="s">
        <v>304</v>
      </c>
      <c r="B211" s="3233" t="s">
        <v>3096</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3097</v>
      </c>
      <c r="C214" s="3233">
        <v>8090</v>
      </c>
      <c r="D214" s="3233">
        <v>8030</v>
      </c>
      <c r="E214" s="3233">
        <v>10780</v>
      </c>
      <c r="F214" s="3233">
        <v>1570</v>
      </c>
      <c r="G214" s="3246">
        <v>5070</v>
      </c>
    </row>
    <row r="215" spans="1:7" s="3222" customFormat="1" ht="14.25" customHeight="1">
      <c r="A215" s="3233" t="s">
        <v>304</v>
      </c>
      <c r="B215" s="3233" t="s">
        <v>3098</v>
      </c>
      <c r="C215" s="3233">
        <v>7950</v>
      </c>
      <c r="D215" s="3233">
        <v>7900</v>
      </c>
      <c r="E215" s="3233">
        <v>10560</v>
      </c>
      <c r="F215" s="3233">
        <v>1630</v>
      </c>
      <c r="G215" s="3246">
        <v>4990</v>
      </c>
    </row>
    <row r="216" spans="1:7" s="3222" customFormat="1" ht="14.25" customHeight="1">
      <c r="A216" s="3233" t="s">
        <v>304</v>
      </c>
      <c r="B216" s="3233" t="s">
        <v>3099</v>
      </c>
      <c r="C216" s="3233">
        <v>8490</v>
      </c>
      <c r="D216" s="3233">
        <v>8440</v>
      </c>
      <c r="E216" s="3233">
        <v>11260</v>
      </c>
      <c r="F216" s="3233">
        <v>1690</v>
      </c>
      <c r="G216" s="3246">
        <v>5330</v>
      </c>
    </row>
    <row r="217" spans="1:7" s="3222" customFormat="1" ht="14.25" customHeight="1">
      <c r="A217" s="3233" t="s">
        <v>304</v>
      </c>
      <c r="B217" s="3233" t="s">
        <v>2964</v>
      </c>
      <c r="C217" s="3233">
        <v>8200</v>
      </c>
      <c r="D217" s="3233">
        <v>8150</v>
      </c>
      <c r="E217" s="3233">
        <v>10910</v>
      </c>
      <c r="F217" s="3233">
        <v>1670</v>
      </c>
      <c r="G217" s="3246">
        <v>5150</v>
      </c>
    </row>
    <row r="218" spans="1:7" s="3222" customFormat="1" ht="14.25" customHeight="1">
      <c r="A218" s="3233" t="s">
        <v>304</v>
      </c>
      <c r="B218" s="3233" t="s">
        <v>3100</v>
      </c>
      <c r="C218" s="3233"/>
      <c r="D218" s="3233"/>
      <c r="E218" s="3233"/>
      <c r="F218" s="3233">
        <v>2040</v>
      </c>
      <c r="G218" s="3246"/>
    </row>
    <row r="219" spans="1:7" s="3222" customFormat="1" ht="14.25" customHeight="1">
      <c r="A219" s="3233" t="s">
        <v>304</v>
      </c>
      <c r="B219" s="3233" t="s">
        <v>3101</v>
      </c>
      <c r="C219" s="3233"/>
      <c r="D219" s="3233"/>
      <c r="E219" s="3233"/>
      <c r="F219" s="3233">
        <v>2040</v>
      </c>
      <c r="G219" s="3246"/>
    </row>
    <row r="220" spans="1:7" s="3222" customFormat="1" ht="14.25" customHeight="1">
      <c r="A220" s="3233" t="s">
        <v>304</v>
      </c>
      <c r="B220" s="3233" t="s">
        <v>3102</v>
      </c>
      <c r="C220" s="3233"/>
      <c r="D220" s="3233"/>
      <c r="E220" s="3233"/>
      <c r="F220" s="3233">
        <v>2040</v>
      </c>
      <c r="G220" s="3246"/>
    </row>
    <row r="221" spans="1:7" s="3222" customFormat="1" ht="14.25" customHeight="1">
      <c r="A221" s="3233" t="s">
        <v>304</v>
      </c>
      <c r="B221" s="3233" t="s">
        <v>3103</v>
      </c>
      <c r="C221" s="3233"/>
      <c r="D221" s="3233"/>
      <c r="E221" s="3233"/>
      <c r="F221" s="3233">
        <v>2040</v>
      </c>
      <c r="G221" s="3246"/>
    </row>
    <row r="222" spans="1:7" s="3222" customFormat="1" ht="14.25" customHeight="1">
      <c r="A222" s="3233" t="s">
        <v>304</v>
      </c>
      <c r="B222" s="3233" t="s">
        <v>3104</v>
      </c>
      <c r="C222" s="3233"/>
      <c r="D222" s="3233"/>
      <c r="E222" s="3233"/>
      <c r="F222" s="3233">
        <v>2040</v>
      </c>
      <c r="G222" s="3246"/>
    </row>
    <row r="223" spans="1:7" s="3222" customFormat="1" ht="14.25" customHeight="1">
      <c r="A223" s="3233" t="s">
        <v>304</v>
      </c>
      <c r="B223" s="3233" t="s">
        <v>3105</v>
      </c>
      <c r="C223" s="3233"/>
      <c r="D223" s="3233"/>
      <c r="E223" s="3233"/>
      <c r="F223" s="3233">
        <v>1930</v>
      </c>
      <c r="G223" s="3246"/>
    </row>
    <row r="224" spans="1:7" s="3222" customFormat="1" ht="14.25" customHeight="1">
      <c r="A224" s="3233" t="s">
        <v>304</v>
      </c>
      <c r="B224" s="3233" t="s">
        <v>3106</v>
      </c>
      <c r="C224" s="3233"/>
      <c r="D224" s="3233"/>
      <c r="E224" s="3233"/>
      <c r="F224" s="3233">
        <v>1930</v>
      </c>
      <c r="G224" s="3246"/>
    </row>
    <row r="225" spans="1:7" s="3222" customFormat="1" ht="14.25" customHeight="1">
      <c r="A225" s="3233" t="s">
        <v>304</v>
      </c>
      <c r="B225" s="3233" t="s">
        <v>3107</v>
      </c>
      <c r="C225" s="3233"/>
      <c r="D225" s="3233"/>
      <c r="E225" s="3233"/>
      <c r="F225" s="3233">
        <v>1930</v>
      </c>
      <c r="G225" s="3246"/>
    </row>
    <row r="226" spans="1:7" s="3222" customFormat="1" ht="14.25" customHeight="1">
      <c r="A226" s="3233" t="s">
        <v>304</v>
      </c>
      <c r="B226" s="3233" t="s">
        <v>3108</v>
      </c>
      <c r="C226" s="3233"/>
      <c r="D226" s="3233"/>
      <c r="E226" s="3233"/>
      <c r="F226" s="3233">
        <v>1700</v>
      </c>
      <c r="G226" s="3246"/>
    </row>
    <row r="227" spans="1:7" s="3222" customFormat="1" ht="14.25" customHeight="1">
      <c r="A227" s="3233" t="s">
        <v>304</v>
      </c>
      <c r="B227" s="3233" t="s">
        <v>3109</v>
      </c>
      <c r="C227" s="3233"/>
      <c r="D227" s="3233"/>
      <c r="E227" s="3233"/>
      <c r="F227" s="3233">
        <v>1520</v>
      </c>
      <c r="G227" s="3246"/>
    </row>
    <row r="228" spans="1:7" s="3222" customFormat="1" ht="14.25" customHeight="1">
      <c r="A228" s="3233" t="s">
        <v>304</v>
      </c>
      <c r="B228" s="3233" t="s">
        <v>3110</v>
      </c>
      <c r="C228" s="3233"/>
      <c r="D228" s="3233"/>
      <c r="E228" s="3233"/>
      <c r="F228" s="3233">
        <v>1520</v>
      </c>
      <c r="G228" s="3246"/>
    </row>
    <row r="229" spans="1:7" s="3222" customFormat="1" ht="14.25" customHeight="1">
      <c r="A229" s="3233" t="s">
        <v>304</v>
      </c>
      <c r="B229" s="3233" t="s">
        <v>3027</v>
      </c>
      <c r="C229" s="3233"/>
      <c r="D229" s="3233"/>
      <c r="E229" s="3233"/>
      <c r="F229" s="3233">
        <v>1520</v>
      </c>
      <c r="G229" s="3246"/>
    </row>
    <row r="230" spans="1:7" s="3222" customFormat="1" ht="14.25" customHeight="1">
      <c r="A230" s="3233" t="s">
        <v>304</v>
      </c>
      <c r="B230" s="3233" t="s">
        <v>3111</v>
      </c>
      <c r="C230" s="3233"/>
      <c r="D230" s="3233"/>
      <c r="E230" s="3233"/>
      <c r="F230" s="3233">
        <v>1820</v>
      </c>
      <c r="G230" s="3246"/>
    </row>
    <row r="231" spans="1:7" s="3222" customFormat="1" ht="14.25" customHeight="1">
      <c r="A231" s="3233" t="s">
        <v>304</v>
      </c>
      <c r="B231" s="3233" t="s">
        <v>3112</v>
      </c>
      <c r="C231" s="3233"/>
      <c r="D231" s="3233"/>
      <c r="E231" s="3233"/>
      <c r="F231" s="3233">
        <v>1760</v>
      </c>
      <c r="G231" s="3246"/>
    </row>
    <row r="232" spans="1:7" s="3222" customFormat="1" ht="14.25" customHeight="1">
      <c r="A232" s="3233" t="s">
        <v>304</v>
      </c>
      <c r="B232" s="3233" t="s">
        <v>3113</v>
      </c>
      <c r="C232" s="3233"/>
      <c r="D232" s="3233"/>
      <c r="E232" s="3233"/>
      <c r="F232" s="3233">
        <v>1840</v>
      </c>
      <c r="G232" s="3246"/>
    </row>
    <row r="233" spans="1:7" s="3222" customFormat="1" ht="14.25" customHeight="1" thickBot="1">
      <c r="A233" s="3247" t="s">
        <v>304</v>
      </c>
      <c r="B233" s="3240" t="s">
        <v>3044</v>
      </c>
      <c r="C233" s="3240"/>
      <c r="D233" s="3240"/>
      <c r="E233" s="3240"/>
      <c r="F233" s="3240">
        <v>1770</v>
      </c>
      <c r="G233" s="3248"/>
    </row>
    <row r="234" spans="1:7" s="3222" customFormat="1" ht="14.25" customHeight="1">
      <c r="A234" s="3238" t="s">
        <v>305</v>
      </c>
      <c r="B234" s="3229" t="s">
        <v>3114</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2885</v>
      </c>
      <c r="C238" s="3233">
        <v>6920</v>
      </c>
      <c r="D238" s="3233">
        <v>6890</v>
      </c>
      <c r="E238" s="3233">
        <v>8640</v>
      </c>
      <c r="F238" s="3233">
        <v>1310</v>
      </c>
      <c r="G238" s="3233">
        <v>4230</v>
      </c>
    </row>
    <row r="239" spans="1:7" s="3222" customFormat="1" ht="14.25" customHeight="1">
      <c r="A239" s="3233" t="s">
        <v>305</v>
      </c>
      <c r="B239" s="3233" t="s">
        <v>3115</v>
      </c>
      <c r="C239" s="3233">
        <v>6780</v>
      </c>
      <c r="D239" s="3233">
        <v>6750</v>
      </c>
      <c r="E239" s="3233">
        <v>8440</v>
      </c>
      <c r="F239" s="3233">
        <v>1160</v>
      </c>
      <c r="G239" s="3233">
        <v>4140</v>
      </c>
    </row>
    <row r="240" spans="1:7" s="3222" customFormat="1" ht="14.25" customHeight="1">
      <c r="A240" s="3233" t="s">
        <v>305</v>
      </c>
      <c r="B240" s="3233" t="s">
        <v>3116</v>
      </c>
      <c r="C240" s="3233">
        <v>5420</v>
      </c>
      <c r="D240" s="3233">
        <v>5380</v>
      </c>
      <c r="E240" s="3233">
        <v>6640</v>
      </c>
      <c r="F240" s="3233">
        <v>1020</v>
      </c>
      <c r="G240" s="3233">
        <v>3300</v>
      </c>
    </row>
    <row r="241" spans="1:7" s="3222" customFormat="1" ht="14.25" customHeight="1">
      <c r="A241" s="3233" t="s">
        <v>305</v>
      </c>
      <c r="B241" s="3233" t="s">
        <v>3117</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3118</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3119</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3120</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3121</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3122</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2947</v>
      </c>
      <c r="C258" s="3233">
        <v>6190</v>
      </c>
      <c r="D258" s="3233">
        <v>6160</v>
      </c>
      <c r="E258" s="3233">
        <v>7680</v>
      </c>
      <c r="F258" s="3233">
        <v>1170</v>
      </c>
      <c r="G258" s="3233">
        <v>3780</v>
      </c>
    </row>
    <row r="259" spans="1:7" s="3222" customFormat="1" ht="14.25" customHeight="1">
      <c r="A259" s="3233" t="s">
        <v>305</v>
      </c>
      <c r="B259" s="3233" t="s">
        <v>3123</v>
      </c>
      <c r="C259" s="3233">
        <v>7610</v>
      </c>
      <c r="D259" s="3233">
        <v>7570</v>
      </c>
      <c r="E259" s="3233">
        <v>9350</v>
      </c>
      <c r="F259" s="3233">
        <v>1350</v>
      </c>
      <c r="G259" s="3233">
        <v>4650</v>
      </c>
    </row>
    <row r="260" spans="1:7" s="3222" customFormat="1" ht="14.25" customHeight="1">
      <c r="A260" s="3233" t="s">
        <v>305</v>
      </c>
      <c r="B260" s="3233" t="s">
        <v>3124</v>
      </c>
      <c r="C260" s="3233">
        <v>6920</v>
      </c>
      <c r="D260" s="3233">
        <v>6880</v>
      </c>
      <c r="E260" s="3233">
        <v>8380</v>
      </c>
      <c r="F260" s="3233">
        <v>1160</v>
      </c>
      <c r="G260" s="3233">
        <v>4220</v>
      </c>
    </row>
    <row r="261" spans="1:7" s="3222" customFormat="1" ht="14.25" customHeight="1">
      <c r="A261" s="3233" t="s">
        <v>305</v>
      </c>
      <c r="B261" s="3233" t="s">
        <v>3125</v>
      </c>
      <c r="C261" s="3233">
        <v>6850</v>
      </c>
      <c r="D261" s="3233">
        <v>6810</v>
      </c>
      <c r="E261" s="3233">
        <v>8290</v>
      </c>
      <c r="F261" s="3233">
        <v>1130</v>
      </c>
      <c r="G261" s="3233">
        <v>4180</v>
      </c>
    </row>
    <row r="262" spans="1:7" s="3222" customFormat="1" ht="14.25" customHeight="1">
      <c r="A262" s="3233" t="s">
        <v>305</v>
      </c>
      <c r="B262" s="3233" t="s">
        <v>3126</v>
      </c>
      <c r="C262" s="3233">
        <v>5860</v>
      </c>
      <c r="D262" s="3233">
        <v>5820</v>
      </c>
      <c r="E262" s="3233">
        <v>7640</v>
      </c>
      <c r="F262" s="3233">
        <v>1070</v>
      </c>
      <c r="G262" s="3233">
        <v>3570</v>
      </c>
    </row>
    <row r="263" spans="1:7" s="3222" customFormat="1" ht="14.25" customHeight="1">
      <c r="A263" s="3233" t="s">
        <v>305</v>
      </c>
      <c r="B263" s="3233" t="s">
        <v>3127</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3128</v>
      </c>
      <c r="C265" s="3233"/>
      <c r="D265" s="3233"/>
      <c r="E265" s="3233"/>
      <c r="F265" s="3233">
        <v>1500</v>
      </c>
      <c r="G265" s="3233"/>
    </row>
    <row r="266" spans="1:7" s="3222" customFormat="1" ht="14.25" customHeight="1">
      <c r="A266" s="3233" t="s">
        <v>305</v>
      </c>
      <c r="B266" s="3233" t="s">
        <v>3129</v>
      </c>
      <c r="C266" s="3233"/>
      <c r="D266" s="3233"/>
      <c r="E266" s="3233"/>
      <c r="F266" s="3233">
        <v>1500</v>
      </c>
      <c r="G266" s="3233"/>
    </row>
    <row r="267" spans="1:7" s="3222" customFormat="1" ht="14.25" customHeight="1">
      <c r="A267" s="3233" t="s">
        <v>305</v>
      </c>
      <c r="B267" s="3233" t="s">
        <v>3130</v>
      </c>
      <c r="C267" s="3233"/>
      <c r="D267" s="3233"/>
      <c r="E267" s="3233"/>
      <c r="F267" s="3233">
        <v>1500</v>
      </c>
      <c r="G267" s="3233"/>
    </row>
    <row r="268" spans="1:7" s="3222" customFormat="1" ht="14.25" customHeight="1">
      <c r="A268" s="3233" t="s">
        <v>305</v>
      </c>
      <c r="B268" s="3233" t="s">
        <v>3131</v>
      </c>
      <c r="C268" s="3233"/>
      <c r="D268" s="3233"/>
      <c r="E268" s="3233"/>
      <c r="F268" s="3233">
        <v>1290</v>
      </c>
      <c r="G268" s="3233"/>
    </row>
    <row r="269" spans="1:7" s="3222" customFormat="1" ht="14.25" customHeight="1">
      <c r="A269" s="3233" t="s">
        <v>305</v>
      </c>
      <c r="B269" s="3233" t="s">
        <v>3132</v>
      </c>
      <c r="C269" s="3233"/>
      <c r="D269" s="3233"/>
      <c r="E269" s="3233"/>
      <c r="F269" s="3233">
        <v>1150</v>
      </c>
      <c r="G269" s="3233"/>
    </row>
    <row r="270" spans="1:7" s="3222" customFormat="1" ht="14.25" customHeight="1">
      <c r="A270" s="3233" t="s">
        <v>305</v>
      </c>
      <c r="B270" s="3233" t="s">
        <v>3133</v>
      </c>
      <c r="C270" s="3233"/>
      <c r="D270" s="3233"/>
      <c r="E270" s="3233"/>
      <c r="F270" s="3233">
        <v>1380</v>
      </c>
      <c r="G270" s="3233"/>
    </row>
    <row r="271" spans="1:7" s="3222" customFormat="1" ht="14.25" customHeight="1">
      <c r="A271" s="3233" t="s">
        <v>305</v>
      </c>
      <c r="B271" s="3233" t="s">
        <v>3134</v>
      </c>
      <c r="C271" s="3233"/>
      <c r="D271" s="3233"/>
      <c r="E271" s="3233"/>
      <c r="F271" s="3233">
        <v>1460</v>
      </c>
      <c r="G271" s="3233"/>
    </row>
    <row r="272" spans="1:7" s="3222" customFormat="1" ht="14.25" customHeight="1">
      <c r="A272" s="3233" t="s">
        <v>305</v>
      </c>
      <c r="B272" s="3233" t="s">
        <v>3135</v>
      </c>
      <c r="C272" s="3233"/>
      <c r="D272" s="3233"/>
      <c r="E272" s="3233"/>
      <c r="F272" s="3233">
        <v>1460</v>
      </c>
      <c r="G272" s="3233"/>
    </row>
    <row r="273" spans="1:7" s="3222" customFormat="1" ht="14.25" customHeight="1">
      <c r="A273" s="3233" t="s">
        <v>305</v>
      </c>
      <c r="B273" s="3233" t="s">
        <v>3028</v>
      </c>
      <c r="C273" s="3233"/>
      <c r="D273" s="3233"/>
      <c r="E273" s="3233"/>
      <c r="F273" s="3233">
        <v>1490</v>
      </c>
      <c r="G273" s="3233"/>
    </row>
    <row r="274" spans="1:7" s="3222" customFormat="1" ht="14.25" customHeight="1">
      <c r="A274" s="3233" t="s">
        <v>305</v>
      </c>
      <c r="B274" s="3233" t="s">
        <v>3136</v>
      </c>
      <c r="C274" s="3233"/>
      <c r="D274" s="3233"/>
      <c r="E274" s="3233"/>
      <c r="F274" s="3233">
        <v>1490</v>
      </c>
      <c r="G274" s="3233"/>
    </row>
    <row r="275" spans="1:7" s="3222" customFormat="1" ht="14.25" customHeight="1">
      <c r="A275" s="3233" t="s">
        <v>305</v>
      </c>
      <c r="B275" s="3233" t="s">
        <v>3137</v>
      </c>
      <c r="C275" s="3233"/>
      <c r="D275" s="3233"/>
      <c r="E275" s="3233"/>
      <c r="F275" s="3233">
        <v>1220</v>
      </c>
      <c r="G275" s="3233"/>
    </row>
    <row r="276" spans="1:7" s="3222" customFormat="1" ht="14.25" customHeight="1" thickBot="1">
      <c r="A276" s="3241" t="s">
        <v>305</v>
      </c>
      <c r="B276" s="3243" t="s">
        <v>3138</v>
      </c>
      <c r="C276" s="3244"/>
      <c r="D276" s="3244"/>
      <c r="E276" s="3244"/>
      <c r="F276" s="3244">
        <v>1380</v>
      </c>
      <c r="G276" s="3244"/>
    </row>
    <row r="277" spans="1:7" s="3222" customFormat="1" ht="14.25" customHeight="1">
      <c r="A277" s="3238" t="s">
        <v>306</v>
      </c>
      <c r="B277" s="3229" t="s">
        <v>3139</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3140</v>
      </c>
      <c r="C279" s="3233">
        <v>4760</v>
      </c>
      <c r="D279" s="3233">
        <v>4720</v>
      </c>
      <c r="E279" s="3233">
        <v>5540</v>
      </c>
      <c r="F279" s="3233">
        <v>810</v>
      </c>
      <c r="G279" s="3246">
        <v>2850</v>
      </c>
    </row>
    <row r="280" spans="1:7" s="3222" customFormat="1" ht="14.25" customHeight="1">
      <c r="A280" s="3233" t="s">
        <v>306</v>
      </c>
      <c r="B280" s="3233" t="s">
        <v>3141</v>
      </c>
      <c r="C280" s="3233">
        <v>4010</v>
      </c>
      <c r="D280" s="3233">
        <v>3950</v>
      </c>
      <c r="E280" s="3233">
        <v>4710</v>
      </c>
      <c r="F280" s="3233">
        <v>800</v>
      </c>
      <c r="G280" s="3246">
        <v>2390</v>
      </c>
    </row>
    <row r="281" spans="1:7" s="3222" customFormat="1" ht="14.25" customHeight="1">
      <c r="A281" s="3233" t="s">
        <v>306</v>
      </c>
      <c r="B281" s="3233" t="s">
        <v>3142</v>
      </c>
      <c r="C281" s="3233">
        <v>4480</v>
      </c>
      <c r="D281" s="3233">
        <v>4420</v>
      </c>
      <c r="E281" s="3233">
        <v>5230</v>
      </c>
      <c r="F281" s="3233">
        <v>870</v>
      </c>
      <c r="G281" s="3246">
        <v>2660</v>
      </c>
    </row>
    <row r="282" spans="1:7" s="3222" customFormat="1" ht="14.25" customHeight="1">
      <c r="A282" s="3233" t="s">
        <v>306</v>
      </c>
      <c r="B282" s="3233" t="s">
        <v>3143</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3144</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3145</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2920</v>
      </c>
      <c r="C293" s="3233">
        <v>5320</v>
      </c>
      <c r="D293" s="3233">
        <v>5270</v>
      </c>
      <c r="E293" s="3233">
        <v>6160</v>
      </c>
      <c r="F293" s="3233">
        <v>990</v>
      </c>
      <c r="G293" s="3246">
        <v>3170</v>
      </c>
    </row>
    <row r="294" spans="1:7" s="3222" customFormat="1" ht="14.25" customHeight="1">
      <c r="A294" s="3233" t="s">
        <v>306</v>
      </c>
      <c r="B294" s="3233" t="s">
        <v>3146</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2939</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3147</v>
      </c>
      <c r="C302" s="3233">
        <v>5520</v>
      </c>
      <c r="D302" s="3233">
        <v>5470</v>
      </c>
      <c r="E302" s="3233">
        <v>6410</v>
      </c>
      <c r="F302" s="3233">
        <v>950</v>
      </c>
      <c r="G302" s="3246">
        <v>3300</v>
      </c>
    </row>
    <row r="303" spans="1:7" s="3222" customFormat="1" ht="14.25" customHeight="1">
      <c r="A303" s="3233" t="s">
        <v>306</v>
      </c>
      <c r="B303" s="3233" t="s">
        <v>2959</v>
      </c>
      <c r="C303" s="3233">
        <v>5630</v>
      </c>
      <c r="D303" s="3233">
        <v>5590</v>
      </c>
      <c r="E303" s="3233">
        <v>6550</v>
      </c>
      <c r="F303" s="3233">
        <v>1010</v>
      </c>
      <c r="G303" s="3246">
        <v>3370</v>
      </c>
    </row>
    <row r="304" spans="1:7" s="3222" customFormat="1" ht="14.25" customHeight="1">
      <c r="A304" s="3233" t="s">
        <v>306</v>
      </c>
      <c r="B304" s="3233" t="s">
        <v>2966</v>
      </c>
      <c r="C304" s="3233">
        <v>5680</v>
      </c>
      <c r="D304" s="3233">
        <v>5620</v>
      </c>
      <c r="E304" s="3233">
        <v>6620</v>
      </c>
      <c r="F304" s="3233">
        <v>1050</v>
      </c>
      <c r="G304" s="3246">
        <v>3390</v>
      </c>
    </row>
    <row r="305" spans="1:7" s="3222" customFormat="1" ht="14.25" customHeight="1">
      <c r="A305" s="3233" t="s">
        <v>306</v>
      </c>
      <c r="B305" s="3233" t="s">
        <v>2972</v>
      </c>
      <c r="C305" s="3233">
        <v>5590</v>
      </c>
      <c r="D305" s="3233">
        <v>5530</v>
      </c>
      <c r="E305" s="3233">
        <v>6460</v>
      </c>
      <c r="F305" s="3233">
        <v>900</v>
      </c>
      <c r="G305" s="3246">
        <v>3340</v>
      </c>
    </row>
    <row r="306" spans="1:7" s="3222" customFormat="1" ht="14.25" customHeight="1">
      <c r="A306" s="3233" t="s">
        <v>306</v>
      </c>
      <c r="B306" s="3233" t="s">
        <v>3148</v>
      </c>
      <c r="C306" s="3233">
        <v>5560</v>
      </c>
      <c r="D306" s="3233">
        <v>5510</v>
      </c>
      <c r="E306" s="3233">
        <v>6440</v>
      </c>
      <c r="F306" s="3233">
        <v>900</v>
      </c>
      <c r="G306" s="3246">
        <v>3320</v>
      </c>
    </row>
    <row r="307" spans="1:7" s="3222" customFormat="1" ht="14.25" customHeight="1">
      <c r="A307" s="3233" t="s">
        <v>306</v>
      </c>
      <c r="B307" s="3233" t="s">
        <v>2984</v>
      </c>
      <c r="C307" s="3233">
        <v>5650</v>
      </c>
      <c r="D307" s="3233">
        <v>5600</v>
      </c>
      <c r="E307" s="3233">
        <v>6590</v>
      </c>
      <c r="F307" s="3233">
        <v>930</v>
      </c>
      <c r="G307" s="3246">
        <v>3380</v>
      </c>
    </row>
    <row r="308" spans="1:7" s="3222" customFormat="1" ht="14.25" customHeight="1">
      <c r="A308" s="3233" t="s">
        <v>306</v>
      </c>
      <c r="B308" s="3233" t="s">
        <v>3149</v>
      </c>
      <c r="C308" s="3233">
        <v>5620</v>
      </c>
      <c r="D308" s="3233">
        <v>5580</v>
      </c>
      <c r="E308" s="3233">
        <v>6540</v>
      </c>
      <c r="F308" s="3233">
        <v>910</v>
      </c>
      <c r="G308" s="3246">
        <v>3370</v>
      </c>
    </row>
    <row r="309" spans="1:7" s="3222" customFormat="1" ht="14.25" customHeight="1">
      <c r="A309" s="3233" t="s">
        <v>306</v>
      </c>
      <c r="B309" s="3233" t="s">
        <v>3150</v>
      </c>
      <c r="C309" s="3233">
        <v>5060</v>
      </c>
      <c r="D309" s="3233">
        <v>5020</v>
      </c>
      <c r="E309" s="3233">
        <v>6370</v>
      </c>
      <c r="F309" s="3233">
        <v>800</v>
      </c>
      <c r="G309" s="3246">
        <v>3020</v>
      </c>
    </row>
    <row r="310" spans="1:7" s="3222" customFormat="1" ht="14.25" customHeight="1">
      <c r="A310" s="3233" t="s">
        <v>306</v>
      </c>
      <c r="B310" s="3233" t="s">
        <v>2999</v>
      </c>
      <c r="C310" s="3233">
        <v>5150</v>
      </c>
      <c r="D310" s="3233">
        <v>5110</v>
      </c>
      <c r="E310" s="3233">
        <v>6500</v>
      </c>
      <c r="F310" s="3233">
        <v>880</v>
      </c>
      <c r="G310" s="3246">
        <v>3080</v>
      </c>
    </row>
    <row r="311" spans="1:7" s="3222" customFormat="1" ht="14.25" customHeight="1">
      <c r="A311" s="3233" t="s">
        <v>306</v>
      </c>
      <c r="B311" s="3233" t="s">
        <v>3151</v>
      </c>
      <c r="C311" s="3233">
        <v>4750</v>
      </c>
      <c r="D311" s="3233">
        <v>4710</v>
      </c>
      <c r="E311" s="3233">
        <v>5510</v>
      </c>
      <c r="F311" s="3233">
        <v>880</v>
      </c>
      <c r="G311" s="3246">
        <v>2840</v>
      </c>
    </row>
    <row r="312" spans="1:7" s="3222" customFormat="1" ht="14.25" customHeight="1">
      <c r="A312" s="3233" t="s">
        <v>306</v>
      </c>
      <c r="B312" s="3233" t="s">
        <v>3009</v>
      </c>
      <c r="C312" s="3233">
        <v>4690</v>
      </c>
      <c r="D312" s="3233">
        <v>4640</v>
      </c>
      <c r="E312" s="3233">
        <v>5420</v>
      </c>
      <c r="F312" s="3233">
        <v>800</v>
      </c>
      <c r="G312" s="3246">
        <v>2800</v>
      </c>
    </row>
    <row r="313" spans="1:7" s="3222" customFormat="1" ht="14.25" customHeight="1">
      <c r="A313" s="3233" t="s">
        <v>306</v>
      </c>
      <c r="B313" s="3233" t="s">
        <v>3014</v>
      </c>
      <c r="C313" s="3233">
        <v>4810</v>
      </c>
      <c r="D313" s="3233">
        <v>4760</v>
      </c>
      <c r="E313" s="3233">
        <v>5550</v>
      </c>
      <c r="F313" s="3233">
        <v>920</v>
      </c>
      <c r="G313" s="3246">
        <v>2870</v>
      </c>
    </row>
    <row r="314" spans="1:7" s="3222" customFormat="1" ht="14.25" customHeight="1">
      <c r="A314" s="3233" t="s">
        <v>306</v>
      </c>
      <c r="B314" s="3233" t="s">
        <v>3152</v>
      </c>
      <c r="C314" s="3233"/>
      <c r="D314" s="3233"/>
      <c r="E314" s="3233"/>
      <c r="F314" s="3233">
        <v>1020</v>
      </c>
      <c r="G314" s="3246"/>
    </row>
    <row r="315" spans="1:7" s="3222" customFormat="1" ht="14.25" customHeight="1">
      <c r="A315" s="3233" t="s">
        <v>306</v>
      </c>
      <c r="B315" s="3233" t="s">
        <v>3153</v>
      </c>
      <c r="C315" s="3233"/>
      <c r="D315" s="3233"/>
      <c r="E315" s="3233"/>
      <c r="F315" s="3233">
        <v>1050</v>
      </c>
      <c r="G315" s="3246"/>
    </row>
    <row r="316" spans="1:7" s="3222" customFormat="1" ht="14.25" customHeight="1">
      <c r="A316" s="3233" t="s">
        <v>306</v>
      </c>
      <c r="B316" s="3233" t="s">
        <v>3029</v>
      </c>
      <c r="C316" s="3233"/>
      <c r="D316" s="3233"/>
      <c r="E316" s="3233"/>
      <c r="F316" s="3233">
        <v>900</v>
      </c>
      <c r="G316" s="3246"/>
    </row>
    <row r="317" spans="1:7" s="3222" customFormat="1" ht="14.25" customHeight="1">
      <c r="A317" s="3233" t="s">
        <v>306</v>
      </c>
      <c r="B317" s="3233" t="s">
        <v>3154</v>
      </c>
      <c r="C317" s="3233"/>
      <c r="D317" s="3233"/>
      <c r="E317" s="3233"/>
      <c r="F317" s="3233">
        <v>920</v>
      </c>
      <c r="G317" s="3246"/>
    </row>
    <row r="318" spans="1:7" s="3222" customFormat="1" ht="14.25" customHeight="1">
      <c r="A318" s="3233" t="s">
        <v>306</v>
      </c>
      <c r="B318" s="3233" t="s">
        <v>3155</v>
      </c>
      <c r="C318" s="3233"/>
      <c r="D318" s="3233"/>
      <c r="E318" s="3233"/>
      <c r="F318" s="3233">
        <v>1080</v>
      </c>
      <c r="G318" s="3246"/>
    </row>
    <row r="319" spans="1:7" s="3222" customFormat="1" ht="14.25" customHeight="1">
      <c r="A319" s="3233" t="s">
        <v>306</v>
      </c>
      <c r="B319" s="3233" t="s">
        <v>3042</v>
      </c>
      <c r="C319" s="3233"/>
      <c r="D319" s="3233"/>
      <c r="E319" s="3233"/>
      <c r="F319" s="3233">
        <v>1020</v>
      </c>
      <c r="G319" s="3246"/>
    </row>
    <row r="320" spans="1:7" s="3222" customFormat="1" ht="14.25" customHeight="1">
      <c r="A320" s="3233" t="s">
        <v>306</v>
      </c>
      <c r="B320" s="3233" t="s">
        <v>3045</v>
      </c>
      <c r="C320" s="3233"/>
      <c r="D320" s="3233"/>
      <c r="E320" s="3233"/>
      <c r="F320" s="3233">
        <v>1050</v>
      </c>
      <c r="G320" s="3246"/>
    </row>
    <row r="321" spans="1:7" s="3222" customFormat="1" ht="14.25" customHeight="1">
      <c r="A321" s="3233" t="s">
        <v>306</v>
      </c>
      <c r="B321" s="3233" t="s">
        <v>3047</v>
      </c>
      <c r="C321" s="3233"/>
      <c r="D321" s="3233"/>
      <c r="E321" s="3233"/>
      <c r="F321" s="3233">
        <v>960</v>
      </c>
      <c r="G321" s="3246"/>
    </row>
    <row r="322" spans="1:7" s="3222" customFormat="1" ht="14.25" customHeight="1">
      <c r="A322" s="3233" t="s">
        <v>306</v>
      </c>
      <c r="B322" s="3233" t="s">
        <v>3049</v>
      </c>
      <c r="C322" s="3233"/>
      <c r="D322" s="3233"/>
      <c r="E322" s="3233"/>
      <c r="F322" s="3233">
        <v>960</v>
      </c>
      <c r="G322" s="3246"/>
    </row>
    <row r="323" spans="1:7" s="3222" customFormat="1" ht="14.25" customHeight="1">
      <c r="A323" s="3233" t="s">
        <v>306</v>
      </c>
      <c r="B323" s="3233" t="s">
        <v>3051</v>
      </c>
      <c r="C323" s="3233"/>
      <c r="D323" s="3233"/>
      <c r="E323" s="3233"/>
      <c r="F323" s="3233">
        <v>880</v>
      </c>
      <c r="G323" s="3246"/>
    </row>
    <row r="324" spans="1:7" s="3222" customFormat="1" ht="14.25" customHeight="1">
      <c r="A324" s="3233" t="s">
        <v>306</v>
      </c>
      <c r="B324" s="3233" t="s">
        <v>3053</v>
      </c>
      <c r="C324" s="3233"/>
      <c r="D324" s="3233"/>
      <c r="E324" s="3233"/>
      <c r="F324" s="3233">
        <v>930</v>
      </c>
      <c r="G324" s="3246"/>
    </row>
    <row r="325" spans="1:7" s="3222" customFormat="1" ht="14.25" customHeight="1">
      <c r="A325" s="3233" t="s">
        <v>306</v>
      </c>
      <c r="B325" s="3234" t="s">
        <v>3055</v>
      </c>
      <c r="C325" s="3233"/>
      <c r="D325" s="3233"/>
      <c r="E325" s="3233"/>
      <c r="F325" s="3233">
        <v>900</v>
      </c>
      <c r="G325" s="3246"/>
    </row>
    <row r="326" spans="1:7" s="3222" customFormat="1" ht="14.25" customHeight="1" thickBot="1">
      <c r="A326" s="3247" t="s">
        <v>306</v>
      </c>
      <c r="B326" s="3240" t="s">
        <v>3057</v>
      </c>
      <c r="C326" s="3240"/>
      <c r="D326" s="3240"/>
      <c r="E326" s="3240"/>
      <c r="F326" s="3240">
        <v>790</v>
      </c>
      <c r="G326" s="3248"/>
    </row>
    <row r="327" spans="1:7" s="3222" customFormat="1" ht="14.25" customHeight="1">
      <c r="A327" s="3238" t="s">
        <v>307</v>
      </c>
      <c r="B327" s="3229" t="s">
        <v>3156</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3157</v>
      </c>
      <c r="C329" s="3233">
        <v>2730</v>
      </c>
      <c r="D329" s="3233">
        <v>2690</v>
      </c>
      <c r="E329" s="3233">
        <v>3100</v>
      </c>
      <c r="F329" s="3233">
        <v>660</v>
      </c>
      <c r="G329" s="3233">
        <v>1610</v>
      </c>
    </row>
    <row r="330" spans="1:7" s="3222" customFormat="1" ht="14.25" customHeight="1">
      <c r="A330" s="3233" t="s">
        <v>307</v>
      </c>
      <c r="B330" s="3233" t="s">
        <v>3158</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2891</v>
      </c>
      <c r="C332" s="3233">
        <v>3520</v>
      </c>
      <c r="D332" s="3233">
        <v>3480</v>
      </c>
      <c r="E332" s="3233">
        <v>3830</v>
      </c>
      <c r="F332" s="3233">
        <v>720</v>
      </c>
      <c r="G332" s="3233">
        <v>2090</v>
      </c>
    </row>
    <row r="333" spans="1:7" s="3222" customFormat="1" ht="14.25" customHeight="1">
      <c r="A333" s="3233" t="s">
        <v>307</v>
      </c>
      <c r="B333" s="3233" t="s">
        <v>3159</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2901</v>
      </c>
      <c r="C336" s="3233">
        <v>3570</v>
      </c>
      <c r="D336" s="3233">
        <v>3530</v>
      </c>
      <c r="E336" s="3233">
        <v>3880</v>
      </c>
      <c r="F336" s="3233">
        <v>770</v>
      </c>
      <c r="G336" s="3233">
        <v>2110</v>
      </c>
    </row>
    <row r="337" spans="1:10" s="3222" customFormat="1" ht="14.25" customHeight="1">
      <c r="A337" s="3233" t="s">
        <v>307</v>
      </c>
      <c r="B337" s="3233" t="s">
        <v>3160</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3161</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3162</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2926</v>
      </c>
      <c r="C345" s="3233">
        <v>3190</v>
      </c>
      <c r="D345" s="3233">
        <v>3140</v>
      </c>
      <c r="E345" s="3233">
        <v>3450</v>
      </c>
      <c r="F345" s="3233">
        <v>720</v>
      </c>
      <c r="G345" s="3233">
        <v>1880</v>
      </c>
      <c r="J345" s="3222"/>
    </row>
    <row r="346" spans="1:10">
      <c r="A346" s="3233" t="s">
        <v>307</v>
      </c>
      <c r="B346" s="3233" t="s">
        <v>3163</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2935</v>
      </c>
      <c r="C348" s="3233">
        <v>4000</v>
      </c>
      <c r="D348" s="3233">
        <v>3950</v>
      </c>
      <c r="E348" s="3233">
        <v>4430</v>
      </c>
      <c r="F348" s="3233">
        <v>760</v>
      </c>
      <c r="G348" s="3233">
        <v>2360</v>
      </c>
      <c r="J348" s="3222"/>
    </row>
    <row r="349" spans="1:10">
      <c r="A349" s="3233" t="s">
        <v>307</v>
      </c>
      <c r="B349" s="3233" t="s">
        <v>2940</v>
      </c>
      <c r="C349" s="3233">
        <v>3820</v>
      </c>
      <c r="D349" s="3233">
        <v>3780</v>
      </c>
      <c r="E349" s="3233">
        <v>4170</v>
      </c>
      <c r="F349" s="3233">
        <v>710</v>
      </c>
      <c r="G349" s="3233">
        <v>2260</v>
      </c>
      <c r="J349" s="3222"/>
    </row>
    <row r="350" spans="1:10">
      <c r="A350" s="3233" t="s">
        <v>307</v>
      </c>
      <c r="B350" s="3233" t="s">
        <v>3164</v>
      </c>
      <c r="C350" s="3233">
        <v>3760</v>
      </c>
      <c r="D350" s="3233">
        <v>3730</v>
      </c>
      <c r="E350" s="3233">
        <v>4100</v>
      </c>
      <c r="F350" s="3233">
        <v>800</v>
      </c>
      <c r="G350" s="3233">
        <v>2230</v>
      </c>
      <c r="J350" s="3222"/>
    </row>
    <row r="351" spans="1:10">
      <c r="A351" s="3233" t="s">
        <v>307</v>
      </c>
      <c r="B351" s="3233" t="s">
        <v>2948</v>
      </c>
      <c r="C351" s="3233">
        <v>3610</v>
      </c>
      <c r="D351" s="3233">
        <v>3580</v>
      </c>
      <c r="E351" s="3233">
        <v>3930</v>
      </c>
      <c r="F351" s="3233">
        <v>700</v>
      </c>
      <c r="G351" s="3233">
        <v>2140</v>
      </c>
      <c r="J351" s="3222"/>
    </row>
    <row r="352" spans="1:10">
      <c r="A352" s="3233" t="s">
        <v>307</v>
      </c>
      <c r="B352" s="3233" t="s">
        <v>2953</v>
      </c>
      <c r="C352" s="3233">
        <v>3670</v>
      </c>
      <c r="D352" s="3233">
        <v>3630</v>
      </c>
      <c r="E352" s="3233">
        <v>4000</v>
      </c>
      <c r="F352" s="3233">
        <v>750</v>
      </c>
      <c r="G352" s="3233">
        <v>2180</v>
      </c>
    </row>
    <row r="353" spans="1:7" s="3226" customFormat="1">
      <c r="A353" s="3233" t="s">
        <v>307</v>
      </c>
      <c r="B353" s="3233" t="s">
        <v>3165</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2973</v>
      </c>
      <c r="C355" s="3233">
        <v>3650</v>
      </c>
      <c r="D355" s="3233">
        <v>3610</v>
      </c>
      <c r="E355" s="3233">
        <v>4200</v>
      </c>
      <c r="F355" s="3233">
        <v>640</v>
      </c>
      <c r="G355" s="3233">
        <v>2160</v>
      </c>
    </row>
    <row r="356" spans="1:7" s="3226" customFormat="1">
      <c r="A356" s="3233" t="s">
        <v>307</v>
      </c>
      <c r="B356" s="3233" t="s">
        <v>2980</v>
      </c>
      <c r="C356" s="3233">
        <v>3260</v>
      </c>
      <c r="D356" s="3233">
        <v>3230</v>
      </c>
      <c r="E356" s="3233">
        <v>3740</v>
      </c>
      <c r="F356" s="3233">
        <v>600</v>
      </c>
      <c r="G356" s="3233">
        <v>1930</v>
      </c>
    </row>
    <row r="357" spans="1:7" s="3226" customFormat="1" ht="11.4" thickBot="1">
      <c r="A357" s="3241" t="s">
        <v>307</v>
      </c>
      <c r="B357" s="3244" t="s">
        <v>3166</v>
      </c>
      <c r="C357" s="3244">
        <v>3690</v>
      </c>
      <c r="D357" s="3244">
        <v>3650</v>
      </c>
      <c r="E357" s="3244">
        <v>4020</v>
      </c>
      <c r="F357" s="3244">
        <v>700</v>
      </c>
      <c r="G357" s="3244">
        <v>2190</v>
      </c>
    </row>
    <row r="358" spans="1:7" s="3226" customFormat="1">
      <c r="A358" s="3238" t="s">
        <v>3167</v>
      </c>
      <c r="B358" s="3229" t="s">
        <v>3168</v>
      </c>
      <c r="C358" s="3229">
        <v>2080</v>
      </c>
      <c r="D358" s="3229">
        <v>2040</v>
      </c>
      <c r="E358" s="3229">
        <v>2010</v>
      </c>
      <c r="F358" s="3229">
        <v>530</v>
      </c>
      <c r="G358" s="3245">
        <v>1230</v>
      </c>
    </row>
    <row r="359" spans="1:7" s="3226" customFormat="1">
      <c r="A359" s="3233" t="s">
        <v>3167</v>
      </c>
      <c r="B359" s="3233" t="s">
        <v>3169</v>
      </c>
      <c r="C359" s="3233">
        <v>1850</v>
      </c>
      <c r="D359" s="3233">
        <v>1820</v>
      </c>
      <c r="E359" s="3233">
        <v>1780</v>
      </c>
      <c r="F359" s="3233">
        <v>520</v>
      </c>
      <c r="G359" s="3246">
        <v>1100</v>
      </c>
    </row>
    <row r="360" spans="1:7" s="3226" customFormat="1">
      <c r="A360" s="3233" t="s">
        <v>3167</v>
      </c>
      <c r="B360" s="3233" t="s">
        <v>3170</v>
      </c>
      <c r="C360" s="3233">
        <v>2020</v>
      </c>
      <c r="D360" s="3233">
        <v>1990</v>
      </c>
      <c r="E360" s="3233">
        <v>1950</v>
      </c>
      <c r="F360" s="3233">
        <v>500</v>
      </c>
      <c r="G360" s="3246">
        <v>1200</v>
      </c>
    </row>
    <row r="361" spans="1:7" s="3226" customFormat="1">
      <c r="A361" s="3233" t="s">
        <v>3167</v>
      </c>
      <c r="B361" s="3233" t="s">
        <v>153</v>
      </c>
      <c r="C361" s="3233">
        <v>2260</v>
      </c>
      <c r="D361" s="3233">
        <v>2220</v>
      </c>
      <c r="E361" s="3233">
        <v>2180</v>
      </c>
      <c r="F361" s="3233">
        <v>580</v>
      </c>
      <c r="G361" s="3246">
        <v>1340</v>
      </c>
    </row>
    <row r="362" spans="1:7" s="3226" customFormat="1">
      <c r="A362" s="3233" t="s">
        <v>3167</v>
      </c>
      <c r="B362" s="3233" t="s">
        <v>3171</v>
      </c>
      <c r="C362" s="3233">
        <v>2650</v>
      </c>
      <c r="D362" s="3233">
        <v>2610</v>
      </c>
      <c r="E362" s="3233">
        <v>2570</v>
      </c>
      <c r="F362" s="3233">
        <v>630</v>
      </c>
      <c r="G362" s="3246">
        <v>1570</v>
      </c>
    </row>
    <row r="363" spans="1:7" s="3226" customFormat="1">
      <c r="A363" s="3233" t="s">
        <v>3167</v>
      </c>
      <c r="B363" s="3233" t="s">
        <v>2892</v>
      </c>
      <c r="C363" s="3233">
        <v>2390</v>
      </c>
      <c r="D363" s="3233">
        <v>2360</v>
      </c>
      <c r="E363" s="3233">
        <v>2320</v>
      </c>
      <c r="F363" s="3233">
        <v>600</v>
      </c>
      <c r="G363" s="3246">
        <v>1420</v>
      </c>
    </row>
    <row r="364" spans="1:7" s="3226" customFormat="1">
      <c r="A364" s="3233" t="s">
        <v>3167</v>
      </c>
      <c r="B364" s="3233" t="s">
        <v>3172</v>
      </c>
      <c r="C364" s="3233">
        <v>2050</v>
      </c>
      <c r="D364" s="3233">
        <v>2030</v>
      </c>
      <c r="E364" s="3233">
        <v>1990</v>
      </c>
      <c r="F364" s="3233">
        <v>550</v>
      </c>
      <c r="G364" s="3246">
        <v>1220</v>
      </c>
    </row>
    <row r="365" spans="1:7" s="3226" customFormat="1">
      <c r="A365" s="3233" t="s">
        <v>3167</v>
      </c>
      <c r="B365" s="3233" t="s">
        <v>200</v>
      </c>
      <c r="C365" s="3233">
        <v>2140</v>
      </c>
      <c r="D365" s="3233">
        <v>2100</v>
      </c>
      <c r="E365" s="3233">
        <v>2060</v>
      </c>
      <c r="F365" s="3233">
        <v>540</v>
      </c>
      <c r="G365" s="3246">
        <v>1270</v>
      </c>
    </row>
    <row r="366" spans="1:7" s="3226" customFormat="1">
      <c r="A366" s="3233" t="s">
        <v>3167</v>
      </c>
      <c r="B366" s="3233" t="s">
        <v>2899</v>
      </c>
      <c r="C366" s="3233">
        <v>2410</v>
      </c>
      <c r="D366" s="3233">
        <v>2370</v>
      </c>
      <c r="E366" s="3233">
        <v>2330</v>
      </c>
      <c r="F366" s="3233">
        <v>570</v>
      </c>
      <c r="G366" s="3246">
        <v>1440</v>
      </c>
    </row>
    <row r="367" spans="1:7" s="3226" customFormat="1">
      <c r="A367" s="3233" t="s">
        <v>3167</v>
      </c>
      <c r="B367" s="3233" t="s">
        <v>3173</v>
      </c>
      <c r="C367" s="3233">
        <v>2300</v>
      </c>
      <c r="D367" s="3233">
        <v>2260</v>
      </c>
      <c r="E367" s="3233">
        <v>2220</v>
      </c>
      <c r="F367" s="3233">
        <v>560</v>
      </c>
      <c r="G367" s="3246">
        <v>1370</v>
      </c>
    </row>
    <row r="368" spans="1:7" s="3226" customFormat="1">
      <c r="A368" s="3233" t="s">
        <v>3167</v>
      </c>
      <c r="B368" s="3233" t="s">
        <v>3174</v>
      </c>
      <c r="C368" s="3233">
        <v>2430</v>
      </c>
      <c r="D368" s="3233">
        <v>2390</v>
      </c>
      <c r="E368" s="3233">
        <v>2350</v>
      </c>
      <c r="F368" s="3233">
        <v>570</v>
      </c>
      <c r="G368" s="3246">
        <v>1450</v>
      </c>
    </row>
    <row r="369" spans="1:7" s="3226" customFormat="1">
      <c r="A369" s="3233" t="s">
        <v>3167</v>
      </c>
      <c r="B369" s="3233" t="s">
        <v>214</v>
      </c>
      <c r="C369" s="3233">
        <v>2320</v>
      </c>
      <c r="D369" s="3233">
        <v>2290</v>
      </c>
      <c r="E369" s="3233">
        <v>2250</v>
      </c>
      <c r="F369" s="3233">
        <v>550</v>
      </c>
      <c r="G369" s="3246">
        <v>1380</v>
      </c>
    </row>
    <row r="370" spans="1:7" s="3226" customFormat="1">
      <c r="A370" s="3233" t="s">
        <v>3167</v>
      </c>
      <c r="B370" s="3233" t="s">
        <v>221</v>
      </c>
      <c r="C370" s="3233">
        <v>2190</v>
      </c>
      <c r="D370" s="3233">
        <v>2170</v>
      </c>
      <c r="E370" s="3233">
        <v>2130</v>
      </c>
      <c r="F370" s="3233">
        <v>530</v>
      </c>
      <c r="G370" s="3246">
        <v>1310</v>
      </c>
    </row>
    <row r="371" spans="1:7" s="3226" customFormat="1">
      <c r="A371" s="3233" t="s">
        <v>3167</v>
      </c>
      <c r="B371" s="3233" t="s">
        <v>229</v>
      </c>
      <c r="C371" s="3233">
        <v>2460</v>
      </c>
      <c r="D371" s="3233">
        <v>2420</v>
      </c>
      <c r="E371" s="3233">
        <v>2370</v>
      </c>
      <c r="F371" s="3233">
        <v>560</v>
      </c>
      <c r="G371" s="3246">
        <v>1470</v>
      </c>
    </row>
    <row r="372" spans="1:7" s="3226" customFormat="1">
      <c r="A372" s="3233" t="s">
        <v>3167</v>
      </c>
      <c r="B372" s="3233" t="s">
        <v>3175</v>
      </c>
      <c r="C372" s="3233">
        <v>2250</v>
      </c>
      <c r="D372" s="3233">
        <v>2210</v>
      </c>
      <c r="E372" s="3233">
        <v>2180</v>
      </c>
      <c r="F372" s="3233">
        <v>550</v>
      </c>
      <c r="G372" s="3246">
        <v>1340</v>
      </c>
    </row>
    <row r="373" spans="1:7" s="3226" customFormat="1">
      <c r="A373" s="3233" t="s">
        <v>3167</v>
      </c>
      <c r="B373" s="3233" t="s">
        <v>258</v>
      </c>
      <c r="C373" s="3233">
        <v>2210</v>
      </c>
      <c r="D373" s="3233">
        <v>2190</v>
      </c>
      <c r="E373" s="3233">
        <v>2150</v>
      </c>
      <c r="F373" s="3233">
        <v>530</v>
      </c>
      <c r="G373" s="3246">
        <v>1320</v>
      </c>
    </row>
    <row r="374" spans="1:7" s="3226" customFormat="1">
      <c r="A374" s="3233" t="s">
        <v>3167</v>
      </c>
      <c r="B374" s="3233" t="s">
        <v>266</v>
      </c>
      <c r="C374" s="3233">
        <v>2320</v>
      </c>
      <c r="D374" s="3233">
        <v>2280</v>
      </c>
      <c r="E374" s="3233">
        <v>2230</v>
      </c>
      <c r="F374" s="3233">
        <v>580</v>
      </c>
      <c r="G374" s="3246">
        <v>1380</v>
      </c>
    </row>
    <row r="375" spans="1:7" s="3226" customFormat="1">
      <c r="A375" s="3233" t="s">
        <v>3167</v>
      </c>
      <c r="B375" s="3233" t="s">
        <v>3176</v>
      </c>
      <c r="C375" s="3233">
        <v>2090</v>
      </c>
      <c r="D375" s="3233">
        <v>2050</v>
      </c>
      <c r="E375" s="3233">
        <v>2020</v>
      </c>
      <c r="F375" s="3233">
        <v>520</v>
      </c>
      <c r="G375" s="3246">
        <v>1240</v>
      </c>
    </row>
    <row r="376" spans="1:7" s="3226" customFormat="1">
      <c r="A376" s="3233" t="s">
        <v>3167</v>
      </c>
      <c r="B376" s="3233" t="s">
        <v>277</v>
      </c>
      <c r="C376" s="3233">
        <v>2010</v>
      </c>
      <c r="D376" s="3233">
        <v>1980</v>
      </c>
      <c r="E376" s="3233">
        <v>1940</v>
      </c>
      <c r="F376" s="3233">
        <v>540</v>
      </c>
      <c r="G376" s="3246">
        <v>1190</v>
      </c>
    </row>
    <row r="377" spans="1:7" s="3226" customFormat="1" ht="11.4" thickBot="1">
      <c r="A377" s="3241" t="s">
        <v>3167</v>
      </c>
      <c r="B377" s="3244" t="s">
        <v>2929</v>
      </c>
      <c r="C377" s="3244">
        <v>1930</v>
      </c>
      <c r="D377" s="3244">
        <v>1890</v>
      </c>
      <c r="E377" s="3244">
        <v>1860</v>
      </c>
      <c r="F377" s="3244">
        <v>530</v>
      </c>
      <c r="G377" s="3249">
        <v>1150</v>
      </c>
    </row>
    <row r="378" spans="1:7" s="3226" customFormat="1">
      <c r="A378" s="3250" t="s">
        <v>3177</v>
      </c>
      <c r="B378" s="3229" t="s">
        <v>3178</v>
      </c>
      <c r="C378" s="3229">
        <v>1520</v>
      </c>
      <c r="D378" s="3229">
        <v>1490</v>
      </c>
      <c r="E378" s="3229">
        <v>1460</v>
      </c>
      <c r="F378" s="3229">
        <v>460</v>
      </c>
      <c r="G378" s="3245">
        <v>940</v>
      </c>
    </row>
    <row r="379" spans="1:7" s="3226" customFormat="1">
      <c r="A379" s="3251" t="s">
        <v>3177</v>
      </c>
      <c r="B379" s="3233" t="s">
        <v>3179</v>
      </c>
      <c r="C379" s="3233">
        <v>1500</v>
      </c>
      <c r="D379" s="3233">
        <v>1470</v>
      </c>
      <c r="E379" s="3233">
        <v>1430</v>
      </c>
      <c r="F379" s="3233">
        <v>460</v>
      </c>
      <c r="G379" s="3246">
        <v>920</v>
      </c>
    </row>
    <row r="380" spans="1:7" s="3226" customFormat="1">
      <c r="A380" s="3251" t="s">
        <v>3177</v>
      </c>
      <c r="B380" s="3233" t="s">
        <v>3180</v>
      </c>
      <c r="C380" s="3233">
        <v>1620</v>
      </c>
      <c r="D380" s="3233">
        <v>1590</v>
      </c>
      <c r="E380" s="3233">
        <v>1560</v>
      </c>
      <c r="F380" s="3233">
        <v>480</v>
      </c>
      <c r="G380" s="3246">
        <v>1000</v>
      </c>
    </row>
    <row r="381" spans="1:7" s="3226" customFormat="1">
      <c r="A381" s="3251" t="s">
        <v>3177</v>
      </c>
      <c r="B381" s="3233" t="s">
        <v>3181</v>
      </c>
      <c r="C381" s="3233">
        <v>1460</v>
      </c>
      <c r="D381" s="3233">
        <v>1430</v>
      </c>
      <c r="E381" s="3233">
        <v>1390</v>
      </c>
      <c r="F381" s="3233">
        <v>450</v>
      </c>
      <c r="G381" s="3246">
        <v>900</v>
      </c>
    </row>
    <row r="382" spans="1:7" s="3226" customFormat="1">
      <c r="A382" s="3251" t="s">
        <v>3177</v>
      </c>
      <c r="B382" s="3233" t="s">
        <v>3182</v>
      </c>
      <c r="C382" s="3233">
        <v>1310</v>
      </c>
      <c r="D382" s="3233">
        <v>1280</v>
      </c>
      <c r="E382" s="3233">
        <v>1250</v>
      </c>
      <c r="F382" s="3233">
        <v>440</v>
      </c>
      <c r="G382" s="3246">
        <v>800</v>
      </c>
    </row>
    <row r="383" spans="1:7" s="3226" customFormat="1">
      <c r="A383" s="3251" t="s">
        <v>3177</v>
      </c>
      <c r="B383" s="3233" t="s">
        <v>3183</v>
      </c>
      <c r="C383" s="3233">
        <v>1260</v>
      </c>
      <c r="D383" s="3233">
        <v>1230</v>
      </c>
      <c r="E383" s="3233">
        <v>1200</v>
      </c>
      <c r="F383" s="3233">
        <v>420</v>
      </c>
      <c r="G383" s="3246">
        <v>770</v>
      </c>
    </row>
    <row r="384" spans="1:7" s="3226" customFormat="1" ht="11.4" thickBot="1">
      <c r="A384" s="3252" t="s">
        <v>3177</v>
      </c>
      <c r="B384" s="3240" t="s">
        <v>3184</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8671875" defaultRowHeight="14.4"/>
  <cols>
    <col min="1" max="1" width="12.6640625" style="3289" customWidth="1"/>
    <col min="2" max="2" width="20" style="3289" customWidth="1"/>
    <col min="3" max="7" width="8.88671875" style="3253"/>
    <col min="8" max="16384" width="8.88671875" style="3254"/>
  </cols>
  <sheetData>
    <row r="1" spans="1:7">
      <c r="A1" s="3993" t="s">
        <v>3185</v>
      </c>
      <c r="B1" s="3993"/>
    </row>
    <row r="2" spans="1:7" ht="15" thickBot="1">
      <c r="A2" s="3255"/>
      <c r="B2" s="3255"/>
    </row>
    <row r="3" spans="1:7" ht="15" thickBot="1">
      <c r="A3" s="3255"/>
      <c r="B3" s="3255"/>
      <c r="C3" s="3256" t="s">
        <v>2815</v>
      </c>
      <c r="D3" s="3256" t="s">
        <v>2871</v>
      </c>
      <c r="E3" s="3256" t="s">
        <v>2817</v>
      </c>
      <c r="F3" s="3256" t="s">
        <v>2872</v>
      </c>
      <c r="G3" s="3256" t="s">
        <v>2635</v>
      </c>
    </row>
    <row r="4" spans="1:7" ht="15" thickBot="1">
      <c r="A4" s="3257" t="s">
        <v>2870</v>
      </c>
      <c r="B4" s="3258" t="s">
        <v>2876</v>
      </c>
      <c r="C4" s="3256"/>
      <c r="D4" s="3256"/>
      <c r="E4" s="3256"/>
      <c r="F4" s="3256"/>
      <c r="G4" s="3256"/>
    </row>
    <row r="5" spans="1:7">
      <c r="A5" s="3259" t="s">
        <v>2844</v>
      </c>
      <c r="B5" s="3260" t="s">
        <v>2858</v>
      </c>
      <c r="C5" s="3261">
        <v>9.8000000000000004E-2</v>
      </c>
      <c r="D5" s="3261">
        <v>8.6999999999999994E-2</v>
      </c>
      <c r="E5" s="3261">
        <v>8.6999999999999994E-2</v>
      </c>
      <c r="F5" s="3261">
        <v>9.8000000000000004E-2</v>
      </c>
      <c r="G5" s="3262">
        <v>9.5000000000000001E-2</v>
      </c>
    </row>
    <row r="6" spans="1:7">
      <c r="A6" s="3263" t="s">
        <v>144</v>
      </c>
      <c r="B6" s="3264" t="s">
        <v>2873</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5" thickBot="1">
      <c r="A9" s="3267" t="s">
        <v>144</v>
      </c>
      <c r="B9" s="3268" t="s">
        <v>154</v>
      </c>
      <c r="C9" s="3269">
        <v>0.1</v>
      </c>
      <c r="D9" s="3269">
        <v>0.1</v>
      </c>
      <c r="E9" s="3269">
        <v>0.1</v>
      </c>
      <c r="F9" s="3270"/>
      <c r="G9" s="3271">
        <v>0.1</v>
      </c>
    </row>
    <row r="10" spans="1:7">
      <c r="A10" s="3259" t="s">
        <v>184</v>
      </c>
      <c r="B10" s="3260" t="s">
        <v>2859</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2909</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5" thickBot="1">
      <c r="A29" s="3267" t="s">
        <v>184</v>
      </c>
      <c r="B29" s="3268" t="s">
        <v>2927</v>
      </c>
      <c r="C29" s="3273"/>
      <c r="D29" s="3269">
        <v>5.1999999999999998E-2</v>
      </c>
      <c r="E29" s="3269">
        <v>7.0000000000000007E-2</v>
      </c>
      <c r="F29" s="3273"/>
      <c r="G29" s="3271">
        <v>7.0999999999999994E-2</v>
      </c>
    </row>
    <row r="30" spans="1:7">
      <c r="A30" s="3274" t="s">
        <v>296</v>
      </c>
      <c r="B30" s="3260" t="s">
        <v>2860</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2846</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2930</v>
      </c>
      <c r="C50" s="3265">
        <v>9.8000000000000004E-2</v>
      </c>
      <c r="D50" s="3265">
        <v>7.2999999999999995E-2</v>
      </c>
      <c r="E50" s="3265">
        <v>7.0999999999999994E-2</v>
      </c>
      <c r="F50" s="3276"/>
      <c r="G50" s="3266">
        <v>7.2999999999999995E-2</v>
      </c>
    </row>
    <row r="51" spans="1:7">
      <c r="A51" s="3275" t="s">
        <v>296</v>
      </c>
      <c r="B51" s="3264" t="s">
        <v>2932</v>
      </c>
      <c r="C51" s="3265">
        <v>9.9000000000000005E-2</v>
      </c>
      <c r="D51" s="3265">
        <v>8.5000000000000006E-2</v>
      </c>
      <c r="E51" s="3265">
        <v>6.3E-2</v>
      </c>
      <c r="F51" s="3276"/>
      <c r="G51" s="3266">
        <v>9.6000000000000002E-2</v>
      </c>
    </row>
    <row r="52" spans="1:7">
      <c r="A52" s="3275" t="s">
        <v>296</v>
      </c>
      <c r="B52" s="3264" t="s">
        <v>2936</v>
      </c>
      <c r="C52" s="3265">
        <v>7.3999999999999996E-2</v>
      </c>
      <c r="D52" s="3265">
        <v>9.6000000000000002E-2</v>
      </c>
      <c r="E52" s="3265">
        <v>0.05</v>
      </c>
      <c r="F52" s="3276"/>
      <c r="G52" s="3266">
        <v>9.8000000000000004E-2</v>
      </c>
    </row>
    <row r="53" spans="1:7">
      <c r="A53" s="3275" t="s">
        <v>296</v>
      </c>
      <c r="B53" s="3264" t="s">
        <v>2941</v>
      </c>
      <c r="C53" s="3265">
        <v>8.5999999999999993E-2</v>
      </c>
      <c r="D53" s="3276"/>
      <c r="E53" s="3265">
        <v>9.1999999999999998E-2</v>
      </c>
      <c r="F53" s="3276"/>
      <c r="G53" s="3277"/>
    </row>
    <row r="54" spans="1:7" ht="15" thickBot="1">
      <c r="A54" s="3278" t="s">
        <v>296</v>
      </c>
      <c r="B54" s="3268" t="s">
        <v>2944</v>
      </c>
      <c r="C54" s="3269">
        <v>9.6000000000000002E-2</v>
      </c>
      <c r="D54" s="3270"/>
      <c r="E54" s="3279"/>
      <c r="F54" s="3270"/>
      <c r="G54" s="3280"/>
    </row>
    <row r="55" spans="1:7">
      <c r="A55" s="3274" t="s">
        <v>110</v>
      </c>
      <c r="B55" s="3260" t="s">
        <v>2861</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2942</v>
      </c>
      <c r="C78" s="3265">
        <v>0.1</v>
      </c>
      <c r="D78" s="3265">
        <v>8.5000000000000006E-2</v>
      </c>
      <c r="E78" s="3265">
        <v>9.6000000000000002E-2</v>
      </c>
      <c r="F78" s="3276"/>
      <c r="G78" s="3266">
        <v>9.6000000000000002E-2</v>
      </c>
    </row>
    <row r="79" spans="1:7">
      <c r="A79" s="3275" t="s">
        <v>110</v>
      </c>
      <c r="B79" s="3264" t="s">
        <v>2945</v>
      </c>
      <c r="C79" s="3265">
        <v>0.05</v>
      </c>
      <c r="D79" s="3265">
        <v>9.6000000000000002E-2</v>
      </c>
      <c r="E79" s="3265">
        <v>9.5000000000000001E-2</v>
      </c>
      <c r="F79" s="3276"/>
      <c r="G79" s="3266">
        <v>9.8000000000000004E-2</v>
      </c>
    </row>
    <row r="80" spans="1:7">
      <c r="A80" s="3275" t="s">
        <v>110</v>
      </c>
      <c r="B80" s="3264" t="s">
        <v>2949</v>
      </c>
      <c r="C80" s="3265">
        <v>8.5999999999999993E-2</v>
      </c>
      <c r="D80" s="3281"/>
      <c r="E80" s="3265">
        <v>0.1</v>
      </c>
      <c r="F80" s="3276"/>
      <c r="G80" s="3277"/>
    </row>
    <row r="81" spans="1:7">
      <c r="A81" s="3275" t="s">
        <v>110</v>
      </c>
      <c r="B81" s="3264" t="s">
        <v>2954</v>
      </c>
      <c r="C81" s="3265">
        <v>9.6000000000000002E-2</v>
      </c>
      <c r="D81" s="3276"/>
      <c r="E81" s="3265">
        <v>9.8000000000000004E-2</v>
      </c>
      <c r="F81" s="3276"/>
      <c r="G81" s="3277"/>
    </row>
    <row r="82" spans="1:7">
      <c r="A82" s="3275" t="s">
        <v>110</v>
      </c>
      <c r="B82" s="3264" t="s">
        <v>2961</v>
      </c>
      <c r="C82" s="3281"/>
      <c r="D82" s="3276"/>
      <c r="E82" s="3265">
        <v>7.6999999999999999E-2</v>
      </c>
      <c r="F82" s="3276"/>
      <c r="G82" s="3277"/>
    </row>
    <row r="83" spans="1:7">
      <c r="A83" s="3275" t="s">
        <v>110</v>
      </c>
      <c r="B83" s="3264" t="s">
        <v>2967</v>
      </c>
      <c r="C83" s="3276"/>
      <c r="D83" s="3276"/>
      <c r="E83" s="3276"/>
      <c r="F83" s="3265">
        <v>0.1</v>
      </c>
      <c r="G83" s="3282"/>
    </row>
    <row r="84" spans="1:7">
      <c r="A84" s="3275" t="s">
        <v>110</v>
      </c>
      <c r="B84" s="3264" t="s">
        <v>2974</v>
      </c>
      <c r="C84" s="3276"/>
      <c r="D84" s="3276"/>
      <c r="E84" s="3276"/>
      <c r="F84" s="3265">
        <v>0.1</v>
      </c>
      <c r="G84" s="3282"/>
    </row>
    <row r="85" spans="1:7">
      <c r="A85" s="3275" t="s">
        <v>110</v>
      </c>
      <c r="B85" s="3264" t="s">
        <v>2981</v>
      </c>
      <c r="C85" s="3276"/>
      <c r="D85" s="3276"/>
      <c r="E85" s="3276"/>
      <c r="F85" s="3265">
        <v>0.1</v>
      </c>
      <c r="G85" s="3282"/>
    </row>
    <row r="86" spans="1:7" ht="15" thickBot="1">
      <c r="A86" s="3278" t="s">
        <v>110</v>
      </c>
      <c r="B86" s="3268" t="s">
        <v>2986</v>
      </c>
      <c r="C86" s="3269">
        <v>9.8000000000000004E-2</v>
      </c>
      <c r="D86" s="3269">
        <v>9.8000000000000004E-2</v>
      </c>
      <c r="E86" s="3269">
        <v>9.6000000000000002E-2</v>
      </c>
      <c r="F86" s="3279"/>
      <c r="G86" s="3271">
        <v>0.1</v>
      </c>
    </row>
    <row r="87" spans="1:7">
      <c r="A87" s="3274" t="s">
        <v>303</v>
      </c>
      <c r="B87" s="3260" t="s">
        <v>2862</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2955</v>
      </c>
      <c r="C113" s="3265">
        <v>0.1</v>
      </c>
      <c r="D113" s="3265">
        <v>0.1</v>
      </c>
      <c r="E113" s="3276"/>
      <c r="F113" s="3276"/>
      <c r="G113" s="3266">
        <v>0.1</v>
      </c>
    </row>
    <row r="114" spans="1:7">
      <c r="A114" s="3275" t="s">
        <v>303</v>
      </c>
      <c r="B114" s="3264" t="s">
        <v>2962</v>
      </c>
      <c r="C114" s="3265">
        <v>9.7000000000000003E-2</v>
      </c>
      <c r="D114" s="3265">
        <v>9.7000000000000003E-2</v>
      </c>
      <c r="E114" s="3276"/>
      <c r="F114" s="3276"/>
      <c r="G114" s="3266">
        <v>9.9000000000000005E-2</v>
      </c>
    </row>
    <row r="115" spans="1:7">
      <c r="A115" s="3275" t="s">
        <v>303</v>
      </c>
      <c r="B115" s="3264" t="s">
        <v>2968</v>
      </c>
      <c r="C115" s="3265">
        <v>0.1</v>
      </c>
      <c r="D115" s="3265">
        <v>0.1</v>
      </c>
      <c r="E115" s="3276"/>
      <c r="F115" s="3276"/>
      <c r="G115" s="3266">
        <v>0.1</v>
      </c>
    </row>
    <row r="116" spans="1:7">
      <c r="A116" s="3275" t="s">
        <v>303</v>
      </c>
      <c r="B116" s="3264" t="s">
        <v>2975</v>
      </c>
      <c r="C116" s="3265">
        <v>0.1</v>
      </c>
      <c r="D116" s="3265">
        <v>0.1</v>
      </c>
      <c r="E116" s="3276"/>
      <c r="F116" s="3276"/>
      <c r="G116" s="3266">
        <v>0.1</v>
      </c>
    </row>
    <row r="117" spans="1:7">
      <c r="A117" s="3275" t="s">
        <v>303</v>
      </c>
      <c r="B117" s="3264" t="s">
        <v>2982</v>
      </c>
      <c r="C117" s="3265">
        <v>9.7000000000000003E-2</v>
      </c>
      <c r="D117" s="3265">
        <v>9.7000000000000003E-2</v>
      </c>
      <c r="E117" s="3276"/>
      <c r="F117" s="3276"/>
      <c r="G117" s="3266">
        <v>9.7000000000000003E-2</v>
      </c>
    </row>
    <row r="118" spans="1:7">
      <c r="A118" s="3275" t="s">
        <v>303</v>
      </c>
      <c r="B118" s="3264" t="s">
        <v>2987</v>
      </c>
      <c r="C118" s="3265">
        <v>0.1</v>
      </c>
      <c r="D118" s="3265">
        <v>0.1</v>
      </c>
      <c r="E118" s="3276"/>
      <c r="F118" s="3276"/>
      <c r="G118" s="3266">
        <v>0.1</v>
      </c>
    </row>
    <row r="119" spans="1:7">
      <c r="A119" s="3275" t="s">
        <v>303</v>
      </c>
      <c r="B119" s="3264" t="s">
        <v>2991</v>
      </c>
      <c r="C119" s="3265">
        <v>5.0999999999999997E-2</v>
      </c>
      <c r="D119" s="3265">
        <v>5.1999999999999998E-2</v>
      </c>
      <c r="E119" s="3276"/>
      <c r="F119" s="3281"/>
      <c r="G119" s="3266">
        <v>0.06</v>
      </c>
    </row>
    <row r="120" spans="1:7">
      <c r="A120" s="3275" t="s">
        <v>303</v>
      </c>
      <c r="B120" s="3264" t="s">
        <v>2995</v>
      </c>
      <c r="C120" s="3276"/>
      <c r="D120" s="3276"/>
      <c r="E120" s="3276"/>
      <c r="F120" s="3265">
        <v>0.1</v>
      </c>
      <c r="G120" s="3282"/>
    </row>
    <row r="121" spans="1:7">
      <c r="A121" s="3275" t="s">
        <v>303</v>
      </c>
      <c r="B121" s="3264" t="s">
        <v>3000</v>
      </c>
      <c r="C121" s="3276"/>
      <c r="D121" s="3276"/>
      <c r="E121" s="3276"/>
      <c r="F121" s="3265">
        <v>0.1</v>
      </c>
      <c r="G121" s="3282"/>
    </row>
    <row r="122" spans="1:7">
      <c r="A122" s="3275" t="s">
        <v>303</v>
      </c>
      <c r="B122" s="3264" t="s">
        <v>3005</v>
      </c>
      <c r="C122" s="3265">
        <v>0.1</v>
      </c>
      <c r="D122" s="3265">
        <v>0.1</v>
      </c>
      <c r="E122" s="3265">
        <v>9.8000000000000004E-2</v>
      </c>
      <c r="F122" s="3265">
        <v>0.1</v>
      </c>
      <c r="G122" s="3266">
        <v>0.1</v>
      </c>
    </row>
    <row r="123" spans="1:7">
      <c r="A123" s="3275" t="s">
        <v>303</v>
      </c>
      <c r="B123" s="3264" t="s">
        <v>3010</v>
      </c>
      <c r="C123" s="3265">
        <v>0.1</v>
      </c>
      <c r="D123" s="3265">
        <v>0.1</v>
      </c>
      <c r="E123" s="3265">
        <v>9.8000000000000004E-2</v>
      </c>
      <c r="F123" s="3265">
        <v>0.1</v>
      </c>
      <c r="G123" s="3266">
        <v>0.1</v>
      </c>
    </row>
    <row r="124" spans="1:7">
      <c r="A124" s="3275" t="s">
        <v>303</v>
      </c>
      <c r="B124" s="3264" t="s">
        <v>3015</v>
      </c>
      <c r="C124" s="3265">
        <v>0.1</v>
      </c>
      <c r="D124" s="3265">
        <v>0.1</v>
      </c>
      <c r="E124" s="3265">
        <v>9.8000000000000004E-2</v>
      </c>
      <c r="F124" s="3281"/>
      <c r="G124" s="3266">
        <v>0.1</v>
      </c>
    </row>
    <row r="125" spans="1:7">
      <c r="A125" s="3275" t="s">
        <v>303</v>
      </c>
      <c r="B125" s="3264" t="s">
        <v>3020</v>
      </c>
      <c r="C125" s="3265">
        <v>9.8000000000000004E-2</v>
      </c>
      <c r="D125" s="3265">
        <v>9.8000000000000004E-2</v>
      </c>
      <c r="E125" s="3265">
        <v>9.6000000000000002E-2</v>
      </c>
      <c r="F125" s="3281"/>
      <c r="G125" s="3266">
        <v>0.1</v>
      </c>
    </row>
    <row r="126" spans="1:7" ht="15" thickBot="1">
      <c r="A126" s="3278" t="s">
        <v>303</v>
      </c>
      <c r="B126" s="3268" t="s">
        <v>3186</v>
      </c>
      <c r="C126" s="3269">
        <v>0.1</v>
      </c>
      <c r="D126" s="3269">
        <v>0.1</v>
      </c>
      <c r="E126" s="3269">
        <v>9.8000000000000004E-2</v>
      </c>
      <c r="F126" s="3269">
        <v>0.1</v>
      </c>
      <c r="G126" s="3271">
        <v>0.1</v>
      </c>
    </row>
    <row r="127" spans="1:7">
      <c r="A127" s="3274" t="s">
        <v>29</v>
      </c>
      <c r="B127" s="3260" t="s">
        <v>2863</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2933</v>
      </c>
      <c r="C148" s="3265">
        <v>0.13</v>
      </c>
      <c r="D148" s="3265">
        <v>0.13</v>
      </c>
      <c r="E148" s="3265">
        <v>0.13</v>
      </c>
      <c r="F148" s="3276"/>
      <c r="G148" s="3266">
        <v>0.13</v>
      </c>
    </row>
    <row r="149" spans="1:7">
      <c r="A149" s="3275" t="s">
        <v>29</v>
      </c>
      <c r="B149" s="3264" t="s">
        <v>2937</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2956</v>
      </c>
      <c r="C153" s="3265">
        <v>0.13</v>
      </c>
      <c r="D153" s="3265">
        <v>0.13</v>
      </c>
      <c r="E153" s="3265">
        <v>0.13</v>
      </c>
      <c r="F153" s="3265">
        <v>0.13</v>
      </c>
      <c r="G153" s="3266">
        <v>0.13</v>
      </c>
    </row>
    <row r="154" spans="1:7">
      <c r="A154" s="3275" t="s">
        <v>29</v>
      </c>
      <c r="B154" s="3264" t="s">
        <v>2963</v>
      </c>
      <c r="C154" s="3265">
        <v>0.121</v>
      </c>
      <c r="D154" s="3265">
        <v>0.121</v>
      </c>
      <c r="E154" s="3265">
        <v>0.105</v>
      </c>
      <c r="F154" s="3265">
        <v>0.121</v>
      </c>
      <c r="G154" s="3266">
        <v>0.123</v>
      </c>
    </row>
    <row r="155" spans="1:7">
      <c r="A155" s="3275" t="s">
        <v>29</v>
      </c>
      <c r="B155" s="3264" t="s">
        <v>2969</v>
      </c>
      <c r="C155" s="3265">
        <v>0.1</v>
      </c>
      <c r="D155" s="3265">
        <v>0.1</v>
      </c>
      <c r="E155" s="3265">
        <v>0.1</v>
      </c>
      <c r="F155" s="3265">
        <v>0.1</v>
      </c>
      <c r="G155" s="3266">
        <v>0.1</v>
      </c>
    </row>
    <row r="156" spans="1:7">
      <c r="A156" s="3275" t="s">
        <v>29</v>
      </c>
      <c r="B156" s="3264" t="s">
        <v>2976</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2996</v>
      </c>
      <c r="C160" s="3265">
        <v>0.13</v>
      </c>
      <c r="D160" s="3265">
        <v>0.13</v>
      </c>
      <c r="E160" s="3265">
        <v>0.124</v>
      </c>
      <c r="F160" s="3265">
        <v>0.126</v>
      </c>
      <c r="G160" s="3266">
        <v>0.13</v>
      </c>
    </row>
    <row r="161" spans="1:7">
      <c r="A161" s="3275" t="s">
        <v>29</v>
      </c>
      <c r="B161" s="3264" t="s">
        <v>3001</v>
      </c>
      <c r="C161" s="3265">
        <v>0.13</v>
      </c>
      <c r="D161" s="3265">
        <v>0.13</v>
      </c>
      <c r="E161" s="3265">
        <v>0.124</v>
      </c>
      <c r="F161" s="3265">
        <v>0.127</v>
      </c>
      <c r="G161" s="3266">
        <v>0.13</v>
      </c>
    </row>
    <row r="162" spans="1:7">
      <c r="A162" s="3275" t="s">
        <v>29</v>
      </c>
      <c r="B162" s="3264" t="s">
        <v>3006</v>
      </c>
      <c r="C162" s="3265">
        <v>0.1</v>
      </c>
      <c r="D162" s="3265">
        <v>0.1</v>
      </c>
      <c r="E162" s="3265">
        <v>0.1</v>
      </c>
      <c r="F162" s="3265">
        <v>0.121</v>
      </c>
      <c r="G162" s="3266">
        <v>0.105</v>
      </c>
    </row>
    <row r="163" spans="1:7">
      <c r="A163" s="3275" t="s">
        <v>29</v>
      </c>
      <c r="B163" s="3264" t="s">
        <v>3011</v>
      </c>
      <c r="C163" s="3265">
        <v>0.1</v>
      </c>
      <c r="D163" s="3265">
        <v>0.1</v>
      </c>
      <c r="E163" s="3265">
        <v>0.1</v>
      </c>
      <c r="F163" s="3265">
        <v>0.1</v>
      </c>
      <c r="G163" s="3266">
        <v>0.1</v>
      </c>
    </row>
    <row r="164" spans="1:7">
      <c r="A164" s="3275" t="s">
        <v>29</v>
      </c>
      <c r="B164" s="3264" t="s">
        <v>3016</v>
      </c>
      <c r="C164" s="3281"/>
      <c r="D164" s="3281"/>
      <c r="E164" s="3281"/>
      <c r="F164" s="3265">
        <v>0.1</v>
      </c>
      <c r="G164" s="3277"/>
    </row>
    <row r="165" spans="1:7">
      <c r="A165" s="3275" t="s">
        <v>29</v>
      </c>
      <c r="B165" s="3264" t="s">
        <v>3187</v>
      </c>
      <c r="C165" s="3265">
        <v>0.126</v>
      </c>
      <c r="D165" s="3265">
        <v>0.126</v>
      </c>
      <c r="E165" s="3265">
        <v>0.11899999999999999</v>
      </c>
      <c r="F165" s="3265">
        <v>0.13</v>
      </c>
      <c r="G165" s="3266">
        <v>0.128</v>
      </c>
    </row>
    <row r="166" spans="1:7">
      <c r="A166" s="3275" t="s">
        <v>29</v>
      </c>
      <c r="B166" s="3264" t="s">
        <v>3026</v>
      </c>
      <c r="C166" s="3265">
        <v>0.129</v>
      </c>
      <c r="D166" s="3265">
        <v>0.129</v>
      </c>
      <c r="E166" s="3265">
        <v>0.123</v>
      </c>
      <c r="F166" s="3265">
        <v>0.128</v>
      </c>
      <c r="G166" s="3266">
        <v>0.13</v>
      </c>
    </row>
    <row r="167" spans="1:7">
      <c r="A167" s="3275" t="s">
        <v>29</v>
      </c>
      <c r="B167" s="3264" t="s">
        <v>3030</v>
      </c>
      <c r="C167" s="3265">
        <v>0.125</v>
      </c>
      <c r="D167" s="3265">
        <v>0.125</v>
      </c>
      <c r="E167" s="3265">
        <v>0.11700000000000001</v>
      </c>
      <c r="F167" s="3265">
        <v>0.13</v>
      </c>
      <c r="G167" s="3266">
        <v>0.126</v>
      </c>
    </row>
    <row r="168" spans="1:7">
      <c r="A168" s="3275" t="s">
        <v>29</v>
      </c>
      <c r="B168" s="3264" t="s">
        <v>3035</v>
      </c>
      <c r="C168" s="3265">
        <v>0.128</v>
      </c>
      <c r="D168" s="3265">
        <v>0.128</v>
      </c>
      <c r="E168" s="3265">
        <v>0.123</v>
      </c>
      <c r="F168" s="3276"/>
      <c r="G168" s="3266">
        <v>0.13</v>
      </c>
    </row>
    <row r="169" spans="1:7">
      <c r="A169" s="3275" t="s">
        <v>29</v>
      </c>
      <c r="B169" s="3264" t="s">
        <v>3188</v>
      </c>
      <c r="C169" s="3281"/>
      <c r="D169" s="3281"/>
      <c r="E169" s="3281"/>
      <c r="F169" s="3265">
        <v>0.05</v>
      </c>
      <c r="G169" s="3277"/>
    </row>
    <row r="170" spans="1:7">
      <c r="A170" s="3275" t="s">
        <v>29</v>
      </c>
      <c r="B170" s="3264" t="s">
        <v>3189</v>
      </c>
      <c r="C170" s="3281"/>
      <c r="D170" s="3281"/>
      <c r="E170" s="3281"/>
      <c r="F170" s="3265">
        <v>0.05</v>
      </c>
      <c r="G170" s="3277"/>
    </row>
    <row r="171" spans="1:7">
      <c r="A171" s="3275" t="s">
        <v>29</v>
      </c>
      <c r="B171" s="3264" t="s">
        <v>3190</v>
      </c>
      <c r="C171" s="3281"/>
      <c r="D171" s="3281"/>
      <c r="E171" s="3281"/>
      <c r="F171" s="3265">
        <v>0.05</v>
      </c>
      <c r="G171" s="3282"/>
    </row>
    <row r="172" spans="1:7">
      <c r="A172" s="3275" t="s">
        <v>29</v>
      </c>
      <c r="B172" s="3264" t="s">
        <v>3191</v>
      </c>
      <c r="C172" s="3281"/>
      <c r="D172" s="3281"/>
      <c r="E172" s="3281"/>
      <c r="F172" s="3265">
        <v>0.05</v>
      </c>
      <c r="G172" s="3282"/>
    </row>
    <row r="173" spans="1:7">
      <c r="A173" s="3275" t="s">
        <v>29</v>
      </c>
      <c r="B173" s="3264" t="s">
        <v>3192</v>
      </c>
      <c r="C173" s="3281"/>
      <c r="D173" s="3281"/>
      <c r="E173" s="3281"/>
      <c r="F173" s="3265">
        <v>0.05</v>
      </c>
      <c r="G173" s="3277"/>
    </row>
    <row r="174" spans="1:7">
      <c r="A174" s="3275" t="s">
        <v>29</v>
      </c>
      <c r="B174" s="3264" t="s">
        <v>3193</v>
      </c>
      <c r="C174" s="3281"/>
      <c r="D174" s="3281"/>
      <c r="E174" s="3281"/>
      <c r="F174" s="3265">
        <v>0.05</v>
      </c>
      <c r="G174" s="3277"/>
    </row>
    <row r="175" spans="1:7">
      <c r="A175" s="3275" t="s">
        <v>29</v>
      </c>
      <c r="B175" s="3264" t="s">
        <v>3194</v>
      </c>
      <c r="C175" s="3281"/>
      <c r="D175" s="3281"/>
      <c r="E175" s="3281"/>
      <c r="F175" s="3265">
        <v>0.05</v>
      </c>
      <c r="G175" s="3277"/>
    </row>
    <row r="176" spans="1:7">
      <c r="A176" s="3275" t="s">
        <v>29</v>
      </c>
      <c r="B176" s="3264" t="s">
        <v>3195</v>
      </c>
      <c r="C176" s="3281"/>
      <c r="D176" s="3281"/>
      <c r="E176" s="3281"/>
      <c r="F176" s="3265">
        <v>0.05</v>
      </c>
      <c r="G176" s="3277"/>
    </row>
    <row r="177" spans="1:7">
      <c r="A177" s="3275" t="s">
        <v>29</v>
      </c>
      <c r="B177" s="3264" t="s">
        <v>3196</v>
      </c>
      <c r="C177" s="3276"/>
      <c r="D177" s="3276"/>
      <c r="E177" s="3276"/>
      <c r="F177" s="3265">
        <v>0.05</v>
      </c>
      <c r="G177" s="3282"/>
    </row>
    <row r="178" spans="1:7">
      <c r="A178" s="3275" t="s">
        <v>29</v>
      </c>
      <c r="B178" s="3264" t="s">
        <v>3197</v>
      </c>
      <c r="C178" s="3276"/>
      <c r="D178" s="3276"/>
      <c r="E178" s="3276"/>
      <c r="F178" s="3265">
        <v>0.05</v>
      </c>
      <c r="G178" s="3282"/>
    </row>
    <row r="179" spans="1:7">
      <c r="A179" s="3275" t="s">
        <v>29</v>
      </c>
      <c r="B179" s="3264" t="s">
        <v>3198</v>
      </c>
      <c r="C179" s="3276"/>
      <c r="D179" s="3276"/>
      <c r="E179" s="3276"/>
      <c r="F179" s="3265">
        <v>0.05</v>
      </c>
      <c r="G179" s="3282"/>
    </row>
    <row r="180" spans="1:7">
      <c r="A180" s="3275" t="s">
        <v>29</v>
      </c>
      <c r="B180" s="3264" t="s">
        <v>3199</v>
      </c>
      <c r="C180" s="3276"/>
      <c r="D180" s="3276"/>
      <c r="E180" s="3276"/>
      <c r="F180" s="3265">
        <v>0.05</v>
      </c>
      <c r="G180" s="3282"/>
    </row>
    <row r="181" spans="1:7">
      <c r="A181" s="3275" t="s">
        <v>29</v>
      </c>
      <c r="B181" s="3264" t="s">
        <v>3200</v>
      </c>
      <c r="C181" s="3276"/>
      <c r="D181" s="3276"/>
      <c r="E181" s="3276"/>
      <c r="F181" s="3265">
        <v>0.05</v>
      </c>
      <c r="G181" s="3282"/>
    </row>
    <row r="182" spans="1:7">
      <c r="A182" s="3275" t="s">
        <v>29</v>
      </c>
      <c r="B182" s="3264" t="s">
        <v>3201</v>
      </c>
      <c r="C182" s="3276"/>
      <c r="D182" s="3276"/>
      <c r="E182" s="3276"/>
      <c r="F182" s="3265">
        <v>0.05</v>
      </c>
      <c r="G182" s="3282"/>
    </row>
    <row r="183" spans="1:7">
      <c r="A183" s="3275" t="s">
        <v>29</v>
      </c>
      <c r="B183" s="3264" t="s">
        <v>3202</v>
      </c>
      <c r="C183" s="3276"/>
      <c r="D183" s="3276"/>
      <c r="E183" s="3276"/>
      <c r="F183" s="3265">
        <v>0.05</v>
      </c>
      <c r="G183" s="3282"/>
    </row>
    <row r="184" spans="1:7">
      <c r="A184" s="3275" t="s">
        <v>29</v>
      </c>
      <c r="B184" s="3264" t="s">
        <v>3203</v>
      </c>
      <c r="C184" s="3276"/>
      <c r="D184" s="3276"/>
      <c r="E184" s="3276"/>
      <c r="F184" s="3265">
        <v>0.05</v>
      </c>
      <c r="G184" s="3282"/>
    </row>
    <row r="185" spans="1:7">
      <c r="A185" s="3275" t="s">
        <v>29</v>
      </c>
      <c r="B185" s="3264" t="s">
        <v>3204</v>
      </c>
      <c r="C185" s="3276"/>
      <c r="D185" s="3276"/>
      <c r="E185" s="3276"/>
      <c r="F185" s="3265">
        <v>0.05</v>
      </c>
      <c r="G185" s="3282"/>
    </row>
    <row r="186" spans="1:7">
      <c r="A186" s="3275" t="s">
        <v>29</v>
      </c>
      <c r="B186" s="3264" t="s">
        <v>3205</v>
      </c>
      <c r="C186" s="3276"/>
      <c r="D186" s="3276"/>
      <c r="E186" s="3276"/>
      <c r="F186" s="3265">
        <v>0.05</v>
      </c>
      <c r="G186" s="3282"/>
    </row>
    <row r="187" spans="1:7">
      <c r="A187" s="3275" t="s">
        <v>29</v>
      </c>
      <c r="B187" s="3264" t="s">
        <v>3206</v>
      </c>
      <c r="C187" s="3276"/>
      <c r="D187" s="3276"/>
      <c r="E187" s="3276"/>
      <c r="F187" s="3265">
        <v>0.05</v>
      </c>
      <c r="G187" s="3282"/>
    </row>
    <row r="188" spans="1:7">
      <c r="A188" s="3275" t="s">
        <v>29</v>
      </c>
      <c r="B188" s="3264" t="s">
        <v>3207</v>
      </c>
      <c r="C188" s="3276"/>
      <c r="D188" s="3276"/>
      <c r="E188" s="3276"/>
      <c r="F188" s="3265">
        <v>0.05</v>
      </c>
      <c r="G188" s="3282"/>
    </row>
    <row r="189" spans="1:7" ht="15" thickBot="1">
      <c r="A189" s="3278" t="s">
        <v>29</v>
      </c>
      <c r="B189" s="3268" t="s">
        <v>3208</v>
      </c>
      <c r="C189" s="3270"/>
      <c r="D189" s="3270"/>
      <c r="E189" s="3270"/>
      <c r="F189" s="3269">
        <v>0.05</v>
      </c>
      <c r="G189" s="3283"/>
    </row>
    <row r="190" spans="1:7">
      <c r="A190" s="3274" t="s">
        <v>304</v>
      </c>
      <c r="B190" s="3260" t="s">
        <v>2864</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2900</v>
      </c>
      <c r="C199" s="3265">
        <v>0.13</v>
      </c>
      <c r="D199" s="3265">
        <v>0.13</v>
      </c>
      <c r="E199" s="3265">
        <v>0.13</v>
      </c>
      <c r="F199" s="3265">
        <v>0.13</v>
      </c>
      <c r="G199" s="3266">
        <v>0.13</v>
      </c>
    </row>
    <row r="200" spans="1:7">
      <c r="A200" s="3275" t="s">
        <v>304</v>
      </c>
      <c r="B200" s="3264" t="s">
        <v>2903</v>
      </c>
      <c r="C200" s="3281"/>
      <c r="D200" s="3281"/>
      <c r="E200" s="3281"/>
      <c r="F200" s="3265">
        <v>0.13</v>
      </c>
      <c r="G200" s="3277"/>
    </row>
    <row r="201" spans="1:7">
      <c r="A201" s="3275" t="s">
        <v>304</v>
      </c>
      <c r="B201" s="3264" t="s">
        <v>2908</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2911</v>
      </c>
      <c r="C203" s="3265">
        <v>0.129</v>
      </c>
      <c r="D203" s="3265">
        <v>0.129</v>
      </c>
      <c r="E203" s="3265">
        <v>0.13</v>
      </c>
      <c r="F203" s="3265">
        <v>0.13</v>
      </c>
      <c r="G203" s="3266">
        <v>0.13</v>
      </c>
    </row>
    <row r="204" spans="1:7">
      <c r="A204" s="3275" t="s">
        <v>304</v>
      </c>
      <c r="B204" s="3264" t="s">
        <v>2914</v>
      </c>
      <c r="C204" s="3265">
        <v>0.129</v>
      </c>
      <c r="D204" s="3265">
        <v>0.129</v>
      </c>
      <c r="E204" s="3265">
        <v>0.123</v>
      </c>
      <c r="F204" s="3265">
        <v>0.13</v>
      </c>
      <c r="G204" s="3266">
        <v>0.13</v>
      </c>
    </row>
    <row r="205" spans="1:7">
      <c r="A205" s="3275" t="s">
        <v>304</v>
      </c>
      <c r="B205" s="3264" t="s">
        <v>2916</v>
      </c>
      <c r="C205" s="3265">
        <v>0.13</v>
      </c>
      <c r="D205" s="3265">
        <v>0.13</v>
      </c>
      <c r="E205" s="3265">
        <v>0.13</v>
      </c>
      <c r="F205" s="3265">
        <v>0.13</v>
      </c>
      <c r="G205" s="3266">
        <v>0.13</v>
      </c>
    </row>
    <row r="206" spans="1:7">
      <c r="A206" s="3275" t="s">
        <v>304</v>
      </c>
      <c r="B206" s="3264" t="s">
        <v>2919</v>
      </c>
      <c r="C206" s="3265">
        <v>0.13</v>
      </c>
      <c r="D206" s="3265">
        <v>0.13</v>
      </c>
      <c r="E206" s="3265">
        <v>0.13</v>
      </c>
      <c r="F206" s="3265">
        <v>0.128</v>
      </c>
      <c r="G206" s="3266">
        <v>0.13</v>
      </c>
    </row>
    <row r="207" spans="1:7">
      <c r="A207" s="3275" t="s">
        <v>304</v>
      </c>
      <c r="B207" s="3264" t="s">
        <v>2921</v>
      </c>
      <c r="C207" s="3265">
        <v>0.13</v>
      </c>
      <c r="D207" s="3265">
        <v>0.13</v>
      </c>
      <c r="E207" s="3265">
        <v>0.13</v>
      </c>
      <c r="F207" s="3265">
        <v>0.13</v>
      </c>
      <c r="G207" s="3266">
        <v>0.13</v>
      </c>
    </row>
    <row r="208" spans="1:7">
      <c r="A208" s="3275" t="s">
        <v>304</v>
      </c>
      <c r="B208" s="3264" t="s">
        <v>2924</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2931</v>
      </c>
      <c r="C210" s="3265">
        <v>0.121</v>
      </c>
      <c r="D210" s="3265">
        <v>0.121</v>
      </c>
      <c r="E210" s="3265">
        <v>0.125</v>
      </c>
      <c r="F210" s="3265">
        <v>0.13</v>
      </c>
      <c r="G210" s="3266">
        <v>0.123</v>
      </c>
    </row>
    <row r="211" spans="1:7">
      <c r="A211" s="3275" t="s">
        <v>304</v>
      </c>
      <c r="B211" s="3264" t="s">
        <v>2934</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2946</v>
      </c>
      <c r="C214" s="3265">
        <v>0.128</v>
      </c>
      <c r="D214" s="3265">
        <v>0.128</v>
      </c>
      <c r="E214" s="3265">
        <v>0.13</v>
      </c>
      <c r="F214" s="3265">
        <v>0.13</v>
      </c>
      <c r="G214" s="3266">
        <v>0.13</v>
      </c>
    </row>
    <row r="215" spans="1:7">
      <c r="A215" s="3275" t="s">
        <v>304</v>
      </c>
      <c r="B215" s="3264" t="s">
        <v>2950</v>
      </c>
      <c r="C215" s="3265">
        <v>0.13</v>
      </c>
      <c r="D215" s="3265">
        <v>0.13</v>
      </c>
      <c r="E215" s="3265">
        <v>0.13</v>
      </c>
      <c r="F215" s="3265">
        <v>0.129</v>
      </c>
      <c r="G215" s="3266">
        <v>0.13</v>
      </c>
    </row>
    <row r="216" spans="1:7">
      <c r="A216" s="3275" t="s">
        <v>304</v>
      </c>
      <c r="B216" s="3264" t="s">
        <v>2957</v>
      </c>
      <c r="C216" s="3265">
        <v>0.13</v>
      </c>
      <c r="D216" s="3265">
        <v>0.13</v>
      </c>
      <c r="E216" s="3265">
        <v>0.13</v>
      </c>
      <c r="F216" s="3265">
        <v>0.13</v>
      </c>
      <c r="G216" s="3266">
        <v>0.13</v>
      </c>
    </row>
    <row r="217" spans="1:7">
      <c r="A217" s="3275" t="s">
        <v>304</v>
      </c>
      <c r="B217" s="3264" t="s">
        <v>2964</v>
      </c>
      <c r="C217" s="3265">
        <v>0.129</v>
      </c>
      <c r="D217" s="3265">
        <v>0.129</v>
      </c>
      <c r="E217" s="3265">
        <v>0.13</v>
      </c>
      <c r="F217" s="3265">
        <v>0.13</v>
      </c>
      <c r="G217" s="3266">
        <v>0.13</v>
      </c>
    </row>
    <row r="218" spans="1:7">
      <c r="A218" s="3275" t="s">
        <v>304</v>
      </c>
      <c r="B218" s="3264" t="s">
        <v>2970</v>
      </c>
      <c r="C218" s="3276"/>
      <c r="D218" s="3276"/>
      <c r="E218" s="3276"/>
      <c r="F218" s="3265">
        <v>0.05</v>
      </c>
      <c r="G218" s="3282"/>
    </row>
    <row r="219" spans="1:7">
      <c r="A219" s="3275" t="s">
        <v>304</v>
      </c>
      <c r="B219" s="3264" t="s">
        <v>2977</v>
      </c>
      <c r="C219" s="3276"/>
      <c r="D219" s="3276"/>
      <c r="E219" s="3276"/>
      <c r="F219" s="3265">
        <v>0.05</v>
      </c>
      <c r="G219" s="3282"/>
    </row>
    <row r="220" spans="1:7">
      <c r="A220" s="3275" t="s">
        <v>304</v>
      </c>
      <c r="B220" s="3264" t="s">
        <v>2983</v>
      </c>
      <c r="C220" s="3276"/>
      <c r="D220" s="3276"/>
      <c r="E220" s="3276"/>
      <c r="F220" s="3265">
        <v>0.05</v>
      </c>
      <c r="G220" s="3282"/>
    </row>
    <row r="221" spans="1:7">
      <c r="A221" s="3275" t="s">
        <v>304</v>
      </c>
      <c r="B221" s="3264" t="s">
        <v>2988</v>
      </c>
      <c r="C221" s="3276"/>
      <c r="D221" s="3276"/>
      <c r="E221" s="3276"/>
      <c r="F221" s="3265">
        <v>0.05</v>
      </c>
      <c r="G221" s="3282"/>
    </row>
    <row r="222" spans="1:7">
      <c r="A222" s="3275" t="s">
        <v>304</v>
      </c>
      <c r="B222" s="3264" t="s">
        <v>2992</v>
      </c>
      <c r="C222" s="3276"/>
      <c r="D222" s="3276"/>
      <c r="E222" s="3276"/>
      <c r="F222" s="3265">
        <v>0.05</v>
      </c>
      <c r="G222" s="3282"/>
    </row>
    <row r="223" spans="1:7">
      <c r="A223" s="3275" t="s">
        <v>304</v>
      </c>
      <c r="B223" s="3264" t="s">
        <v>2997</v>
      </c>
      <c r="C223" s="3276"/>
      <c r="D223" s="3276"/>
      <c r="E223" s="3276"/>
      <c r="F223" s="3265">
        <v>0.05</v>
      </c>
      <c r="G223" s="3282"/>
    </row>
    <row r="224" spans="1:7">
      <c r="A224" s="3275" t="s">
        <v>304</v>
      </c>
      <c r="B224" s="3264" t="s">
        <v>3002</v>
      </c>
      <c r="C224" s="3276"/>
      <c r="D224" s="3276"/>
      <c r="E224" s="3276"/>
      <c r="F224" s="3265">
        <v>0.05</v>
      </c>
      <c r="G224" s="3282"/>
    </row>
    <row r="225" spans="1:7">
      <c r="A225" s="3275" t="s">
        <v>304</v>
      </c>
      <c r="B225" s="3264" t="s">
        <v>3007</v>
      </c>
      <c r="C225" s="3276"/>
      <c r="D225" s="3276"/>
      <c r="E225" s="3276"/>
      <c r="F225" s="3265">
        <v>0.05</v>
      </c>
      <c r="G225" s="3282"/>
    </row>
    <row r="226" spans="1:7">
      <c r="A226" s="3275" t="s">
        <v>304</v>
      </c>
      <c r="B226" s="3264" t="s">
        <v>3209</v>
      </c>
      <c r="C226" s="3276"/>
      <c r="D226" s="3276"/>
      <c r="E226" s="3276"/>
      <c r="F226" s="3265">
        <v>0.05</v>
      </c>
      <c r="G226" s="3282"/>
    </row>
    <row r="227" spans="1:7">
      <c r="A227" s="3275" t="s">
        <v>304</v>
      </c>
      <c r="B227" s="3264" t="s">
        <v>3210</v>
      </c>
      <c r="C227" s="3276"/>
      <c r="D227" s="3276"/>
      <c r="E227" s="3276"/>
      <c r="F227" s="3265">
        <v>0.05</v>
      </c>
      <c r="G227" s="3282"/>
    </row>
    <row r="228" spans="1:7">
      <c r="A228" s="3275" t="s">
        <v>304</v>
      </c>
      <c r="B228" s="3264" t="s">
        <v>3211</v>
      </c>
      <c r="C228" s="3276"/>
      <c r="D228" s="3276"/>
      <c r="E228" s="3276"/>
      <c r="F228" s="3265">
        <v>0.05</v>
      </c>
      <c r="G228" s="3282"/>
    </row>
    <row r="229" spans="1:7">
      <c r="A229" s="3275" t="s">
        <v>304</v>
      </c>
      <c r="B229" s="3264" t="s">
        <v>3212</v>
      </c>
      <c r="C229" s="3276"/>
      <c r="D229" s="3276"/>
      <c r="E229" s="3276"/>
      <c r="F229" s="3265">
        <v>0.05</v>
      </c>
      <c r="G229" s="3282"/>
    </row>
    <row r="230" spans="1:7">
      <c r="A230" s="3275" t="s">
        <v>304</v>
      </c>
      <c r="B230" s="3264" t="s">
        <v>3213</v>
      </c>
      <c r="C230" s="3276"/>
      <c r="D230" s="3276"/>
      <c r="E230" s="3276"/>
      <c r="F230" s="3265">
        <v>0.05</v>
      </c>
      <c r="G230" s="3282"/>
    </row>
    <row r="231" spans="1:7">
      <c r="A231" s="3275" t="s">
        <v>304</v>
      </c>
      <c r="B231" s="3264" t="s">
        <v>3214</v>
      </c>
      <c r="C231" s="3276"/>
      <c r="D231" s="3276"/>
      <c r="E231" s="3276"/>
      <c r="F231" s="3265">
        <v>0.05</v>
      </c>
      <c r="G231" s="3282"/>
    </row>
    <row r="232" spans="1:7">
      <c r="A232" s="3275" t="s">
        <v>304</v>
      </c>
      <c r="B232" s="3264" t="s">
        <v>3215</v>
      </c>
      <c r="C232" s="3276"/>
      <c r="D232" s="3276"/>
      <c r="E232" s="3276"/>
      <c r="F232" s="3265">
        <v>0.05</v>
      </c>
      <c r="G232" s="3282"/>
    </row>
    <row r="233" spans="1:7" ht="15" thickBot="1">
      <c r="A233" s="3278" t="s">
        <v>304</v>
      </c>
      <c r="B233" s="3268" t="s">
        <v>3216</v>
      </c>
      <c r="C233" s="3270"/>
      <c r="D233" s="3270"/>
      <c r="E233" s="3270"/>
      <c r="F233" s="3269">
        <v>0.05</v>
      </c>
      <c r="G233" s="3283"/>
    </row>
    <row r="234" spans="1:7">
      <c r="A234" s="3274" t="s">
        <v>305</v>
      </c>
      <c r="B234" s="3260" t="s">
        <v>2865</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2885</v>
      </c>
      <c r="C238" s="3265">
        <v>0.14899999999999999</v>
      </c>
      <c r="D238" s="3265">
        <v>0.14899999999999999</v>
      </c>
      <c r="E238" s="3265">
        <v>0.15</v>
      </c>
      <c r="F238" s="3265">
        <v>0.15</v>
      </c>
      <c r="G238" s="3266">
        <v>0.15</v>
      </c>
    </row>
    <row r="239" spans="1:7">
      <c r="A239" s="3275" t="s">
        <v>305</v>
      </c>
      <c r="B239" s="3264" t="s">
        <v>2889</v>
      </c>
      <c r="C239" s="3265">
        <v>0.15</v>
      </c>
      <c r="D239" s="3265">
        <v>0.15</v>
      </c>
      <c r="E239" s="3265">
        <v>0.15</v>
      </c>
      <c r="F239" s="3265">
        <v>0.15</v>
      </c>
      <c r="G239" s="3266">
        <v>0.15</v>
      </c>
    </row>
    <row r="240" spans="1:7">
      <c r="A240" s="3275" t="s">
        <v>305</v>
      </c>
      <c r="B240" s="3264" t="s">
        <v>2894</v>
      </c>
      <c r="C240" s="3265">
        <v>0.15</v>
      </c>
      <c r="D240" s="3265">
        <v>0.15</v>
      </c>
      <c r="E240" s="3265">
        <v>0.15</v>
      </c>
      <c r="F240" s="3265">
        <v>0.15</v>
      </c>
      <c r="G240" s="3266">
        <v>0.15</v>
      </c>
    </row>
    <row r="241" spans="1:7">
      <c r="A241" s="3275" t="s">
        <v>305</v>
      </c>
      <c r="B241" s="3264" t="s">
        <v>2898</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2904</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2912</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2917</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2925</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2938</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2947</v>
      </c>
      <c r="C258" s="3265">
        <v>0.14299999999999999</v>
      </c>
      <c r="D258" s="3265">
        <v>0.14299999999999999</v>
      </c>
      <c r="E258" s="3265">
        <v>0.15</v>
      </c>
      <c r="F258" s="3265">
        <v>0.14799999999999999</v>
      </c>
      <c r="G258" s="3266">
        <v>0.14599999999999999</v>
      </c>
    </row>
    <row r="259" spans="1:7">
      <c r="A259" s="3275" t="s">
        <v>305</v>
      </c>
      <c r="B259" s="3264" t="s">
        <v>2951</v>
      </c>
      <c r="C259" s="3265">
        <v>0.14399999999999999</v>
      </c>
      <c r="D259" s="3265">
        <v>0.14399999999999999</v>
      </c>
      <c r="E259" s="3265">
        <v>0.14899999999999999</v>
      </c>
      <c r="F259" s="3265">
        <v>0.14699999999999999</v>
      </c>
      <c r="G259" s="3266">
        <v>0.14599999999999999</v>
      </c>
    </row>
    <row r="260" spans="1:7">
      <c r="A260" s="3275" t="s">
        <v>305</v>
      </c>
      <c r="B260" s="3264" t="s">
        <v>2958</v>
      </c>
      <c r="C260" s="3265">
        <v>0.109</v>
      </c>
      <c r="D260" s="3265">
        <v>0.111</v>
      </c>
      <c r="E260" s="3265">
        <v>0.13100000000000001</v>
      </c>
      <c r="F260" s="3265">
        <v>0.126</v>
      </c>
      <c r="G260" s="3266">
        <v>0.11899999999999999</v>
      </c>
    </row>
    <row r="261" spans="1:7">
      <c r="A261" s="3275" t="s">
        <v>305</v>
      </c>
      <c r="B261" s="3264" t="s">
        <v>2965</v>
      </c>
      <c r="C261" s="3265">
        <v>0.1</v>
      </c>
      <c r="D261" s="3265">
        <v>0.1</v>
      </c>
      <c r="E261" s="3265">
        <v>0.11799999999999999</v>
      </c>
      <c r="F261" s="3265">
        <v>0.108</v>
      </c>
      <c r="G261" s="3266">
        <v>0.107</v>
      </c>
    </row>
    <row r="262" spans="1:7">
      <c r="A262" s="3275" t="s">
        <v>305</v>
      </c>
      <c r="B262" s="3264" t="s">
        <v>2971</v>
      </c>
      <c r="C262" s="3265">
        <v>0.1</v>
      </c>
      <c r="D262" s="3265">
        <v>0.1</v>
      </c>
      <c r="E262" s="3265">
        <v>0.1</v>
      </c>
      <c r="F262" s="3265">
        <v>0.14099999999999999</v>
      </c>
      <c r="G262" s="3266">
        <v>0.1</v>
      </c>
    </row>
    <row r="263" spans="1:7">
      <c r="A263" s="3275" t="s">
        <v>305</v>
      </c>
      <c r="B263" s="3264" t="s">
        <v>2978</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2989</v>
      </c>
      <c r="C265" s="3276"/>
      <c r="D265" s="3276"/>
      <c r="E265" s="3276"/>
      <c r="F265" s="3265">
        <v>0.05</v>
      </c>
      <c r="G265" s="3282"/>
    </row>
    <row r="266" spans="1:7">
      <c r="A266" s="3275" t="s">
        <v>305</v>
      </c>
      <c r="B266" s="3264" t="s">
        <v>2993</v>
      </c>
      <c r="C266" s="3276"/>
      <c r="D266" s="3276"/>
      <c r="E266" s="3276"/>
      <c r="F266" s="3265">
        <v>0.05</v>
      </c>
      <c r="G266" s="3282"/>
    </row>
    <row r="267" spans="1:7">
      <c r="A267" s="3275" t="s">
        <v>305</v>
      </c>
      <c r="B267" s="3264" t="s">
        <v>2998</v>
      </c>
      <c r="C267" s="3276"/>
      <c r="D267" s="3276"/>
      <c r="E267" s="3276"/>
      <c r="F267" s="3265">
        <v>0.05</v>
      </c>
      <c r="G267" s="3282"/>
    </row>
    <row r="268" spans="1:7">
      <c r="A268" s="3275" t="s">
        <v>305</v>
      </c>
      <c r="B268" s="3264" t="s">
        <v>3003</v>
      </c>
      <c r="C268" s="3276"/>
      <c r="D268" s="3276"/>
      <c r="E268" s="3276"/>
      <c r="F268" s="3265">
        <v>0.05</v>
      </c>
      <c r="G268" s="3282"/>
    </row>
    <row r="269" spans="1:7">
      <c r="A269" s="3275" t="s">
        <v>305</v>
      </c>
      <c r="B269" s="3264" t="s">
        <v>3008</v>
      </c>
      <c r="C269" s="3276"/>
      <c r="D269" s="3276"/>
      <c r="E269" s="3276"/>
      <c r="F269" s="3265">
        <v>0.05</v>
      </c>
      <c r="G269" s="3282"/>
    </row>
    <row r="270" spans="1:7">
      <c r="A270" s="3275" t="s">
        <v>305</v>
      </c>
      <c r="B270" s="3264" t="s">
        <v>3013</v>
      </c>
      <c r="C270" s="3276"/>
      <c r="D270" s="3276"/>
      <c r="E270" s="3276"/>
      <c r="F270" s="3265">
        <v>0.05</v>
      </c>
      <c r="G270" s="3282"/>
    </row>
    <row r="271" spans="1:7">
      <c r="A271" s="3275" t="s">
        <v>305</v>
      </c>
      <c r="B271" s="3264" t="s">
        <v>3217</v>
      </c>
      <c r="C271" s="3276"/>
      <c r="D271" s="3276"/>
      <c r="E271" s="3276"/>
      <c r="F271" s="3265">
        <v>0.05</v>
      </c>
      <c r="G271" s="3282"/>
    </row>
    <row r="272" spans="1:7">
      <c r="A272" s="3275" t="s">
        <v>305</v>
      </c>
      <c r="B272" s="3264" t="s">
        <v>3218</v>
      </c>
      <c r="C272" s="3276"/>
      <c r="D272" s="3276"/>
      <c r="E272" s="3276"/>
      <c r="F272" s="3265">
        <v>0.05</v>
      </c>
      <c r="G272" s="3282"/>
    </row>
    <row r="273" spans="1:7">
      <c r="A273" s="3275" t="s">
        <v>305</v>
      </c>
      <c r="B273" s="3264" t="s">
        <v>3219</v>
      </c>
      <c r="C273" s="3276"/>
      <c r="D273" s="3276"/>
      <c r="E273" s="3276"/>
      <c r="F273" s="3265">
        <v>0.05</v>
      </c>
      <c r="G273" s="3282"/>
    </row>
    <row r="274" spans="1:7">
      <c r="A274" s="3275" t="s">
        <v>305</v>
      </c>
      <c r="B274" s="3264" t="s">
        <v>3220</v>
      </c>
      <c r="C274" s="3276"/>
      <c r="D274" s="3276"/>
      <c r="E274" s="3276"/>
      <c r="F274" s="3265">
        <v>0.05</v>
      </c>
      <c r="G274" s="3282"/>
    </row>
    <row r="275" spans="1:7">
      <c r="A275" s="3275" t="s">
        <v>305</v>
      </c>
      <c r="B275" s="3264" t="s">
        <v>3221</v>
      </c>
      <c r="C275" s="3276"/>
      <c r="D275" s="3276"/>
      <c r="E275" s="3276"/>
      <c r="F275" s="3265">
        <v>0.05</v>
      </c>
      <c r="G275" s="3282"/>
    </row>
    <row r="276" spans="1:7" ht="15" thickBot="1">
      <c r="A276" s="3278" t="s">
        <v>305</v>
      </c>
      <c r="B276" s="3268" t="s">
        <v>3222</v>
      </c>
      <c r="C276" s="3270"/>
      <c r="D276" s="3270"/>
      <c r="E276" s="3270"/>
      <c r="F276" s="3269">
        <v>0.05</v>
      </c>
      <c r="G276" s="3283"/>
    </row>
    <row r="277" spans="1:7">
      <c r="A277" s="3274" t="s">
        <v>306</v>
      </c>
      <c r="B277" s="3260" t="s">
        <v>2866</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2878</v>
      </c>
      <c r="C279" s="3265">
        <v>0.15</v>
      </c>
      <c r="D279" s="3265">
        <v>0.15</v>
      </c>
      <c r="E279" s="3265">
        <v>0.15</v>
      </c>
      <c r="F279" s="3265">
        <v>0.15</v>
      </c>
      <c r="G279" s="3266">
        <v>0.15</v>
      </c>
    </row>
    <row r="280" spans="1:7">
      <c r="A280" s="3275" t="s">
        <v>306</v>
      </c>
      <c r="B280" s="3264" t="s">
        <v>2882</v>
      </c>
      <c r="C280" s="3265">
        <v>0.15</v>
      </c>
      <c r="D280" s="3265">
        <v>0.15</v>
      </c>
      <c r="E280" s="3265">
        <v>0.15</v>
      </c>
      <c r="F280" s="3265">
        <v>0.15</v>
      </c>
      <c r="G280" s="3266">
        <v>0.15</v>
      </c>
    </row>
    <row r="281" spans="1:7">
      <c r="A281" s="3275" t="s">
        <v>306</v>
      </c>
      <c r="B281" s="3264" t="s">
        <v>2886</v>
      </c>
      <c r="C281" s="3265">
        <v>0.15</v>
      </c>
      <c r="D281" s="3265">
        <v>0.15</v>
      </c>
      <c r="E281" s="3265">
        <v>0.15</v>
      </c>
      <c r="F281" s="3265">
        <v>0.15</v>
      </c>
      <c r="G281" s="3266">
        <v>0.15</v>
      </c>
    </row>
    <row r="282" spans="1:7">
      <c r="A282" s="3275" t="s">
        <v>306</v>
      </c>
      <c r="B282" s="3264" t="s">
        <v>2890</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2905</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2910</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2920</v>
      </c>
      <c r="C293" s="3265">
        <v>0.15</v>
      </c>
      <c r="D293" s="3265">
        <v>0.15</v>
      </c>
      <c r="E293" s="3265">
        <v>0.15</v>
      </c>
      <c r="F293" s="3265">
        <v>0.14499999999999999</v>
      </c>
      <c r="G293" s="3266">
        <v>0.15</v>
      </c>
    </row>
    <row r="294" spans="1:7">
      <c r="A294" s="3275" t="s">
        <v>306</v>
      </c>
      <c r="B294" s="3264" t="s">
        <v>2922</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2939</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2952</v>
      </c>
      <c r="C302" s="3265">
        <v>0.15</v>
      </c>
      <c r="D302" s="3265">
        <v>0.15</v>
      </c>
      <c r="E302" s="3265">
        <v>0.15</v>
      </c>
      <c r="F302" s="3265">
        <v>0.14699999999999999</v>
      </c>
      <c r="G302" s="3266">
        <v>0.15</v>
      </c>
    </row>
    <row r="303" spans="1:7">
      <c r="A303" s="3275" t="s">
        <v>306</v>
      </c>
      <c r="B303" s="3264" t="s">
        <v>2959</v>
      </c>
      <c r="C303" s="3265">
        <v>0.15</v>
      </c>
      <c r="D303" s="3265">
        <v>0.15</v>
      </c>
      <c r="E303" s="3265">
        <v>0.15</v>
      </c>
      <c r="F303" s="3265">
        <v>0.14199999999999999</v>
      </c>
      <c r="G303" s="3266">
        <v>0.15</v>
      </c>
    </row>
    <row r="304" spans="1:7">
      <c r="A304" s="3275" t="s">
        <v>306</v>
      </c>
      <c r="B304" s="3264" t="s">
        <v>2966</v>
      </c>
      <c r="C304" s="3265">
        <v>0.15</v>
      </c>
      <c r="D304" s="3265">
        <v>0.15</v>
      </c>
      <c r="E304" s="3265">
        <v>0.15</v>
      </c>
      <c r="F304" s="3265">
        <v>0.14499999999999999</v>
      </c>
      <c r="G304" s="3266">
        <v>0.15</v>
      </c>
    </row>
    <row r="305" spans="1:7">
      <c r="A305" s="3275" t="s">
        <v>306</v>
      </c>
      <c r="B305" s="3264" t="s">
        <v>2972</v>
      </c>
      <c r="C305" s="3265">
        <v>0.15</v>
      </c>
      <c r="D305" s="3265">
        <v>0.15</v>
      </c>
      <c r="E305" s="3265">
        <v>0.15</v>
      </c>
      <c r="F305" s="3265">
        <v>0.111</v>
      </c>
      <c r="G305" s="3266">
        <v>0.15</v>
      </c>
    </row>
    <row r="306" spans="1:7">
      <c r="A306" s="3275" t="s">
        <v>306</v>
      </c>
      <c r="B306" s="3264" t="s">
        <v>2979</v>
      </c>
      <c r="C306" s="3265">
        <v>0.15</v>
      </c>
      <c r="D306" s="3265">
        <v>0.15</v>
      </c>
      <c r="E306" s="3265">
        <v>0.15</v>
      </c>
      <c r="F306" s="3265">
        <v>0.126</v>
      </c>
      <c r="G306" s="3266">
        <v>0.15</v>
      </c>
    </row>
    <row r="307" spans="1:7">
      <c r="A307" s="3275" t="s">
        <v>306</v>
      </c>
      <c r="B307" s="3264" t="s">
        <v>2984</v>
      </c>
      <c r="C307" s="3265">
        <v>0.15</v>
      </c>
      <c r="D307" s="3265">
        <v>0.15</v>
      </c>
      <c r="E307" s="3265">
        <v>0.15</v>
      </c>
      <c r="F307" s="3265">
        <v>0.12</v>
      </c>
      <c r="G307" s="3266">
        <v>0.15</v>
      </c>
    </row>
    <row r="308" spans="1:7">
      <c r="A308" s="3275" t="s">
        <v>306</v>
      </c>
      <c r="B308" s="3264" t="s">
        <v>2990</v>
      </c>
      <c r="C308" s="3265">
        <v>0.15</v>
      </c>
      <c r="D308" s="3265">
        <v>0.15</v>
      </c>
      <c r="E308" s="3265">
        <v>0.15</v>
      </c>
      <c r="F308" s="3265">
        <v>0.13</v>
      </c>
      <c r="G308" s="3266">
        <v>0.15</v>
      </c>
    </row>
    <row r="309" spans="1:7">
      <c r="A309" s="3275" t="s">
        <v>306</v>
      </c>
      <c r="B309" s="3264" t="s">
        <v>2994</v>
      </c>
      <c r="C309" s="3265">
        <v>0.15</v>
      </c>
      <c r="D309" s="3265">
        <v>0.15</v>
      </c>
      <c r="E309" s="3265">
        <v>0.15</v>
      </c>
      <c r="F309" s="3265">
        <v>0.14099999999999999</v>
      </c>
      <c r="G309" s="3266">
        <v>0.15</v>
      </c>
    </row>
    <row r="310" spans="1:7">
      <c r="A310" s="3275" t="s">
        <v>306</v>
      </c>
      <c r="B310" s="3264" t="s">
        <v>2999</v>
      </c>
      <c r="C310" s="3265">
        <v>0.15</v>
      </c>
      <c r="D310" s="3265">
        <v>0.15</v>
      </c>
      <c r="E310" s="3265">
        <v>0.15</v>
      </c>
      <c r="F310" s="3265">
        <v>0.15</v>
      </c>
      <c r="G310" s="3266">
        <v>0.15</v>
      </c>
    </row>
    <row r="311" spans="1:7">
      <c r="A311" s="3275" t="s">
        <v>306</v>
      </c>
      <c r="B311" s="3264" t="s">
        <v>3004</v>
      </c>
      <c r="C311" s="3265">
        <v>0.13200000000000001</v>
      </c>
      <c r="D311" s="3265">
        <v>0.13300000000000001</v>
      </c>
      <c r="E311" s="3265">
        <v>0.14499999999999999</v>
      </c>
      <c r="F311" s="3265">
        <v>0.14199999999999999</v>
      </c>
      <c r="G311" s="3266">
        <v>0.14000000000000001</v>
      </c>
    </row>
    <row r="312" spans="1:7">
      <c r="A312" s="3275" t="s">
        <v>306</v>
      </c>
      <c r="B312" s="3264" t="s">
        <v>3009</v>
      </c>
      <c r="C312" s="3265">
        <v>0.13800000000000001</v>
      </c>
      <c r="D312" s="3265">
        <v>0.14000000000000001</v>
      </c>
      <c r="E312" s="3265">
        <v>0.14599999999999999</v>
      </c>
      <c r="F312" s="3265">
        <v>0.14899999999999999</v>
      </c>
      <c r="G312" s="3266">
        <v>0.14199999999999999</v>
      </c>
    </row>
    <row r="313" spans="1:7">
      <c r="A313" s="3275" t="s">
        <v>306</v>
      </c>
      <c r="B313" s="3264" t="s">
        <v>3014</v>
      </c>
      <c r="C313" s="3265">
        <v>0.125</v>
      </c>
      <c r="D313" s="3265">
        <v>0.127</v>
      </c>
      <c r="E313" s="3265">
        <v>0.14399999999999999</v>
      </c>
      <c r="F313" s="3265">
        <v>0.115</v>
      </c>
      <c r="G313" s="3266">
        <v>0.13600000000000001</v>
      </c>
    </row>
    <row r="314" spans="1:7">
      <c r="A314" s="3275" t="s">
        <v>306</v>
      </c>
      <c r="B314" s="3264" t="s">
        <v>3223</v>
      </c>
      <c r="C314" s="3281"/>
      <c r="D314" s="3281"/>
      <c r="E314" s="3281"/>
      <c r="F314" s="3265">
        <v>0.05</v>
      </c>
      <c r="G314" s="3282"/>
    </row>
    <row r="315" spans="1:7">
      <c r="A315" s="3275" t="s">
        <v>306</v>
      </c>
      <c r="B315" s="3264" t="s">
        <v>3224</v>
      </c>
      <c r="C315" s="3281"/>
      <c r="D315" s="3281"/>
      <c r="E315" s="3281"/>
      <c r="F315" s="3265">
        <v>0.05</v>
      </c>
      <c r="G315" s="3282"/>
    </row>
    <row r="316" spans="1:7">
      <c r="A316" s="3275" t="s">
        <v>306</v>
      </c>
      <c r="B316" s="3264" t="s">
        <v>3225</v>
      </c>
      <c r="C316" s="3276"/>
      <c r="D316" s="3276"/>
      <c r="E316" s="3276"/>
      <c r="F316" s="3265">
        <v>0.05</v>
      </c>
      <c r="G316" s="3282"/>
    </row>
    <row r="317" spans="1:7">
      <c r="A317" s="3275" t="s">
        <v>306</v>
      </c>
      <c r="B317" s="3264" t="s">
        <v>3226</v>
      </c>
      <c r="C317" s="3276"/>
      <c r="D317" s="3276"/>
      <c r="E317" s="3276"/>
      <c r="F317" s="3265">
        <v>0.05</v>
      </c>
      <c r="G317" s="3282"/>
    </row>
    <row r="318" spans="1:7">
      <c r="A318" s="3275" t="s">
        <v>306</v>
      </c>
      <c r="B318" s="3264" t="s">
        <v>3227</v>
      </c>
      <c r="C318" s="3276"/>
      <c r="D318" s="3276"/>
      <c r="E318" s="3276"/>
      <c r="F318" s="3265">
        <v>0.05</v>
      </c>
      <c r="G318" s="3282"/>
    </row>
    <row r="319" spans="1:7">
      <c r="A319" s="3275" t="s">
        <v>306</v>
      </c>
      <c r="B319" s="3264" t="s">
        <v>3228</v>
      </c>
      <c r="C319" s="3276"/>
      <c r="D319" s="3276"/>
      <c r="E319" s="3276"/>
      <c r="F319" s="3265">
        <v>0.05</v>
      </c>
      <c r="G319" s="3282"/>
    </row>
    <row r="320" spans="1:7">
      <c r="A320" s="3275" t="s">
        <v>306</v>
      </c>
      <c r="B320" s="3264" t="s">
        <v>3229</v>
      </c>
      <c r="C320" s="3276"/>
      <c r="D320" s="3276"/>
      <c r="E320" s="3276"/>
      <c r="F320" s="3265">
        <v>0.05</v>
      </c>
      <c r="G320" s="3282"/>
    </row>
    <row r="321" spans="1:7">
      <c r="A321" s="3275" t="s">
        <v>306</v>
      </c>
      <c r="B321" s="3264" t="s">
        <v>3230</v>
      </c>
      <c r="C321" s="3276"/>
      <c r="D321" s="3276"/>
      <c r="E321" s="3276"/>
      <c r="F321" s="3265">
        <v>0.05</v>
      </c>
      <c r="G321" s="3282"/>
    </row>
    <row r="322" spans="1:7">
      <c r="A322" s="3275" t="s">
        <v>306</v>
      </c>
      <c r="B322" s="3264" t="s">
        <v>3231</v>
      </c>
      <c r="C322" s="3276"/>
      <c r="D322" s="3276"/>
      <c r="E322" s="3276"/>
      <c r="F322" s="3265">
        <v>0.05</v>
      </c>
      <c r="G322" s="3282"/>
    </row>
    <row r="323" spans="1:7">
      <c r="A323" s="3275" t="s">
        <v>306</v>
      </c>
      <c r="B323" s="3264" t="s">
        <v>3232</v>
      </c>
      <c r="C323" s="3276"/>
      <c r="D323" s="3276"/>
      <c r="E323" s="3276"/>
      <c r="F323" s="3265">
        <v>0.05</v>
      </c>
      <c r="G323" s="3282"/>
    </row>
    <row r="324" spans="1:7">
      <c r="A324" s="3275" t="s">
        <v>306</v>
      </c>
      <c r="B324" s="3264" t="s">
        <v>3233</v>
      </c>
      <c r="C324" s="3276"/>
      <c r="D324" s="3276"/>
      <c r="E324" s="3276"/>
      <c r="F324" s="3265">
        <v>0.05</v>
      </c>
      <c r="G324" s="3282"/>
    </row>
    <row r="325" spans="1:7">
      <c r="A325" s="3275" t="s">
        <v>306</v>
      </c>
      <c r="B325" s="3264" t="s">
        <v>3234</v>
      </c>
      <c r="C325" s="3276"/>
      <c r="D325" s="3276"/>
      <c r="E325" s="3276"/>
      <c r="F325" s="3265">
        <v>0.05</v>
      </c>
      <c r="G325" s="3282"/>
    </row>
    <row r="326" spans="1:7" ht="15" thickBot="1">
      <c r="A326" s="3278" t="s">
        <v>306</v>
      </c>
      <c r="B326" s="3268" t="s">
        <v>3235</v>
      </c>
      <c r="C326" s="3270"/>
      <c r="D326" s="3270"/>
      <c r="E326" s="3270"/>
      <c r="F326" s="3269">
        <v>0.05</v>
      </c>
      <c r="G326" s="3283"/>
    </row>
    <row r="327" spans="1:7">
      <c r="A327" s="3274" t="s">
        <v>307</v>
      </c>
      <c r="B327" s="3260" t="s">
        <v>2867</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2879</v>
      </c>
      <c r="C329" s="3265">
        <v>0.15</v>
      </c>
      <c r="D329" s="3265">
        <v>0.15</v>
      </c>
      <c r="E329" s="3265">
        <v>0.15</v>
      </c>
      <c r="F329" s="3265">
        <v>0.15</v>
      </c>
      <c r="G329" s="3266">
        <v>0.15</v>
      </c>
    </row>
    <row r="330" spans="1:7">
      <c r="A330" s="3275" t="s">
        <v>307</v>
      </c>
      <c r="B330" s="3264" t="s">
        <v>2883</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2891</v>
      </c>
      <c r="C332" s="3265">
        <v>0.15</v>
      </c>
      <c r="D332" s="3265">
        <v>0.15</v>
      </c>
      <c r="E332" s="3265">
        <v>0.15</v>
      </c>
      <c r="F332" s="3265">
        <v>0.15</v>
      </c>
      <c r="G332" s="3266">
        <v>0.15</v>
      </c>
    </row>
    <row r="333" spans="1:7">
      <c r="A333" s="3275" t="s">
        <v>307</v>
      </c>
      <c r="B333" s="3264" t="s">
        <v>2895</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2901</v>
      </c>
      <c r="C336" s="3265">
        <v>0.15</v>
      </c>
      <c r="D336" s="3265">
        <v>0.15</v>
      </c>
      <c r="E336" s="3265">
        <v>0.15</v>
      </c>
      <c r="F336" s="3265">
        <v>0.14199999999999999</v>
      </c>
      <c r="G336" s="3266">
        <v>0.15</v>
      </c>
    </row>
    <row r="337" spans="1:7">
      <c r="A337" s="3275" t="s">
        <v>307</v>
      </c>
      <c r="B337" s="3264" t="s">
        <v>2906</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2913</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2918</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2926</v>
      </c>
      <c r="C345" s="3265">
        <v>0.15</v>
      </c>
      <c r="D345" s="3265">
        <v>0.15</v>
      </c>
      <c r="E345" s="3265">
        <v>0.15</v>
      </c>
      <c r="F345" s="3265">
        <v>0.13800000000000001</v>
      </c>
      <c r="G345" s="3266">
        <v>0.15</v>
      </c>
    </row>
    <row r="346" spans="1:7">
      <c r="A346" s="3275" t="s">
        <v>307</v>
      </c>
      <c r="B346" s="3264" t="s">
        <v>2928</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2935</v>
      </c>
      <c r="C348" s="3265">
        <v>0.15</v>
      </c>
      <c r="D348" s="3265">
        <v>0.15</v>
      </c>
      <c r="E348" s="3265">
        <v>0.15</v>
      </c>
      <c r="F348" s="3265">
        <v>0.14399999999999999</v>
      </c>
      <c r="G348" s="3266">
        <v>0.15</v>
      </c>
    </row>
    <row r="349" spans="1:7">
      <c r="A349" s="3275" t="s">
        <v>307</v>
      </c>
      <c r="B349" s="3264" t="s">
        <v>2940</v>
      </c>
      <c r="C349" s="3265">
        <v>0.15</v>
      </c>
      <c r="D349" s="3265">
        <v>0.15</v>
      </c>
      <c r="E349" s="3265">
        <v>0.15</v>
      </c>
      <c r="F349" s="3265">
        <v>0.15</v>
      </c>
      <c r="G349" s="3266">
        <v>0.15</v>
      </c>
    </row>
    <row r="350" spans="1:7">
      <c r="A350" s="3275" t="s">
        <v>307</v>
      </c>
      <c r="B350" s="3264" t="s">
        <v>2943</v>
      </c>
      <c r="C350" s="3265">
        <v>0.15</v>
      </c>
      <c r="D350" s="3265">
        <v>0.15</v>
      </c>
      <c r="E350" s="3265">
        <v>0.15</v>
      </c>
      <c r="F350" s="3265">
        <v>0.14699999999999999</v>
      </c>
      <c r="G350" s="3266">
        <v>0.15</v>
      </c>
    </row>
    <row r="351" spans="1:7">
      <c r="A351" s="3275" t="s">
        <v>307</v>
      </c>
      <c r="B351" s="3264" t="s">
        <v>2948</v>
      </c>
      <c r="C351" s="3265">
        <v>0.15</v>
      </c>
      <c r="D351" s="3265">
        <v>0.15</v>
      </c>
      <c r="E351" s="3265">
        <v>0.15</v>
      </c>
      <c r="F351" s="3265">
        <v>0.13</v>
      </c>
      <c r="G351" s="3266">
        <v>0.15</v>
      </c>
    </row>
    <row r="352" spans="1:7">
      <c r="A352" s="3275" t="s">
        <v>307</v>
      </c>
      <c r="B352" s="3264" t="s">
        <v>2953</v>
      </c>
      <c r="C352" s="3265">
        <v>0.15</v>
      </c>
      <c r="D352" s="3265">
        <v>0.15</v>
      </c>
      <c r="E352" s="3265">
        <v>0.15</v>
      </c>
      <c r="F352" s="3265">
        <v>0.14599999999999999</v>
      </c>
      <c r="G352" s="3266">
        <v>0.15</v>
      </c>
    </row>
    <row r="353" spans="1:7">
      <c r="A353" s="3275" t="s">
        <v>307</v>
      </c>
      <c r="B353" s="3264" t="s">
        <v>2960</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2973</v>
      </c>
      <c r="C355" s="3265">
        <v>0.15</v>
      </c>
      <c r="D355" s="3265">
        <v>0.15</v>
      </c>
      <c r="E355" s="3265">
        <v>0.15</v>
      </c>
      <c r="F355" s="3265">
        <v>0.15</v>
      </c>
      <c r="G355" s="3266">
        <v>0.15</v>
      </c>
    </row>
    <row r="356" spans="1:7">
      <c r="A356" s="3275" t="s">
        <v>307</v>
      </c>
      <c r="B356" s="3264" t="s">
        <v>2980</v>
      </c>
      <c r="C356" s="3265">
        <v>0.15</v>
      </c>
      <c r="D356" s="3265">
        <v>0.15</v>
      </c>
      <c r="E356" s="3265">
        <v>0.15</v>
      </c>
      <c r="F356" s="3265">
        <v>0.15</v>
      </c>
      <c r="G356" s="3266">
        <v>0.15</v>
      </c>
    </row>
    <row r="357" spans="1:7" ht="15" thickBot="1">
      <c r="A357" s="3278" t="s">
        <v>307</v>
      </c>
      <c r="B357" s="3268" t="s">
        <v>2985</v>
      </c>
      <c r="C357" s="3269">
        <v>0.126</v>
      </c>
      <c r="D357" s="3269">
        <v>0.127</v>
      </c>
      <c r="E357" s="3269">
        <v>0.14299999999999999</v>
      </c>
      <c r="F357" s="3269">
        <v>0.125</v>
      </c>
      <c r="G357" s="3271">
        <v>0.129</v>
      </c>
    </row>
    <row r="358" spans="1:7">
      <c r="A358" s="3274" t="s">
        <v>2854</v>
      </c>
      <c r="B358" s="3260" t="s">
        <v>2868</v>
      </c>
      <c r="C358" s="3261">
        <v>0.15</v>
      </c>
      <c r="D358" s="3261">
        <v>0.15</v>
      </c>
      <c r="E358" s="3261">
        <v>0.15</v>
      </c>
      <c r="F358" s="3261">
        <v>0.15</v>
      </c>
      <c r="G358" s="3262">
        <v>0.15</v>
      </c>
    </row>
    <row r="359" spans="1:7">
      <c r="A359" s="3275" t="s">
        <v>2854</v>
      </c>
      <c r="B359" s="3264" t="s">
        <v>2874</v>
      </c>
      <c r="C359" s="3265">
        <v>0.1</v>
      </c>
      <c r="D359" s="3265">
        <v>0.1</v>
      </c>
      <c r="E359" s="3265">
        <v>0.1</v>
      </c>
      <c r="F359" s="3265">
        <v>0.1</v>
      </c>
      <c r="G359" s="3266">
        <v>0.1</v>
      </c>
    </row>
    <row r="360" spans="1:7">
      <c r="A360" s="3275" t="s">
        <v>2854</v>
      </c>
      <c r="B360" s="3264" t="s">
        <v>2880</v>
      </c>
      <c r="C360" s="3265">
        <v>0.15</v>
      </c>
      <c r="D360" s="3265">
        <v>0.15</v>
      </c>
      <c r="E360" s="3265">
        <v>0.15</v>
      </c>
      <c r="F360" s="3265">
        <v>0.14899999999999999</v>
      </c>
      <c r="G360" s="3266">
        <v>0.15</v>
      </c>
    </row>
    <row r="361" spans="1:7">
      <c r="A361" s="3275" t="s">
        <v>2854</v>
      </c>
      <c r="B361" s="3264" t="s">
        <v>153</v>
      </c>
      <c r="C361" s="3265">
        <v>0.15</v>
      </c>
      <c r="D361" s="3265">
        <v>0.15</v>
      </c>
      <c r="E361" s="3265">
        <v>0.15</v>
      </c>
      <c r="F361" s="3265">
        <v>0.115</v>
      </c>
      <c r="G361" s="3266">
        <v>0.15</v>
      </c>
    </row>
    <row r="362" spans="1:7">
      <c r="A362" s="3275" t="s">
        <v>2854</v>
      </c>
      <c r="B362" s="3264" t="s">
        <v>2887</v>
      </c>
      <c r="C362" s="3265">
        <v>0.15</v>
      </c>
      <c r="D362" s="3265">
        <v>0.15</v>
      </c>
      <c r="E362" s="3265">
        <v>0.15</v>
      </c>
      <c r="F362" s="3265">
        <v>0.106</v>
      </c>
      <c r="G362" s="3266">
        <v>0.15</v>
      </c>
    </row>
    <row r="363" spans="1:7">
      <c r="A363" s="3275" t="s">
        <v>2854</v>
      </c>
      <c r="B363" s="3264" t="s">
        <v>2892</v>
      </c>
      <c r="C363" s="3265">
        <v>0.15</v>
      </c>
      <c r="D363" s="3265">
        <v>0.15</v>
      </c>
      <c r="E363" s="3265">
        <v>0.15</v>
      </c>
      <c r="F363" s="3265">
        <v>0.14699999999999999</v>
      </c>
      <c r="G363" s="3266">
        <v>0.15</v>
      </c>
    </row>
    <row r="364" spans="1:7">
      <c r="A364" s="3275" t="s">
        <v>2854</v>
      </c>
      <c r="B364" s="3264" t="s">
        <v>2896</v>
      </c>
      <c r="C364" s="3265">
        <v>0.15</v>
      </c>
      <c r="D364" s="3265">
        <v>0.15</v>
      </c>
      <c r="E364" s="3265">
        <v>0.15</v>
      </c>
      <c r="F364" s="3265">
        <v>0.14799999999999999</v>
      </c>
      <c r="G364" s="3266">
        <v>0.15</v>
      </c>
    </row>
    <row r="365" spans="1:7">
      <c r="A365" s="3275" t="s">
        <v>2854</v>
      </c>
      <c r="B365" s="3264" t="s">
        <v>200</v>
      </c>
      <c r="C365" s="3265">
        <v>0.15</v>
      </c>
      <c r="D365" s="3265">
        <v>0.15</v>
      </c>
      <c r="E365" s="3265">
        <v>0.15</v>
      </c>
      <c r="F365" s="3265">
        <v>0.15</v>
      </c>
      <c r="G365" s="3266">
        <v>0.15</v>
      </c>
    </row>
    <row r="366" spans="1:7">
      <c r="A366" s="3275" t="s">
        <v>2854</v>
      </c>
      <c r="B366" s="3264" t="s">
        <v>2899</v>
      </c>
      <c r="C366" s="3265">
        <v>0.15</v>
      </c>
      <c r="D366" s="3265">
        <v>0.15</v>
      </c>
      <c r="E366" s="3265">
        <v>0.15</v>
      </c>
      <c r="F366" s="3265">
        <v>0.15</v>
      </c>
      <c r="G366" s="3266">
        <v>0.15</v>
      </c>
    </row>
    <row r="367" spans="1:7">
      <c r="A367" s="3275" t="s">
        <v>2854</v>
      </c>
      <c r="B367" s="3264" t="s">
        <v>2902</v>
      </c>
      <c r="C367" s="3265">
        <v>0.15</v>
      </c>
      <c r="D367" s="3265">
        <v>0.15</v>
      </c>
      <c r="E367" s="3265">
        <v>0.15</v>
      </c>
      <c r="F367" s="3265">
        <v>0.14699999999999999</v>
      </c>
      <c r="G367" s="3266">
        <v>0.15</v>
      </c>
    </row>
    <row r="368" spans="1:7">
      <c r="A368" s="3275" t="s">
        <v>2854</v>
      </c>
      <c r="B368" s="3264" t="s">
        <v>2907</v>
      </c>
      <c r="C368" s="3265">
        <v>0.15</v>
      </c>
      <c r="D368" s="3265">
        <v>0.15</v>
      </c>
      <c r="E368" s="3265">
        <v>0.15</v>
      </c>
      <c r="F368" s="3265">
        <v>0.13600000000000001</v>
      </c>
      <c r="G368" s="3266">
        <v>0.15</v>
      </c>
    </row>
    <row r="369" spans="1:7">
      <c r="A369" s="3275" t="s">
        <v>2854</v>
      </c>
      <c r="B369" s="3264" t="s">
        <v>214</v>
      </c>
      <c r="C369" s="3265">
        <v>0.15</v>
      </c>
      <c r="D369" s="3265">
        <v>0.15</v>
      </c>
      <c r="E369" s="3265">
        <v>0.15</v>
      </c>
      <c r="F369" s="3265">
        <v>0.14399999999999999</v>
      </c>
      <c r="G369" s="3266">
        <v>0.15</v>
      </c>
    </row>
    <row r="370" spans="1:7">
      <c r="A370" s="3275" t="s">
        <v>2854</v>
      </c>
      <c r="B370" s="3264" t="s">
        <v>221</v>
      </c>
      <c r="C370" s="3265">
        <v>0.15</v>
      </c>
      <c r="D370" s="3265">
        <v>0.15</v>
      </c>
      <c r="E370" s="3265">
        <v>0.15</v>
      </c>
      <c r="F370" s="3265">
        <v>0.14599999999999999</v>
      </c>
      <c r="G370" s="3266">
        <v>0.15</v>
      </c>
    </row>
    <row r="371" spans="1:7">
      <c r="A371" s="3275" t="s">
        <v>2854</v>
      </c>
      <c r="B371" s="3264" t="s">
        <v>229</v>
      </c>
      <c r="C371" s="3265">
        <v>0.15</v>
      </c>
      <c r="D371" s="3265">
        <v>0.15</v>
      </c>
      <c r="E371" s="3265">
        <v>0.15</v>
      </c>
      <c r="F371" s="3265">
        <v>0.12</v>
      </c>
      <c r="G371" s="3266">
        <v>0.15</v>
      </c>
    </row>
    <row r="372" spans="1:7">
      <c r="A372" s="3275" t="s">
        <v>2854</v>
      </c>
      <c r="B372" s="3264" t="s">
        <v>2915</v>
      </c>
      <c r="C372" s="3265">
        <v>0.15</v>
      </c>
      <c r="D372" s="3265">
        <v>0.15</v>
      </c>
      <c r="E372" s="3265">
        <v>0.15</v>
      </c>
      <c r="F372" s="3265">
        <v>0.14299999999999999</v>
      </c>
      <c r="G372" s="3266">
        <v>0.15</v>
      </c>
    </row>
    <row r="373" spans="1:7">
      <c r="A373" s="3275" t="s">
        <v>2854</v>
      </c>
      <c r="B373" s="3264" t="s">
        <v>258</v>
      </c>
      <c r="C373" s="3265">
        <v>0.15</v>
      </c>
      <c r="D373" s="3265">
        <v>0.15</v>
      </c>
      <c r="E373" s="3265">
        <v>0.15</v>
      </c>
      <c r="F373" s="3265">
        <v>0.14599999999999999</v>
      </c>
      <c r="G373" s="3266">
        <v>0.15</v>
      </c>
    </row>
    <row r="374" spans="1:7">
      <c r="A374" s="3275" t="s">
        <v>2854</v>
      </c>
      <c r="B374" s="3264" t="s">
        <v>266</v>
      </c>
      <c r="C374" s="3265">
        <v>0.15</v>
      </c>
      <c r="D374" s="3265">
        <v>0.15</v>
      </c>
      <c r="E374" s="3265">
        <v>0.15</v>
      </c>
      <c r="F374" s="3265">
        <v>0.14399999999999999</v>
      </c>
      <c r="G374" s="3266">
        <v>0.15</v>
      </c>
    </row>
    <row r="375" spans="1:7">
      <c r="A375" s="3275" t="s">
        <v>2854</v>
      </c>
      <c r="B375" s="3264" t="s">
        <v>2923</v>
      </c>
      <c r="C375" s="3265">
        <v>0.15</v>
      </c>
      <c r="D375" s="3265">
        <v>0.15</v>
      </c>
      <c r="E375" s="3265">
        <v>0.15</v>
      </c>
      <c r="F375" s="3265">
        <v>0.13</v>
      </c>
      <c r="G375" s="3266">
        <v>0.15</v>
      </c>
    </row>
    <row r="376" spans="1:7">
      <c r="A376" s="3275" t="s">
        <v>2854</v>
      </c>
      <c r="B376" s="3264" t="s">
        <v>277</v>
      </c>
      <c r="C376" s="3265">
        <v>0.15</v>
      </c>
      <c r="D376" s="3265">
        <v>0.15</v>
      </c>
      <c r="E376" s="3265">
        <v>0.15</v>
      </c>
      <c r="F376" s="3265">
        <v>0.14199999999999999</v>
      </c>
      <c r="G376" s="3266">
        <v>0.15</v>
      </c>
    </row>
    <row r="377" spans="1:7" ht="15" thickBot="1">
      <c r="A377" s="3278" t="s">
        <v>2854</v>
      </c>
      <c r="B377" s="3268" t="s">
        <v>2929</v>
      </c>
      <c r="C377" s="3269">
        <v>0.15</v>
      </c>
      <c r="D377" s="3269">
        <v>0.15</v>
      </c>
      <c r="E377" s="3269">
        <v>0.15</v>
      </c>
      <c r="F377" s="3269">
        <v>0.14000000000000001</v>
      </c>
      <c r="G377" s="3271">
        <v>0.15</v>
      </c>
    </row>
    <row r="378" spans="1:7">
      <c r="A378" s="3274" t="s">
        <v>2855</v>
      </c>
      <c r="B378" s="3260" t="s">
        <v>2869</v>
      </c>
      <c r="C378" s="3261">
        <v>0.15</v>
      </c>
      <c r="D378" s="3261">
        <v>0.15</v>
      </c>
      <c r="E378" s="3261">
        <v>0.15</v>
      </c>
      <c r="F378" s="3261">
        <v>0.107</v>
      </c>
      <c r="G378" s="3262">
        <v>0.15</v>
      </c>
    </row>
    <row r="379" spans="1:7">
      <c r="A379" s="3275" t="s">
        <v>2855</v>
      </c>
      <c r="B379" s="3264" t="s">
        <v>2875</v>
      </c>
      <c r="C379" s="3265">
        <v>0.15</v>
      </c>
      <c r="D379" s="3265">
        <v>0.15</v>
      </c>
      <c r="E379" s="3265">
        <v>0.15</v>
      </c>
      <c r="F379" s="3265">
        <v>0.115</v>
      </c>
      <c r="G379" s="3266">
        <v>0.14899999999999999</v>
      </c>
    </row>
    <row r="380" spans="1:7">
      <c r="A380" s="3275" t="s">
        <v>2855</v>
      </c>
      <c r="B380" s="3264" t="s">
        <v>2881</v>
      </c>
      <c r="C380" s="3265">
        <v>0.15</v>
      </c>
      <c r="D380" s="3265">
        <v>0.15</v>
      </c>
      <c r="E380" s="3265">
        <v>0.15</v>
      </c>
      <c r="F380" s="3265">
        <v>0.1</v>
      </c>
      <c r="G380" s="3266">
        <v>0.14799999999999999</v>
      </c>
    </row>
    <row r="381" spans="1:7">
      <c r="A381" s="3275" t="s">
        <v>2855</v>
      </c>
      <c r="B381" s="3264" t="s">
        <v>2884</v>
      </c>
      <c r="C381" s="3265">
        <v>0.15</v>
      </c>
      <c r="D381" s="3265">
        <v>0.15</v>
      </c>
      <c r="E381" s="3265">
        <v>0.15</v>
      </c>
      <c r="F381" s="3265">
        <v>0.126</v>
      </c>
      <c r="G381" s="3266">
        <v>0.15</v>
      </c>
    </row>
    <row r="382" spans="1:7">
      <c r="A382" s="3275" t="s">
        <v>2855</v>
      </c>
      <c r="B382" s="3264" t="s">
        <v>2888</v>
      </c>
      <c r="C382" s="3265">
        <v>0.15</v>
      </c>
      <c r="D382" s="3265">
        <v>0.15</v>
      </c>
      <c r="E382" s="3265">
        <v>0.15</v>
      </c>
      <c r="F382" s="3265">
        <v>0.15</v>
      </c>
      <c r="G382" s="3266">
        <v>0.15</v>
      </c>
    </row>
    <row r="383" spans="1:7">
      <c r="A383" s="3275" t="s">
        <v>2855</v>
      </c>
      <c r="B383" s="3264" t="s">
        <v>2893</v>
      </c>
      <c r="C383" s="3265">
        <v>0.15</v>
      </c>
      <c r="D383" s="3265">
        <v>0.15</v>
      </c>
      <c r="E383" s="3265">
        <v>0.15</v>
      </c>
      <c r="F383" s="3265">
        <v>0.14699999999999999</v>
      </c>
      <c r="G383" s="3266">
        <v>0.15</v>
      </c>
    </row>
    <row r="384" spans="1:7" ht="15" thickBot="1">
      <c r="A384" s="3285" t="s">
        <v>2855</v>
      </c>
      <c r="B384" s="3286" t="s">
        <v>2897</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1875" defaultRowHeight="14.4"/>
  <cols>
    <col min="1" max="16384" width="13.21875" style="3290"/>
  </cols>
  <sheetData>
    <row r="1" spans="1:6">
      <c r="A1" s="3994" t="s">
        <v>3236</v>
      </c>
      <c r="B1" s="3994"/>
      <c r="C1" s="3994"/>
      <c r="D1" s="3994"/>
      <c r="E1" s="3994"/>
      <c r="F1" s="3995"/>
    </row>
    <row r="2" spans="1:6">
      <c r="A2" s="3291" t="s">
        <v>3237</v>
      </c>
      <c r="B2" s="3292"/>
      <c r="C2" s="3292"/>
      <c r="D2" s="3292"/>
      <c r="E2" s="3292"/>
      <c r="F2" s="3292"/>
    </row>
    <row r="3" spans="1:6">
      <c r="A3" s="3291" t="s">
        <v>3238</v>
      </c>
      <c r="B3" s="3292"/>
      <c r="C3" s="3292"/>
      <c r="D3" s="3292"/>
      <c r="E3" s="3292"/>
      <c r="F3" s="3293" t="s">
        <v>3239</v>
      </c>
    </row>
    <row r="4" spans="1:6">
      <c r="A4" s="3294" t="s">
        <v>672</v>
      </c>
      <c r="B4" s="3294" t="s">
        <v>673</v>
      </c>
      <c r="C4" s="3294" t="s">
        <v>21</v>
      </c>
      <c r="D4" s="3294" t="s">
        <v>674</v>
      </c>
      <c r="E4" s="3294" t="s">
        <v>3</v>
      </c>
      <c r="F4" s="3294" t="s">
        <v>3240</v>
      </c>
    </row>
    <row r="5" spans="1:6">
      <c r="A5" s="3295" t="s">
        <v>675</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4"/>
  <sheetViews>
    <sheetView zoomScale="80" zoomScaleNormal="80" workbookViewId="0">
      <selection activeCell="G51" sqref="G51"/>
    </sheetView>
  </sheetViews>
  <sheetFormatPr defaultRowHeight="14.4"/>
  <cols>
    <col min="1" max="1" width="13.88671875" customWidth="1"/>
    <col min="11" max="17" width="0" hidden="1" customWidth="1"/>
    <col min="25" max="30" width="0" hidden="1" customWidth="1"/>
  </cols>
  <sheetData>
    <row r="1" spans="1:30">
      <c r="A1" s="3221">
        <f>基准地价修正!G23</f>
        <v>45478</v>
      </c>
      <c r="B1" s="3210" t="s">
        <v>3375</v>
      </c>
      <c r="C1" s="3211"/>
      <c r="D1" s="3211"/>
      <c r="E1" s="3211"/>
      <c r="F1" s="3211"/>
      <c r="G1" s="3211"/>
      <c r="H1" s="3211"/>
      <c r="I1" s="3211"/>
      <c r="J1" s="3165"/>
      <c r="K1" s="3211" t="s">
        <v>454</v>
      </c>
      <c r="L1" s="3211"/>
      <c r="M1" s="3211"/>
      <c r="N1" s="3211"/>
      <c r="O1" s="3211"/>
      <c r="P1" s="3211"/>
      <c r="Q1" s="3165"/>
      <c r="R1" s="3996" t="s">
        <v>456</v>
      </c>
      <c r="S1" s="3997"/>
      <c r="T1" s="3997"/>
      <c r="U1" s="3997"/>
      <c r="V1" s="3997"/>
      <c r="W1" s="3997"/>
      <c r="X1" s="3165"/>
      <c r="Y1" s="3996" t="s">
        <v>457</v>
      </c>
      <c r="Z1" s="3997"/>
      <c r="AA1" s="3997"/>
      <c r="AB1" s="3997"/>
      <c r="AC1" s="3997"/>
      <c r="AD1" s="3997"/>
    </row>
    <row r="2" spans="1:30" s="3143" customFormat="1" ht="15" thickBot="1">
      <c r="B2" s="3144"/>
      <c r="C2" s="3145"/>
      <c r="D2" s="3146" t="s">
        <v>2814</v>
      </c>
      <c r="E2" s="3147" t="s">
        <v>2815</v>
      </c>
      <c r="F2" s="3147" t="s">
        <v>2816</v>
      </c>
      <c r="G2" s="3147" t="s">
        <v>2817</v>
      </c>
      <c r="H2" s="3147" t="s">
        <v>2818</v>
      </c>
      <c r="I2" s="3147" t="s">
        <v>2635</v>
      </c>
      <c r="J2" s="3148"/>
      <c r="K2" s="3146" t="s">
        <v>2814</v>
      </c>
      <c r="L2" s="3147" t="s">
        <v>2815</v>
      </c>
      <c r="M2" s="3147" t="s">
        <v>2816</v>
      </c>
      <c r="N2" s="3147" t="s">
        <v>2817</v>
      </c>
      <c r="O2" s="3147" t="s">
        <v>2819</v>
      </c>
      <c r="P2" s="3147" t="s">
        <v>2635</v>
      </c>
      <c r="Q2" s="3148"/>
      <c r="R2" s="3146" t="s">
        <v>2814</v>
      </c>
      <c r="S2" s="3147" t="s">
        <v>2815</v>
      </c>
      <c r="T2" s="3147" t="s">
        <v>2816</v>
      </c>
      <c r="U2" s="3147" t="s">
        <v>2820</v>
      </c>
      <c r="V2" s="3147" t="s">
        <v>2821</v>
      </c>
      <c r="W2" s="3147" t="s">
        <v>2635</v>
      </c>
      <c r="X2" s="3148"/>
      <c r="Y2" s="3146" t="s">
        <v>2814</v>
      </c>
      <c r="Z2" s="3147" t="s">
        <v>2815</v>
      </c>
      <c r="AA2" s="3147" t="s">
        <v>2816</v>
      </c>
      <c r="AB2" s="3147" t="s">
        <v>2822</v>
      </c>
      <c r="AC2" s="3147" t="s">
        <v>2821</v>
      </c>
      <c r="AD2" s="3147" t="s">
        <v>2635</v>
      </c>
    </row>
    <row r="3" spans="1:30" s="3161" customFormat="1" ht="13.2">
      <c r="A3" s="3149" t="s">
        <v>2823</v>
      </c>
      <c r="B3" s="3150"/>
      <c r="C3" s="3151"/>
      <c r="D3" s="3151">
        <f>ROUND(AVERAGEIF(D4:D19,"&lt;&gt;0"),2)</f>
        <v>0.68</v>
      </c>
      <c r="E3" s="3151">
        <f t="shared" ref="E3:H3" si="0">ROUND(AVERAGEIF(E4:E19,"&lt;&gt;0"),2)</f>
        <v>0.4</v>
      </c>
      <c r="F3" s="3151">
        <f t="shared" si="0"/>
        <v>0.17</v>
      </c>
      <c r="G3" s="3151">
        <f t="shared" si="0"/>
        <v>0.74</v>
      </c>
      <c r="H3" s="3151">
        <f t="shared" si="0"/>
        <v>0.62</v>
      </c>
      <c r="I3" s="3151">
        <f>F3</f>
        <v>0.17</v>
      </c>
      <c r="J3" s="3152"/>
      <c r="K3" s="3153">
        <f>ROUND(AVERAGEIF(K4:K19,"&lt;&gt;0"),4)</f>
        <v>6.7999999999999996E-3</v>
      </c>
      <c r="L3" s="3154">
        <f t="shared" ref="L3:O3" si="1">ROUND(AVERAGEIF(L4:L19,"&lt;&gt;0"),4)</f>
        <v>4.0000000000000001E-3</v>
      </c>
      <c r="M3" s="3154">
        <f t="shared" si="1"/>
        <v>1.6999999999999999E-3</v>
      </c>
      <c r="N3" s="3154">
        <f t="shared" si="1"/>
        <v>7.4000000000000003E-3</v>
      </c>
      <c r="O3" s="3154">
        <f t="shared" si="1"/>
        <v>6.1999999999999998E-3</v>
      </c>
      <c r="P3" s="3154">
        <f>M3</f>
        <v>1.6999999999999999E-3</v>
      </c>
      <c r="Q3" s="3152"/>
      <c r="R3" s="3155">
        <f>ROUND(SUMPRODUCT(PRODUCT(1+K4:K19)),4)</f>
        <v>1.0916999999999999</v>
      </c>
      <c r="S3" s="3156">
        <f t="shared" ref="S3:V3" si="2">ROUND(SUMPRODUCT(PRODUCT(1+L4:L19)),4)</f>
        <v>1.0537000000000001</v>
      </c>
      <c r="T3" s="3156">
        <f t="shared" si="2"/>
        <v>1.0224</v>
      </c>
      <c r="U3" s="3156">
        <f t="shared" si="2"/>
        <v>1.1008</v>
      </c>
      <c r="V3" s="3156">
        <f t="shared" si="2"/>
        <v>1.0843</v>
      </c>
      <c r="W3" s="3155">
        <f>T3</f>
        <v>1.0224</v>
      </c>
      <c r="X3" s="3152"/>
      <c r="Y3" s="3157">
        <f>ROUND(AVERAGEIF(Y6:Y19,"&lt;&gt;0"),4)</f>
        <v>8.6999999999999994E-3</v>
      </c>
      <c r="Z3" s="3158">
        <f t="shared" ref="Z3:AC3" si="3">ROUND(AVERAGEIF(Z6:Z19,"&lt;&gt;0"),4)</f>
        <v>3.5000000000000001E-3</v>
      </c>
      <c r="AA3" s="3159">
        <f t="shared" si="3"/>
        <v>8.9999999999999998E-4</v>
      </c>
      <c r="AB3" s="3157">
        <f t="shared" si="3"/>
        <v>9.4999999999999998E-3</v>
      </c>
      <c r="AC3" s="3160">
        <f t="shared" si="3"/>
        <v>6.1000000000000004E-3</v>
      </c>
      <c r="AD3" s="3157">
        <f>AA3</f>
        <v>8.9999999999999998E-4</v>
      </c>
    </row>
    <row r="4" spans="1:30" s="3162" customFormat="1" ht="13.2">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30" s="3185" customFormat="1" ht="13.2">
      <c r="A5" s="2205" t="s">
        <v>3383</v>
      </c>
      <c r="B5" s="3177">
        <v>2024</v>
      </c>
      <c r="C5" s="3178">
        <v>3</v>
      </c>
      <c r="D5" s="3179">
        <v>0</v>
      </c>
      <c r="E5" s="3179">
        <v>0</v>
      </c>
      <c r="F5" s="3179">
        <v>0</v>
      </c>
      <c r="G5" s="3179">
        <v>0</v>
      </c>
      <c r="H5" s="3179">
        <v>0</v>
      </c>
      <c r="I5" s="3180">
        <f t="shared" ref="I5" si="4">F5</f>
        <v>0</v>
      </c>
      <c r="J5" s="3181"/>
      <c r="K5" s="3182">
        <f t="shared" ref="K5" si="5">D5/100</f>
        <v>0</v>
      </c>
      <c r="L5" s="3172">
        <f t="shared" ref="L5" si="6">E5/100</f>
        <v>0</v>
      </c>
      <c r="M5" s="3172">
        <f t="shared" ref="M5" si="7">F5/100</f>
        <v>0</v>
      </c>
      <c r="N5" s="3172">
        <f t="shared" ref="N5" si="8">G5/100</f>
        <v>0</v>
      </c>
      <c r="O5" s="3172">
        <f t="shared" ref="O5" si="9">H5/100</f>
        <v>0</v>
      </c>
      <c r="P5" s="3172">
        <f>M5</f>
        <v>0</v>
      </c>
      <c r="Q5" s="3181"/>
      <c r="R5" s="3183">
        <f>ROUND(IF(项目基本情况!$B$8="出让",SUMPRODUCT(PRODUCT(1+K5:$K$19)),SUMPRODUCT(PRODUCT(1+K5:$K$18))),4)</f>
        <v>1.0811999999999999</v>
      </c>
      <c r="S5" s="3183">
        <f>ROUND(IF(项目基本情况!$B$8="出让",SUMPRODUCT(PRODUCT(1+L5:$L$19)),SUMPRODUCT(PRODUCT(1+L5:$L$18))),4)</f>
        <v>1.052</v>
      </c>
      <c r="T5" s="3183">
        <f>ROUND(IF(项目基本情况!$B$8="出让",SUMPRODUCT(PRODUCT(1+M5:$M$19)),SUMPRODUCT(PRODUCT(1+M5:$M$18))),4)</f>
        <v>1.0249999999999999</v>
      </c>
      <c r="U5" s="3183">
        <f>ROUND(IF(项目基本情况!$B$8="出让",SUMPRODUCT(PRODUCT(1+N5:$N$19)),SUMPRODUCT(PRODUCT(1+N5:$N$18))),4)</f>
        <v>1.0888</v>
      </c>
      <c r="V5" s="3183">
        <f>ROUND(IF(项目基本情况!$B$8="出让",SUMPRODUCT(PRODUCT(1+O5:$O$19)),SUMPRODUCT(PRODUCT(1+O5:$O$18))),4)</f>
        <v>1.0804</v>
      </c>
      <c r="W5" s="3183">
        <f>T5</f>
        <v>1.0249999999999999</v>
      </c>
      <c r="X5" s="3181"/>
      <c r="Y5" s="3184">
        <f>IF(D5=0,0,ROUND(AVERAGE(D5:D18)/100,4))</f>
        <v>0</v>
      </c>
      <c r="Z5" s="3184">
        <f t="shared" ref="Z5" si="10">IF(E5=0,0,ROUND(AVERAGE(E5:E18)/100,4))</f>
        <v>0</v>
      </c>
      <c r="AA5" s="3184">
        <f t="shared" ref="AA5" si="11">IF(F5=0,0,ROUND(AVERAGE(F5:F18)/100,4))</f>
        <v>0</v>
      </c>
      <c r="AB5" s="3184">
        <f t="shared" ref="AB5" si="12">IF(G5=0,0,ROUND(AVERAGE(G5:G18)/100,4))</f>
        <v>0</v>
      </c>
      <c r="AC5" s="3184">
        <f t="shared" ref="AC5" si="13">IF(H5=0,0,ROUND(AVERAGE(H5:H18)/100,4))</f>
        <v>0</v>
      </c>
      <c r="AD5" s="3184">
        <f t="shared" ref="AD5" si="14">AA5</f>
        <v>0</v>
      </c>
    </row>
    <row r="6" spans="1:30" s="3185" customFormat="1" ht="13.2">
      <c r="A6" s="2205" t="s">
        <v>3378</v>
      </c>
      <c r="B6" s="3177">
        <v>2024</v>
      </c>
      <c r="C6" s="3178">
        <v>2</v>
      </c>
      <c r="D6" s="3179">
        <v>0</v>
      </c>
      <c r="E6" s="3179">
        <v>0</v>
      </c>
      <c r="F6" s="3179">
        <v>0</v>
      </c>
      <c r="G6" s="3179">
        <v>0</v>
      </c>
      <c r="H6" s="3179">
        <v>0</v>
      </c>
      <c r="I6" s="3180">
        <f t="shared" ref="I6:I19" si="15">F6</f>
        <v>0</v>
      </c>
      <c r="J6" s="3181"/>
      <c r="K6" s="3182">
        <f t="shared" ref="K6:O19" si="16">D6/100</f>
        <v>0</v>
      </c>
      <c r="L6" s="3172">
        <f t="shared" si="16"/>
        <v>0</v>
      </c>
      <c r="M6" s="3172">
        <f t="shared" si="16"/>
        <v>0</v>
      </c>
      <c r="N6" s="3172">
        <f t="shared" si="16"/>
        <v>0</v>
      </c>
      <c r="O6" s="3172">
        <f t="shared" si="16"/>
        <v>0</v>
      </c>
      <c r="P6" s="3172">
        <f>M6</f>
        <v>0</v>
      </c>
      <c r="Q6" s="3181"/>
      <c r="R6" s="3183">
        <f>ROUND(IF(项目基本情况!$B$8="出让",SUMPRODUCT(PRODUCT(1+K6:$K$19)),SUMPRODUCT(PRODUCT(1+K6:$K$18))),4)</f>
        <v>1.0811999999999999</v>
      </c>
      <c r="S6" s="3183">
        <f>ROUND(IF(项目基本情况!$B$8="出让",SUMPRODUCT(PRODUCT(1+L6:$L$19)),SUMPRODUCT(PRODUCT(1+L6:$L$18))),4)</f>
        <v>1.052</v>
      </c>
      <c r="T6" s="3183">
        <f>ROUND(IF(项目基本情况!$B$8="出让",SUMPRODUCT(PRODUCT(1+M6:$M$19)),SUMPRODUCT(PRODUCT(1+M6:$M$18))),4)</f>
        <v>1.0249999999999999</v>
      </c>
      <c r="U6" s="3183">
        <f>ROUND(IF(项目基本情况!$B$8="出让",SUMPRODUCT(PRODUCT(1+N6:$N$19)),SUMPRODUCT(PRODUCT(1+N6:$N$18))),4)</f>
        <v>1.0888</v>
      </c>
      <c r="V6" s="3183">
        <f>ROUND(IF(项目基本情况!$B$8="出让",SUMPRODUCT(PRODUCT(1+O6:$O$19)),SUMPRODUCT(PRODUCT(1+O6:$O$18))),4)</f>
        <v>1.0804</v>
      </c>
      <c r="W6" s="3183">
        <f>T6</f>
        <v>1.0249999999999999</v>
      </c>
      <c r="X6" s="3181"/>
      <c r="Y6" s="3184">
        <f>IF(D6=0,0,ROUND(AVERAGE(D6:D19)/100,4))</f>
        <v>0</v>
      </c>
      <c r="Z6" s="3184">
        <f t="shared" ref="Z6:AC6" si="17">IF(E6=0,0,ROUND(AVERAGE(E6:E19)/100,4))</f>
        <v>0</v>
      </c>
      <c r="AA6" s="3184">
        <f t="shared" si="17"/>
        <v>0</v>
      </c>
      <c r="AB6" s="3184">
        <f t="shared" si="17"/>
        <v>0</v>
      </c>
      <c r="AC6" s="3184">
        <f t="shared" si="17"/>
        <v>0</v>
      </c>
      <c r="AD6" s="3184">
        <f t="shared" ref="AD6:AD18" si="18">AA6</f>
        <v>0</v>
      </c>
    </row>
    <row r="7" spans="1:30" s="3195" customFormat="1" ht="13.2">
      <c r="A7" s="3186" t="s">
        <v>3380</v>
      </c>
      <c r="B7" s="3187">
        <v>2024</v>
      </c>
      <c r="C7" s="3188">
        <v>1</v>
      </c>
      <c r="D7" s="3189">
        <v>0.08</v>
      </c>
      <c r="E7" s="3189">
        <v>0.46</v>
      </c>
      <c r="F7" s="3189">
        <v>-0.16</v>
      </c>
      <c r="G7" s="3189">
        <v>0.26</v>
      </c>
      <c r="H7" s="3190">
        <v>0.59</v>
      </c>
      <c r="I7" s="3191">
        <v>0</v>
      </c>
      <c r="J7" s="3192"/>
      <c r="K7" s="3193">
        <f t="shared" ref="K7" si="19">D7/100</f>
        <v>8.0000000000000004E-4</v>
      </c>
      <c r="L7" s="3194">
        <f t="shared" ref="L7" si="20">E7/100</f>
        <v>4.5999999999999999E-3</v>
      </c>
      <c r="M7" s="3194">
        <f t="shared" ref="M7" si="21">F7/100</f>
        <v>-1.6000000000000001E-3</v>
      </c>
      <c r="N7" s="3194">
        <f t="shared" ref="N7" si="22">G7/100</f>
        <v>2.5999999999999999E-3</v>
      </c>
      <c r="O7" s="3194">
        <f t="shared" ref="O7" si="23">H7/100</f>
        <v>5.8999999999999999E-3</v>
      </c>
      <c r="P7" s="3194">
        <f t="shared" ref="P7" si="24">M7</f>
        <v>-1.6000000000000001E-3</v>
      </c>
      <c r="Q7" s="3192"/>
      <c r="R7" s="3192">
        <f>ROUND(IF(项目基本情况!$B$8="出让",SUMPRODUCT(PRODUCT(1+K7:$K$19)),SUMPRODUCT(PRODUCT(1+K7:$K$18))),4)</f>
        <v>1.0811999999999999</v>
      </c>
      <c r="S7" s="3192">
        <f>ROUND(IF(项目基本情况!$B$8="出让",SUMPRODUCT(PRODUCT(1+L7:$L$19)),SUMPRODUCT(PRODUCT(1+L7:$L$18))),4)</f>
        <v>1.052</v>
      </c>
      <c r="T7" s="3192">
        <f>ROUND(IF(项目基本情况!$B$8="出让",SUMPRODUCT(PRODUCT(1+M7:$M$19)),SUMPRODUCT(PRODUCT(1+M7:$M$18))),4)</f>
        <v>1.0249999999999999</v>
      </c>
      <c r="U7" s="3192">
        <f>ROUND(IF(项目基本情况!$B$8="出让",SUMPRODUCT(PRODUCT(1+N7:$N$19)),SUMPRODUCT(PRODUCT(1+N7:$N$18))),4)</f>
        <v>1.0888</v>
      </c>
      <c r="V7" s="3192">
        <f>ROUND(IF(项目基本情况!$B$8="出让",SUMPRODUCT(PRODUCT(1+O7:$O$19)),SUMPRODUCT(PRODUCT(1+O7:$O$18))),4)</f>
        <v>1.0804</v>
      </c>
      <c r="W7" s="3192">
        <f t="shared" ref="W7" si="25">T7</f>
        <v>1.0249999999999999</v>
      </c>
      <c r="X7" s="3192"/>
      <c r="Y7" s="3194"/>
      <c r="Z7" s="3194"/>
      <c r="AA7" s="3194"/>
      <c r="AB7" s="3194"/>
      <c r="AC7" s="3194"/>
      <c r="AD7" s="3194"/>
    </row>
    <row r="8" spans="1:30" s="3185" customFormat="1" ht="13.2">
      <c r="A8" s="3176" t="s">
        <v>3381</v>
      </c>
      <c r="B8" s="3177">
        <v>2023</v>
      </c>
      <c r="C8" s="3178">
        <v>4</v>
      </c>
      <c r="D8" s="3179">
        <v>0.19</v>
      </c>
      <c r="E8" s="3179">
        <v>0.24</v>
      </c>
      <c r="F8" s="3179">
        <v>-0.16</v>
      </c>
      <c r="G8" s="3179">
        <v>0.17</v>
      </c>
      <c r="H8" s="3196">
        <v>0.61</v>
      </c>
      <c r="I8" s="3180">
        <f>F8</f>
        <v>-0.16</v>
      </c>
      <c r="J8" s="3181"/>
      <c r="K8" s="3182">
        <f t="shared" si="16"/>
        <v>1.9E-3</v>
      </c>
      <c r="L8" s="3172">
        <f t="shared" si="16"/>
        <v>2.3999999999999998E-3</v>
      </c>
      <c r="M8" s="3172">
        <f t="shared" si="16"/>
        <v>-1.6000000000000001E-3</v>
      </c>
      <c r="N8" s="3172">
        <f t="shared" si="16"/>
        <v>1.7000000000000001E-3</v>
      </c>
      <c r="O8" s="3172">
        <f t="shared" si="16"/>
        <v>6.0999999999999995E-3</v>
      </c>
      <c r="P8" s="3172">
        <f t="shared" ref="P8" si="26">M8</f>
        <v>-1.6000000000000001E-3</v>
      </c>
      <c r="Q8" s="3181"/>
      <c r="R8" s="3183">
        <f>ROUND(IF(项目基本情况!$B$8="出让",SUMPRODUCT(PRODUCT(1+K8:$K$19)),SUMPRODUCT(PRODUCT(1+K8:$K$18))),4)</f>
        <v>1.0804</v>
      </c>
      <c r="S8" s="3183">
        <f>ROUND(IF(项目基本情况!$B$8="出让",SUMPRODUCT(PRODUCT(1+L8:$L$19)),SUMPRODUCT(PRODUCT(1+L8:$L$18))),4)</f>
        <v>1.0471999999999999</v>
      </c>
      <c r="T8" s="3183">
        <f>ROUND(IF(项目基本情况!$B$8="出让",SUMPRODUCT(PRODUCT(1+M8:$M$19)),SUMPRODUCT(PRODUCT(1+M8:$M$18))),4)</f>
        <v>1.0266</v>
      </c>
      <c r="U8" s="3183">
        <f>ROUND(IF(项目基本情况!$B$8="出让",SUMPRODUCT(PRODUCT(1+N8:$N$19)),SUMPRODUCT(PRODUCT(1+N8:$N$18))),4)</f>
        <v>1.0859000000000001</v>
      </c>
      <c r="V8" s="3183">
        <f>ROUND(IF(项目基本情况!$B$8="出让",SUMPRODUCT(PRODUCT(1+O8:$O$19)),SUMPRODUCT(PRODUCT(1+O8:$O$18))),4)</f>
        <v>1.0741000000000001</v>
      </c>
      <c r="W8" s="3183">
        <f t="shared" ref="W8" si="27">T8</f>
        <v>1.0266</v>
      </c>
      <c r="X8" s="3181"/>
      <c r="Y8" s="3184"/>
      <c r="Z8" s="3184"/>
      <c r="AA8" s="3184"/>
      <c r="AB8" s="3184"/>
      <c r="AC8" s="3184"/>
      <c r="AD8" s="3184"/>
    </row>
    <row r="9" spans="1:30" s="3185" customFormat="1" ht="13.2">
      <c r="A9" s="3176" t="s">
        <v>3379</v>
      </c>
      <c r="B9" s="3177">
        <v>2023</v>
      </c>
      <c r="C9" s="3178">
        <v>3</v>
      </c>
      <c r="D9" s="3179">
        <v>0.25</v>
      </c>
      <c r="E9" s="3179">
        <v>0.5</v>
      </c>
      <c r="F9" s="3179">
        <v>0.31</v>
      </c>
      <c r="G9" s="3179">
        <v>0.21</v>
      </c>
      <c r="H9" s="3196">
        <v>0.43</v>
      </c>
      <c r="I9" s="3180">
        <f t="shared" si="15"/>
        <v>0.31</v>
      </c>
      <c r="J9" s="3181"/>
      <c r="K9" s="3182">
        <f t="shared" ref="K9:K11" si="28">D9/100</f>
        <v>2.5000000000000001E-3</v>
      </c>
      <c r="L9" s="3172">
        <f t="shared" ref="L9:L11" si="29">E9/100</f>
        <v>5.0000000000000001E-3</v>
      </c>
      <c r="M9" s="3172">
        <f t="shared" ref="M9:M11" si="30">F9/100</f>
        <v>3.0999999999999999E-3</v>
      </c>
      <c r="N9" s="3172">
        <f t="shared" ref="N9:N11" si="31">G9/100</f>
        <v>2.0999999999999999E-3</v>
      </c>
      <c r="O9" s="3172">
        <f t="shared" ref="O9:O11" si="32">H9/100</f>
        <v>4.3E-3</v>
      </c>
      <c r="P9" s="3172">
        <f t="shared" ref="P9:P11" si="33">M9</f>
        <v>3.0999999999999999E-3</v>
      </c>
      <c r="Q9" s="3181"/>
      <c r="R9" s="3183">
        <f>ROUND(IF(项目基本情况!$B$8="出让",SUMPRODUCT(PRODUCT(1+K9:$K$19)),SUMPRODUCT(PRODUCT(1+K9:$K$18))),4)</f>
        <v>1.0783</v>
      </c>
      <c r="S9" s="3183">
        <f>ROUND(IF(项目基本情况!$B$8="出让",SUMPRODUCT(PRODUCT(1+L9:$L$19)),SUMPRODUCT(PRODUCT(1+L9:$L$18))),4)</f>
        <v>1.0447</v>
      </c>
      <c r="T9" s="3183">
        <f>ROUND(IF(项目基本情况!$B$8="出让",SUMPRODUCT(PRODUCT(1+M9:$M$19)),SUMPRODUCT(PRODUCT(1+M9:$M$18))),4)</f>
        <v>1.0282</v>
      </c>
      <c r="U9" s="3183">
        <f>ROUND(IF(项目基本情况!$B$8="出让",SUMPRODUCT(PRODUCT(1+N9:$N$19)),SUMPRODUCT(PRODUCT(1+N9:$N$18))),4)</f>
        <v>1.0841000000000001</v>
      </c>
      <c r="V9" s="3183">
        <f>ROUND(IF(项目基本情况!$B$8="出让",SUMPRODUCT(PRODUCT(1+O9:$O$19)),SUMPRODUCT(PRODUCT(1+O9:$O$18))),4)</f>
        <v>1.0674999999999999</v>
      </c>
      <c r="W9" s="3183">
        <f t="shared" ref="W9:W10" si="34">T9</f>
        <v>1.0282</v>
      </c>
      <c r="X9" s="3181"/>
      <c r="Y9" s="3184"/>
      <c r="Z9" s="3184"/>
      <c r="AA9" s="3184"/>
      <c r="AB9" s="3184"/>
      <c r="AC9" s="3184"/>
      <c r="AD9" s="3184"/>
    </row>
    <row r="10" spans="1:30" s="3185" customFormat="1" ht="13.2">
      <c r="A10" s="3176" t="s">
        <v>3374</v>
      </c>
      <c r="B10" s="3177">
        <v>2023</v>
      </c>
      <c r="C10" s="3178">
        <v>2</v>
      </c>
      <c r="D10" s="3179">
        <v>0.91</v>
      </c>
      <c r="E10" s="3179">
        <v>0.66</v>
      </c>
      <c r="F10" s="3179">
        <v>0.47</v>
      </c>
      <c r="G10" s="3179">
        <v>0.96</v>
      </c>
      <c r="H10" s="3196">
        <v>0.71</v>
      </c>
      <c r="I10" s="3180">
        <f t="shared" si="15"/>
        <v>0.47</v>
      </c>
      <c r="J10" s="3181"/>
      <c r="K10" s="3182">
        <f t="shared" si="28"/>
        <v>9.1000000000000004E-3</v>
      </c>
      <c r="L10" s="3172">
        <f t="shared" si="29"/>
        <v>6.6E-3</v>
      </c>
      <c r="M10" s="3172">
        <f t="shared" si="30"/>
        <v>4.6999999999999993E-3</v>
      </c>
      <c r="N10" s="3172">
        <f t="shared" si="31"/>
        <v>9.5999999999999992E-3</v>
      </c>
      <c r="O10" s="3172">
        <f t="shared" si="32"/>
        <v>7.0999999999999995E-3</v>
      </c>
      <c r="P10" s="3172">
        <f t="shared" si="33"/>
        <v>4.6999999999999993E-3</v>
      </c>
      <c r="Q10" s="3181"/>
      <c r="R10" s="3183">
        <f>ROUND(IF(项目基本情况!$B$8="出让",SUMPRODUCT(PRODUCT(1+K10:$K$19)),SUMPRODUCT(PRODUCT(1+K10:$K$18))),4)</f>
        <v>1.0755999999999999</v>
      </c>
      <c r="S10" s="3183">
        <f>ROUND(IF(项目基本情况!$B$8="出让",SUMPRODUCT(PRODUCT(1+L10:$L$19)),SUMPRODUCT(PRODUCT(1+L10:$L$18))),4)</f>
        <v>1.0395000000000001</v>
      </c>
      <c r="T10" s="3183">
        <f>ROUND(IF(项目基本情况!$B$8="出让",SUMPRODUCT(PRODUCT(1+M10:$M$19)),SUMPRODUCT(PRODUCT(1+M10:$M$18))),4)</f>
        <v>1.0250999999999999</v>
      </c>
      <c r="U10" s="3183">
        <f>ROUND(IF(项目基本情况!$B$8="出让",SUMPRODUCT(PRODUCT(1+N10:$N$19)),SUMPRODUCT(PRODUCT(1+N10:$N$18))),4)</f>
        <v>1.0818000000000001</v>
      </c>
      <c r="V10" s="3183">
        <f>ROUND(IF(项目基本情况!$B$8="出让",SUMPRODUCT(PRODUCT(1+O10:$O$19)),SUMPRODUCT(PRODUCT(1+O10:$O$18))),4)</f>
        <v>1.0629999999999999</v>
      </c>
      <c r="W10" s="3183">
        <f t="shared" si="34"/>
        <v>1.0250999999999999</v>
      </c>
      <c r="X10" s="3181"/>
      <c r="Y10" s="3184"/>
      <c r="Z10" s="3184"/>
      <c r="AA10" s="3184"/>
      <c r="AB10" s="3184"/>
      <c r="AC10" s="3184"/>
      <c r="AD10" s="3184"/>
    </row>
    <row r="11" spans="1:30" s="3185" customFormat="1" ht="13.2">
      <c r="A11" s="3176" t="s">
        <v>3373</v>
      </c>
      <c r="B11" s="3177">
        <v>2023</v>
      </c>
      <c r="C11" s="3178">
        <v>1</v>
      </c>
      <c r="D11" s="3179">
        <v>0.89</v>
      </c>
      <c r="E11" s="3179">
        <v>0.74</v>
      </c>
      <c r="F11" s="3179">
        <v>0.56999999999999995</v>
      </c>
      <c r="G11" s="3179">
        <v>0.92</v>
      </c>
      <c r="H11" s="3196">
        <v>0.5</v>
      </c>
      <c r="I11" s="3180">
        <f t="shared" si="15"/>
        <v>0.56999999999999995</v>
      </c>
      <c r="J11" s="3181"/>
      <c r="K11" s="3182">
        <f t="shared" si="28"/>
        <v>8.8999999999999999E-3</v>
      </c>
      <c r="L11" s="3172">
        <f t="shared" si="29"/>
        <v>7.4000000000000003E-3</v>
      </c>
      <c r="M11" s="3172">
        <f t="shared" si="30"/>
        <v>5.6999999999999993E-3</v>
      </c>
      <c r="N11" s="3172">
        <f t="shared" si="31"/>
        <v>9.1999999999999998E-3</v>
      </c>
      <c r="O11" s="3172">
        <f t="shared" si="32"/>
        <v>5.0000000000000001E-3</v>
      </c>
      <c r="P11" s="3172">
        <f t="shared" si="33"/>
        <v>5.6999999999999993E-3</v>
      </c>
      <c r="Q11" s="3181"/>
      <c r="R11" s="3183">
        <f>ROUND(IF(项目基本情况!$B$8="出让",SUMPRODUCT(PRODUCT(1+K11:$K$19)),SUMPRODUCT(PRODUCT(1+K11:$K$18))),4)</f>
        <v>1.0659000000000001</v>
      </c>
      <c r="S11" s="3183">
        <f>ROUND(IF(项目基本情况!$B$8="出让",SUMPRODUCT(PRODUCT(1+L11:$L$19)),SUMPRODUCT(PRODUCT(1+L11:$L$18))),4)</f>
        <v>1.0326</v>
      </c>
      <c r="T11" s="3183">
        <f>ROUND(IF(项目基本情况!$B$8="出让",SUMPRODUCT(PRODUCT(1+M11:$M$19)),SUMPRODUCT(PRODUCT(1+M11:$M$18))),4)</f>
        <v>1.0203</v>
      </c>
      <c r="U11" s="3183">
        <f>ROUND(IF(项目基本情况!$B$8="出让",SUMPRODUCT(PRODUCT(1+N11:$N$19)),SUMPRODUCT(PRODUCT(1+N11:$N$18))),4)</f>
        <v>1.0714999999999999</v>
      </c>
      <c r="V11" s="3183">
        <f>ROUND(IF(项目基本情况!$B$8="出让",SUMPRODUCT(PRODUCT(1+O11:$O$19)),SUMPRODUCT(PRODUCT(1+O11:$O$18))),4)</f>
        <v>1.0555000000000001</v>
      </c>
      <c r="W11" s="3183">
        <f t="shared" ref="W11:W18" si="35">T11</f>
        <v>1.0203</v>
      </c>
      <c r="X11" s="3181"/>
      <c r="Y11" s="3184"/>
      <c r="Z11" s="3184"/>
      <c r="AA11" s="3184"/>
      <c r="AB11" s="3184"/>
      <c r="AC11" s="3184"/>
      <c r="AD11" s="3184"/>
    </row>
    <row r="12" spans="1:30" s="3185" customFormat="1" ht="13.2">
      <c r="A12" s="3176" t="s">
        <v>3372</v>
      </c>
      <c r="B12" s="3177">
        <v>2022</v>
      </c>
      <c r="C12" s="3178">
        <v>4</v>
      </c>
      <c r="D12" s="3179">
        <v>0.62</v>
      </c>
      <c r="E12" s="3179">
        <v>0.2</v>
      </c>
      <c r="F12" s="3179">
        <v>0.11</v>
      </c>
      <c r="G12" s="3179">
        <v>0.69</v>
      </c>
      <c r="H12" s="3196">
        <v>0.53</v>
      </c>
      <c r="I12" s="3180">
        <f t="shared" si="15"/>
        <v>0.11</v>
      </c>
      <c r="J12" s="3181"/>
      <c r="K12" s="3182">
        <f t="shared" si="16"/>
        <v>6.1999999999999998E-3</v>
      </c>
      <c r="L12" s="3172">
        <f t="shared" si="16"/>
        <v>2E-3</v>
      </c>
      <c r="M12" s="3172">
        <f t="shared" si="16"/>
        <v>1.1000000000000001E-3</v>
      </c>
      <c r="N12" s="3172">
        <f t="shared" si="16"/>
        <v>6.8999999999999999E-3</v>
      </c>
      <c r="O12" s="3172">
        <f t="shared" si="16"/>
        <v>5.3E-3</v>
      </c>
      <c r="P12" s="3172">
        <f t="shared" ref="P12:P19" si="36">M12</f>
        <v>1.1000000000000001E-3</v>
      </c>
      <c r="Q12" s="3181"/>
      <c r="R12" s="3183">
        <f>ROUND(IF(项目基本情况!$B$8="出让",SUMPRODUCT(PRODUCT(1+K12:$K$19)),SUMPRODUCT(PRODUCT(1+K12:$K$18))),4)</f>
        <v>1.0565</v>
      </c>
      <c r="S12" s="3183">
        <f>ROUND(IF(项目基本情况!$B$8="出让",SUMPRODUCT(PRODUCT(1+L12:$L$19)),SUMPRODUCT(PRODUCT(1+L12:$L$18))),4)</f>
        <v>1.0250999999999999</v>
      </c>
      <c r="T12" s="3183">
        <f>ROUND(IF(项目基本情况!$B$8="出让",SUMPRODUCT(PRODUCT(1+M12:$M$19)),SUMPRODUCT(PRODUCT(1+M12:$M$18))),4)</f>
        <v>1.0145</v>
      </c>
      <c r="U12" s="3183">
        <f>ROUND(IF(项目基本情况!$B$8="出让",SUMPRODUCT(PRODUCT(1+N12:$N$19)),SUMPRODUCT(PRODUCT(1+N12:$N$18))),4)</f>
        <v>1.0618000000000001</v>
      </c>
      <c r="V12" s="3183">
        <f>ROUND(IF(项目基本情况!$B$8="出让",SUMPRODUCT(PRODUCT(1+O12:$O$19)),SUMPRODUCT(PRODUCT(1+O12:$O$18))),4)</f>
        <v>1.0502</v>
      </c>
      <c r="W12" s="3183">
        <f t="shared" si="35"/>
        <v>1.0145</v>
      </c>
      <c r="X12" s="3181"/>
      <c r="Y12" s="3184">
        <f>IF(D12=0,0,ROUND(AVERAGE(D12:D20)/100,4))</f>
        <v>8.0999999999999996E-3</v>
      </c>
      <c r="Z12" s="3184">
        <f t="shared" ref="Z12:AC12" si="37">IF(E12=0,0,ROUND(AVERAGE(E12:E19)/100,4))</f>
        <v>3.3E-3</v>
      </c>
      <c r="AA12" s="3184">
        <f t="shared" si="37"/>
        <v>1.5E-3</v>
      </c>
      <c r="AB12" s="3184">
        <f t="shared" si="37"/>
        <v>8.8999999999999999E-3</v>
      </c>
      <c r="AC12" s="3184">
        <f t="shared" si="37"/>
        <v>6.6E-3</v>
      </c>
      <c r="AD12" s="3184">
        <f t="shared" si="18"/>
        <v>1.5E-3</v>
      </c>
    </row>
    <row r="13" spans="1:30" s="3185" customFormat="1" ht="13.2">
      <c r="A13" s="3176" t="s">
        <v>3368</v>
      </c>
      <c r="B13" s="3177">
        <v>2022</v>
      </c>
      <c r="C13" s="3178">
        <v>3</v>
      </c>
      <c r="D13" s="3179">
        <v>0.66</v>
      </c>
      <c r="E13" s="3179">
        <v>0.32</v>
      </c>
      <c r="F13" s="3179">
        <v>0.23</v>
      </c>
      <c r="G13" s="3179">
        <v>0.72</v>
      </c>
      <c r="H13" s="3196">
        <v>0.63</v>
      </c>
      <c r="I13" s="3180">
        <f t="shared" si="15"/>
        <v>0.23</v>
      </c>
      <c r="J13" s="3181"/>
      <c r="K13" s="3182">
        <f t="shared" si="16"/>
        <v>6.6E-3</v>
      </c>
      <c r="L13" s="3172">
        <f t="shared" si="16"/>
        <v>3.2000000000000002E-3</v>
      </c>
      <c r="M13" s="3172">
        <f t="shared" si="16"/>
        <v>2.3E-3</v>
      </c>
      <c r="N13" s="3172">
        <f t="shared" si="16"/>
        <v>7.1999999999999998E-3</v>
      </c>
      <c r="O13" s="3172">
        <f t="shared" si="16"/>
        <v>6.3E-3</v>
      </c>
      <c r="P13" s="3172">
        <f t="shared" si="36"/>
        <v>2.3E-3</v>
      </c>
      <c r="Q13" s="3181"/>
      <c r="R13" s="3183">
        <f>ROUND(IF(项目基本情况!$B$8="出让",SUMPRODUCT(PRODUCT(1+K13:$K$19)),SUMPRODUCT(PRODUCT(1+K13:$K$18))),4)</f>
        <v>1.05</v>
      </c>
      <c r="S13" s="3183">
        <f>ROUND(IF(项目基本情况!$B$8="出让",SUMPRODUCT(PRODUCT(1+L13:$L$19)),SUMPRODUCT(PRODUCT(1+L13:$L$18))),4)</f>
        <v>1.0229999999999999</v>
      </c>
      <c r="T13" s="3183">
        <f>ROUND(IF(项目基本情况!$B$8="出让",SUMPRODUCT(PRODUCT(1+M13:$M$19)),SUMPRODUCT(PRODUCT(1+M13:$M$18))),4)</f>
        <v>1.0134000000000001</v>
      </c>
      <c r="U13" s="3183">
        <f>ROUND(IF(项目基本情况!$B$8="出让",SUMPRODUCT(PRODUCT(1+N13:$N$19)),SUMPRODUCT(PRODUCT(1+N13:$N$18))),4)</f>
        <v>1.0545</v>
      </c>
      <c r="V13" s="3183">
        <f>ROUND(IF(项目基本情况!$B$8="出让",SUMPRODUCT(PRODUCT(1+O13:$O$19)),SUMPRODUCT(PRODUCT(1+O13:$O$18))),4)</f>
        <v>1.0447</v>
      </c>
      <c r="W13" s="3183">
        <f t="shared" si="35"/>
        <v>1.0134000000000001</v>
      </c>
      <c r="X13" s="3181"/>
      <c r="Y13" s="3184">
        <f>IF(D13=0,0,ROUND(AVERAGE(D13:D19)/100,4))</f>
        <v>8.3999999999999995E-3</v>
      </c>
      <c r="Z13" s="3184">
        <f t="shared" ref="Z13:AC13" si="38">IF(E13=0,0,ROUND(AVERAGE(E13:E19)/100,4))</f>
        <v>3.5000000000000001E-3</v>
      </c>
      <c r="AA13" s="3184">
        <f t="shared" si="38"/>
        <v>1.5E-3</v>
      </c>
      <c r="AB13" s="3184">
        <f t="shared" si="38"/>
        <v>9.1999999999999998E-3</v>
      </c>
      <c r="AC13" s="3184">
        <f t="shared" si="38"/>
        <v>6.7999999999999996E-3</v>
      </c>
      <c r="AD13" s="3184">
        <f t="shared" si="18"/>
        <v>1.5E-3</v>
      </c>
    </row>
    <row r="14" spans="1:30" s="3185" customFormat="1" ht="13.2">
      <c r="A14" s="3176" t="s">
        <v>3359</v>
      </c>
      <c r="B14" s="3177">
        <v>2022</v>
      </c>
      <c r="C14" s="3178">
        <v>2</v>
      </c>
      <c r="D14" s="3179">
        <v>0.93</v>
      </c>
      <c r="E14" s="3179">
        <v>0.15</v>
      </c>
      <c r="F14" s="3179">
        <v>0.01</v>
      </c>
      <c r="G14" s="3179">
        <v>1.05</v>
      </c>
      <c r="H14" s="3196">
        <v>1.08</v>
      </c>
      <c r="I14" s="3180">
        <f t="shared" si="15"/>
        <v>0.01</v>
      </c>
      <c r="J14" s="3181"/>
      <c r="K14" s="3182">
        <f t="shared" si="16"/>
        <v>9.300000000000001E-3</v>
      </c>
      <c r="L14" s="3172">
        <f t="shared" si="16"/>
        <v>1.5E-3</v>
      </c>
      <c r="M14" s="3172">
        <f t="shared" si="16"/>
        <v>1E-4</v>
      </c>
      <c r="N14" s="3172">
        <f t="shared" si="16"/>
        <v>1.0500000000000001E-2</v>
      </c>
      <c r="O14" s="3172">
        <f t="shared" si="16"/>
        <v>1.0800000000000001E-2</v>
      </c>
      <c r="P14" s="3172">
        <f t="shared" si="36"/>
        <v>1E-4</v>
      </c>
      <c r="Q14" s="3181"/>
      <c r="R14" s="3183">
        <f>ROUND(IF(项目基本情况!$B$8="出让",SUMPRODUCT(PRODUCT(1+K14:$K$19)),SUMPRODUCT(PRODUCT(1+K14:$K$18))),4)</f>
        <v>1.0430999999999999</v>
      </c>
      <c r="S14" s="3183">
        <f>ROUND(IF(项目基本情况!$B$8="出让",SUMPRODUCT(PRODUCT(1+L14:$L$19)),SUMPRODUCT(PRODUCT(1+L14:$L$18))),4)</f>
        <v>1.0197000000000001</v>
      </c>
      <c r="T14" s="3183">
        <f>ROUND(IF(项目基本情况!$B$8="出让",SUMPRODUCT(PRODUCT(1+M14:$M$19)),SUMPRODUCT(PRODUCT(1+M14:$M$18))),4)</f>
        <v>1.0109999999999999</v>
      </c>
      <c r="U14" s="3183">
        <f>ROUND(IF(项目基本情况!$B$8="出让",SUMPRODUCT(PRODUCT(1+N14:$N$19)),SUMPRODUCT(PRODUCT(1+N14:$N$18))),4)</f>
        <v>1.0468999999999999</v>
      </c>
      <c r="V14" s="3183">
        <f>ROUND(IF(项目基本情况!$B$8="出让",SUMPRODUCT(PRODUCT(1+O14:$O$19)),SUMPRODUCT(PRODUCT(1+O14:$O$18))),4)</f>
        <v>1.0382</v>
      </c>
      <c r="W14" s="3183">
        <f t="shared" si="35"/>
        <v>1.0109999999999999</v>
      </c>
      <c r="X14" s="3181"/>
      <c r="Y14" s="3184">
        <f>IF(D14=0,0,ROUND(AVERAGE(D14:D19)/100,4))</f>
        <v>8.6999999999999994E-3</v>
      </c>
      <c r="Z14" s="3184">
        <f t="shared" ref="Z14:AC14" si="39">IF(E14=0,0,ROUND(AVERAGE(E14:E19)/100,4))</f>
        <v>3.5000000000000001E-3</v>
      </c>
      <c r="AA14" s="3184">
        <f t="shared" si="39"/>
        <v>1.4E-3</v>
      </c>
      <c r="AB14" s="3184">
        <f t="shared" si="39"/>
        <v>9.4999999999999998E-3</v>
      </c>
      <c r="AC14" s="3184">
        <f t="shared" si="39"/>
        <v>6.8999999999999999E-3</v>
      </c>
      <c r="AD14" s="3184">
        <f t="shared" si="18"/>
        <v>1.4E-3</v>
      </c>
    </row>
    <row r="15" spans="1:30" s="3185" customFormat="1" ht="13.2">
      <c r="A15" s="3176" t="s">
        <v>2824</v>
      </c>
      <c r="B15" s="3177">
        <v>2022</v>
      </c>
      <c r="C15" s="3178">
        <v>1</v>
      </c>
      <c r="D15" s="3179">
        <v>0.89</v>
      </c>
      <c r="E15" s="3179">
        <v>0.44</v>
      </c>
      <c r="F15" s="3179">
        <v>0.37</v>
      </c>
      <c r="G15" s="3179">
        <v>0.96</v>
      </c>
      <c r="H15" s="3196">
        <v>0.64</v>
      </c>
      <c r="I15" s="3180">
        <f t="shared" si="15"/>
        <v>0.37</v>
      </c>
      <c r="J15" s="3181"/>
      <c r="K15" s="3182">
        <f t="shared" si="16"/>
        <v>8.8999999999999999E-3</v>
      </c>
      <c r="L15" s="3172">
        <f t="shared" si="16"/>
        <v>4.4000000000000003E-3</v>
      </c>
      <c r="M15" s="3172">
        <f t="shared" si="16"/>
        <v>3.7000000000000002E-3</v>
      </c>
      <c r="N15" s="3172">
        <f t="shared" si="16"/>
        <v>9.5999999999999992E-3</v>
      </c>
      <c r="O15" s="3172">
        <f t="shared" si="16"/>
        <v>6.4000000000000003E-3</v>
      </c>
      <c r="P15" s="3172">
        <f t="shared" si="36"/>
        <v>3.7000000000000002E-3</v>
      </c>
      <c r="Q15" s="3181"/>
      <c r="R15" s="3183">
        <f>ROUND(IF(项目基本情况!$B$8="出让",SUMPRODUCT(PRODUCT(1+K15:$K$19)),SUMPRODUCT(PRODUCT(1+K15:$K$18))),4)</f>
        <v>1.0335000000000001</v>
      </c>
      <c r="S15" s="3183">
        <f>ROUND(IF(项目基本情况!$B$8="出让",SUMPRODUCT(PRODUCT(1+L15:$L$19)),SUMPRODUCT(PRODUCT(1+L15:$L$18))),4)</f>
        <v>1.0182</v>
      </c>
      <c r="T15" s="3183">
        <f>ROUND(IF(项目基本情况!$B$8="出让",SUMPRODUCT(PRODUCT(1+M15:$M$19)),SUMPRODUCT(PRODUCT(1+M15:$M$18))),4)</f>
        <v>1.0108999999999999</v>
      </c>
      <c r="U15" s="3183">
        <f>ROUND(IF(项目基本情况!$B$8="出让",SUMPRODUCT(PRODUCT(1+N15:$N$19)),SUMPRODUCT(PRODUCT(1+N15:$N$18))),4)</f>
        <v>1.0361</v>
      </c>
      <c r="V15" s="3183">
        <f>ROUND(IF(项目基本情况!$B$8="出让",SUMPRODUCT(PRODUCT(1+O15:$O$19)),SUMPRODUCT(PRODUCT(1+O15:$O$18))),4)</f>
        <v>1.0270999999999999</v>
      </c>
      <c r="W15" s="3183">
        <f t="shared" si="35"/>
        <v>1.0108999999999999</v>
      </c>
      <c r="X15" s="3181"/>
      <c r="Y15" s="3184">
        <f>IF(D15=0,0,ROUND(AVERAGE(D15:D19)/100,4))</f>
        <v>8.6E-3</v>
      </c>
      <c r="Z15" s="3184">
        <f t="shared" ref="Z15:AC15" si="40">IF(E15=0,0,ROUND(AVERAGE(E15:E19)/100,4))</f>
        <v>3.8999999999999998E-3</v>
      </c>
      <c r="AA15" s="3184">
        <f t="shared" si="40"/>
        <v>1.6999999999999999E-3</v>
      </c>
      <c r="AB15" s="3184">
        <f t="shared" si="40"/>
        <v>9.2999999999999992E-3</v>
      </c>
      <c r="AC15" s="3184">
        <f t="shared" si="40"/>
        <v>6.1000000000000004E-3</v>
      </c>
      <c r="AD15" s="3184">
        <f t="shared" si="18"/>
        <v>1.6999999999999999E-3</v>
      </c>
    </row>
    <row r="16" spans="1:30" s="3185" customFormat="1" ht="13.2">
      <c r="A16" s="3176" t="s">
        <v>2825</v>
      </c>
      <c r="B16" s="3177">
        <v>2021</v>
      </c>
      <c r="C16" s="3178">
        <v>4</v>
      </c>
      <c r="D16" s="3179">
        <v>1.03</v>
      </c>
      <c r="E16" s="3179">
        <v>0.24</v>
      </c>
      <c r="F16" s="3179">
        <v>7.0000000000000007E-2</v>
      </c>
      <c r="G16" s="3179">
        <v>1.17</v>
      </c>
      <c r="H16" s="3196">
        <v>0.55000000000000004</v>
      </c>
      <c r="I16" s="3180">
        <f t="shared" si="15"/>
        <v>7.0000000000000007E-2</v>
      </c>
      <c r="J16" s="3181"/>
      <c r="K16" s="3182">
        <f t="shared" si="16"/>
        <v>1.03E-2</v>
      </c>
      <c r="L16" s="3172">
        <f t="shared" si="16"/>
        <v>2.3999999999999998E-3</v>
      </c>
      <c r="M16" s="3172">
        <f t="shared" si="16"/>
        <v>7.000000000000001E-4</v>
      </c>
      <c r="N16" s="3172">
        <f t="shared" si="16"/>
        <v>1.1699999999999999E-2</v>
      </c>
      <c r="O16" s="3172">
        <f t="shared" si="16"/>
        <v>5.5000000000000005E-3</v>
      </c>
      <c r="P16" s="3172">
        <f t="shared" si="36"/>
        <v>7.000000000000001E-4</v>
      </c>
      <c r="Q16" s="3181"/>
      <c r="R16" s="3183">
        <f>ROUND(IF(项目基本情况!$B$8="出让",SUMPRODUCT(PRODUCT(1+K16:$K$19)),SUMPRODUCT(PRODUCT(1+K16:$K$18))),4)</f>
        <v>1.0244</v>
      </c>
      <c r="S16" s="3183">
        <f>ROUND(IF(项目基本情况!$B$8="出让",SUMPRODUCT(PRODUCT(1+L16:$L$19)),SUMPRODUCT(PRODUCT(1+L16:$L$18))),4)</f>
        <v>1.0138</v>
      </c>
      <c r="T16" s="3183">
        <f>ROUND(IF(项目基本情况!$B$8="出让",SUMPRODUCT(PRODUCT(1+M16:$M$19)),SUMPRODUCT(PRODUCT(1+M16:$M$18))),4)</f>
        <v>1.0072000000000001</v>
      </c>
      <c r="U16" s="3183">
        <f>ROUND(IF(项目基本情况!$B$8="出让",SUMPRODUCT(PRODUCT(1+N16:$N$19)),SUMPRODUCT(PRODUCT(1+N16:$N$18))),4)</f>
        <v>1.0262</v>
      </c>
      <c r="V16" s="3183">
        <f>ROUND(IF(项目基本情况!$B$8="出让",SUMPRODUCT(PRODUCT(1+O16:$O$19)),SUMPRODUCT(PRODUCT(1+O16:$O$18))),4)</f>
        <v>1.0205</v>
      </c>
      <c r="W16" s="3183">
        <f t="shared" si="35"/>
        <v>1.0072000000000001</v>
      </c>
      <c r="X16" s="3181"/>
      <c r="Y16" s="3184">
        <f>IF(D16=0,0,ROUND(AVERAGE(D16:D19)/100,4))</f>
        <v>8.5000000000000006E-3</v>
      </c>
      <c r="Z16" s="3184">
        <f t="shared" ref="Z16:AC16" si="41">IF(E16=0,0,ROUND(AVERAGE(E16:E19)/100,4))</f>
        <v>3.8E-3</v>
      </c>
      <c r="AA16" s="3184">
        <f t="shared" si="41"/>
        <v>1.1999999999999999E-3</v>
      </c>
      <c r="AB16" s="3184">
        <f t="shared" si="41"/>
        <v>9.2999999999999992E-3</v>
      </c>
      <c r="AC16" s="3184">
        <f t="shared" si="41"/>
        <v>6.0000000000000001E-3</v>
      </c>
      <c r="AD16" s="3184">
        <f t="shared" si="18"/>
        <v>1.1999999999999999E-3</v>
      </c>
    </row>
    <row r="17" spans="1:30" s="3185" customFormat="1" ht="13.2">
      <c r="A17" s="3176" t="s">
        <v>2826</v>
      </c>
      <c r="B17" s="3177">
        <v>2021</v>
      </c>
      <c r="C17" s="3178">
        <v>3</v>
      </c>
      <c r="D17" s="3179">
        <v>0.47</v>
      </c>
      <c r="E17" s="3179">
        <v>0.41</v>
      </c>
      <c r="F17" s="3179">
        <v>0.24</v>
      </c>
      <c r="G17" s="3179">
        <v>0.48</v>
      </c>
      <c r="H17" s="3196">
        <v>0.48</v>
      </c>
      <c r="I17" s="3180">
        <f t="shared" si="15"/>
        <v>0.24</v>
      </c>
      <c r="J17" s="3181"/>
      <c r="K17" s="3182">
        <f t="shared" si="16"/>
        <v>4.6999999999999993E-3</v>
      </c>
      <c r="L17" s="3172">
        <f t="shared" si="16"/>
        <v>4.0999999999999995E-3</v>
      </c>
      <c r="M17" s="3172">
        <f t="shared" si="16"/>
        <v>2.3999999999999998E-3</v>
      </c>
      <c r="N17" s="3172">
        <f t="shared" si="16"/>
        <v>4.7999999999999996E-3</v>
      </c>
      <c r="O17" s="3172">
        <f t="shared" si="16"/>
        <v>4.7999999999999996E-3</v>
      </c>
      <c r="P17" s="3172">
        <f t="shared" si="36"/>
        <v>2.3999999999999998E-3</v>
      </c>
      <c r="Q17" s="3181"/>
      <c r="R17" s="3183">
        <f>ROUND(IF(项目基本情况!$B$8="出让",SUMPRODUCT(PRODUCT(1+K17:$K$19)),SUMPRODUCT(PRODUCT(1+K17:$K$18))),4)</f>
        <v>1.0139</v>
      </c>
      <c r="S17" s="3183">
        <f>ROUND(IF(项目基本情况!$B$8="出让",SUMPRODUCT(PRODUCT(1+L17:$L$19)),SUMPRODUCT(PRODUCT(1+L17:$L$18))),4)</f>
        <v>1.0113000000000001</v>
      </c>
      <c r="T17" s="3183">
        <f>ROUND(IF(项目基本情况!$B$8="出让",SUMPRODUCT(PRODUCT(1+M17:$M$19)),SUMPRODUCT(PRODUCT(1+M17:$M$18))),4)</f>
        <v>1.0065</v>
      </c>
      <c r="U17" s="3183">
        <f>ROUND(IF(项目基本情况!$B$8="出让",SUMPRODUCT(PRODUCT(1+N17:$N$19)),SUMPRODUCT(PRODUCT(1+N17:$N$18))),4)</f>
        <v>1.0143</v>
      </c>
      <c r="V17" s="3183">
        <f>ROUND(IF(项目基本情况!$B$8="出让",SUMPRODUCT(PRODUCT(1+O17:$O$19)),SUMPRODUCT(PRODUCT(1+O17:$O$18))),4)</f>
        <v>1.0148999999999999</v>
      </c>
      <c r="W17" s="3183">
        <f t="shared" si="35"/>
        <v>1.0065</v>
      </c>
      <c r="X17" s="3181"/>
      <c r="Y17" s="3184">
        <f>IF(D17=0,0,ROUND(AVERAGE(D17:D19)/100,4))</f>
        <v>7.9000000000000008E-3</v>
      </c>
      <c r="Z17" s="3184">
        <f>IF(E17=0,0,ROUND(AVERAGE(E17:E19)/100,4))</f>
        <v>4.3E-3</v>
      </c>
      <c r="AA17" s="3184">
        <f>IF(F17=0,0,ROUND(AVERAGE(F17:F19)/100,4))</f>
        <v>1.2999999999999999E-3</v>
      </c>
      <c r="AB17" s="3184">
        <f>IF(G17=0,0,ROUND(AVERAGE(G17:G19)/100,4))</f>
        <v>8.5000000000000006E-3</v>
      </c>
      <c r="AC17" s="3184">
        <f>IF(H17=0,0,ROUND(AVERAGE(H17:H19)/100,4))</f>
        <v>6.1999999999999998E-3</v>
      </c>
      <c r="AD17" s="3184">
        <f t="shared" si="18"/>
        <v>1.2999999999999999E-3</v>
      </c>
    </row>
    <row r="18" spans="1:30" s="3185" customFormat="1" ht="13.2">
      <c r="A18" s="3176" t="s">
        <v>2827</v>
      </c>
      <c r="B18" s="3177">
        <v>2021</v>
      </c>
      <c r="C18" s="3178">
        <v>2</v>
      </c>
      <c r="D18" s="3179">
        <v>0.92</v>
      </c>
      <c r="E18" s="3179">
        <v>0.72</v>
      </c>
      <c r="F18" s="3179">
        <v>0.41</v>
      </c>
      <c r="G18" s="3179">
        <v>0.95</v>
      </c>
      <c r="H18" s="3196">
        <v>1.01</v>
      </c>
      <c r="I18" s="3180">
        <f t="shared" si="15"/>
        <v>0.41</v>
      </c>
      <c r="J18" s="3181"/>
      <c r="K18" s="3182">
        <f t="shared" si="16"/>
        <v>9.1999999999999998E-3</v>
      </c>
      <c r="L18" s="3172">
        <f t="shared" si="16"/>
        <v>7.1999999999999998E-3</v>
      </c>
      <c r="M18" s="3172">
        <f t="shared" si="16"/>
        <v>4.0999999999999995E-3</v>
      </c>
      <c r="N18" s="3172">
        <f t="shared" si="16"/>
        <v>9.4999999999999998E-3</v>
      </c>
      <c r="O18" s="3172">
        <f t="shared" si="16"/>
        <v>1.01E-2</v>
      </c>
      <c r="P18" s="3172">
        <f t="shared" si="36"/>
        <v>4.0999999999999995E-3</v>
      </c>
      <c r="Q18" s="3181"/>
      <c r="R18" s="3183">
        <f>ROUND(IF(项目基本情况!$B$8="出让",SUMPRODUCT(PRODUCT(1+K18:$K$19)),SUMPRODUCT(PRODUCT(1+K18:$K$18))),4)</f>
        <v>1.0092000000000001</v>
      </c>
      <c r="S18" s="3183">
        <f>ROUND(IF(项目基本情况!$B$8="出让",SUMPRODUCT(PRODUCT(1+L18:$L$19)),SUMPRODUCT(PRODUCT(1+L18:$L$18))),4)</f>
        <v>1.0072000000000001</v>
      </c>
      <c r="T18" s="3183">
        <f>ROUND(IF(项目基本情况!$B$8="出让",SUMPRODUCT(PRODUCT(1+M18:$M$19)),SUMPRODUCT(PRODUCT(1+M18:$M$18))),4)</f>
        <v>1.0041</v>
      </c>
      <c r="U18" s="3183">
        <f>ROUND(IF(项目基本情况!$B$8="出让",SUMPRODUCT(PRODUCT(1+N18:$N$19)),SUMPRODUCT(PRODUCT(1+N18:$N$18))),4)</f>
        <v>1.0095000000000001</v>
      </c>
      <c r="V18" s="3183">
        <f>ROUND(IF(项目基本情况!$B$8="出让",SUMPRODUCT(PRODUCT(1+O18:$O$19)),SUMPRODUCT(PRODUCT(1+O18:$O$18))),4)</f>
        <v>1.0101</v>
      </c>
      <c r="W18" s="3183">
        <f t="shared" si="35"/>
        <v>1.0041</v>
      </c>
      <c r="X18" s="3181"/>
      <c r="Y18" s="3184">
        <f>IF(D18=0,0,ROUND(AVERAGE(D18:D19)/100,4))</f>
        <v>9.4999999999999998E-3</v>
      </c>
      <c r="Z18" s="3184">
        <f>IF(E18=0,0,ROUND(AVERAGE(E18:E19)/100,4))</f>
        <v>4.4000000000000003E-3</v>
      </c>
      <c r="AA18" s="3184">
        <f>IF(F18=0,0,ROUND(AVERAGE(F18:F19)/100,4))</f>
        <v>8.0000000000000004E-4</v>
      </c>
      <c r="AB18" s="3184">
        <f>IF(G18=0,0,ROUND(AVERAGE(G18:G19)/100,4))</f>
        <v>1.03E-2</v>
      </c>
      <c r="AC18" s="3184">
        <f>IF(H18=0,0,ROUND(AVERAGE(H18:H19)/100,4))</f>
        <v>6.8999999999999999E-3</v>
      </c>
      <c r="AD18" s="3184">
        <f t="shared" si="18"/>
        <v>8.0000000000000004E-4</v>
      </c>
    </row>
    <row r="19" spans="1:30" s="3207" customFormat="1" ht="13.8" thickBot="1">
      <c r="A19" s="3197" t="s">
        <v>2828</v>
      </c>
      <c r="B19" s="3198">
        <v>2021</v>
      </c>
      <c r="C19" s="3199">
        <v>1</v>
      </c>
      <c r="D19" s="3200">
        <v>0.97</v>
      </c>
      <c r="E19" s="3200">
        <v>0.16</v>
      </c>
      <c r="F19" s="3200">
        <v>-0.25</v>
      </c>
      <c r="G19" s="3200">
        <v>1.1100000000000001</v>
      </c>
      <c r="H19" s="3201">
        <v>0.36</v>
      </c>
      <c r="I19" s="3202">
        <f t="shared" si="15"/>
        <v>-0.25</v>
      </c>
      <c r="J19" s="3203"/>
      <c r="K19" s="3204">
        <f t="shared" si="16"/>
        <v>9.7000000000000003E-3</v>
      </c>
      <c r="L19" s="3205">
        <f t="shared" si="16"/>
        <v>1.6000000000000001E-3</v>
      </c>
      <c r="M19" s="3205">
        <f>F19/100</f>
        <v>-2.5000000000000001E-3</v>
      </c>
      <c r="N19" s="3205">
        <f t="shared" si="16"/>
        <v>1.11E-2</v>
      </c>
      <c r="O19" s="3205">
        <f t="shared" si="16"/>
        <v>3.5999999999999999E-3</v>
      </c>
      <c r="P19" s="3205">
        <f t="shared" si="36"/>
        <v>-2.5000000000000001E-3</v>
      </c>
      <c r="Q19" s="3203"/>
      <c r="R19" s="3206">
        <v>1</v>
      </c>
      <c r="S19" s="3206">
        <v>1</v>
      </c>
      <c r="T19" s="3206">
        <v>1</v>
      </c>
      <c r="U19" s="3206">
        <v>1</v>
      </c>
      <c r="V19" s="3206">
        <v>1</v>
      </c>
      <c r="W19" s="3206">
        <f t="shared" ref="W19" si="42">T19</f>
        <v>1</v>
      </c>
      <c r="X19" s="3203"/>
      <c r="Y19" s="3205">
        <f>IF(D19=0,0,ROUND(AVERAGE(D19:D19)/100,4))</f>
        <v>9.7000000000000003E-3</v>
      </c>
      <c r="Z19" s="3205">
        <f>IF(E19=0,0,ROUND(AVERAGE(E19:E19)/100,4))</f>
        <v>1.6000000000000001E-3</v>
      </c>
      <c r="AA19" s="3205">
        <f>IF(F19=0,0,ROUND(AVERAGE(F19:F19)/100,4))</f>
        <v>-2.5000000000000001E-3</v>
      </c>
      <c r="AB19" s="3205">
        <f>IF(G19=0,0,ROUND(AVERAGE(G19:G19)/100,4))</f>
        <v>1.11E-2</v>
      </c>
      <c r="AC19" s="3205">
        <f>IF(H19=0,0,ROUND(AVERAGE(H19:H19)/100,4))</f>
        <v>3.5999999999999999E-3</v>
      </c>
      <c r="AD19" s="3205">
        <f>AA19</f>
        <v>-2.5000000000000001E-3</v>
      </c>
    </row>
    <row r="20" spans="1:30" s="3009" customFormat="1" ht="15" thickTop="1"/>
    <row r="21" spans="1:30" s="3009" customFormat="1">
      <c r="A21" s="3448" t="s">
        <v>3370</v>
      </c>
    </row>
    <row r="22" spans="1:30" s="3009" customFormat="1">
      <c r="I22" s="3208" t="s">
        <v>2829</v>
      </c>
    </row>
    <row r="23" spans="1:30" s="3009" customFormat="1"/>
    <row r="24" spans="1:30" s="3209" customFormat="1" ht="13.2">
      <c r="B24" s="3210" t="s">
        <v>3376</v>
      </c>
      <c r="C24" s="3211"/>
      <c r="D24" s="3211"/>
      <c r="E24" s="3211"/>
      <c r="F24" s="3211"/>
      <c r="G24" s="3211"/>
      <c r="H24" s="3211"/>
      <c r="I24" s="3211"/>
      <c r="J24" s="3165"/>
      <c r="K24" s="3211" t="s">
        <v>2830</v>
      </c>
      <c r="L24" s="3211"/>
      <c r="M24" s="3211"/>
      <c r="N24" s="3211"/>
      <c r="O24" s="3211"/>
      <c r="P24" s="3211"/>
      <c r="Q24" s="3165"/>
      <c r="R24" s="3996" t="s">
        <v>2831</v>
      </c>
      <c r="S24" s="3997"/>
      <c r="T24" s="3997"/>
      <c r="U24" s="3997"/>
      <c r="V24" s="3997"/>
      <c r="W24" s="3997"/>
      <c r="X24" s="3165"/>
      <c r="Y24" s="3996" t="s">
        <v>2832</v>
      </c>
      <c r="Z24" s="3997"/>
      <c r="AA24" s="3997"/>
      <c r="AB24" s="3997"/>
      <c r="AC24" s="3997"/>
      <c r="AD24" s="3997"/>
    </row>
    <row r="25" spans="1:30" s="3143" customFormat="1" ht="15" thickBot="1">
      <c r="B25" s="3144"/>
      <c r="C25" s="3145"/>
      <c r="D25" s="3146" t="s">
        <v>2833</v>
      </c>
      <c r="E25" s="3147" t="s">
        <v>2834</v>
      </c>
      <c r="F25" s="3147" t="s">
        <v>2835</v>
      </c>
      <c r="G25" s="3147" t="s">
        <v>2836</v>
      </c>
      <c r="H25" s="3147"/>
      <c r="I25" s="3147" t="s">
        <v>2837</v>
      </c>
      <c r="J25" s="3148"/>
      <c r="K25" s="3146" t="s">
        <v>2833</v>
      </c>
      <c r="L25" s="3147" t="s">
        <v>2834</v>
      </c>
      <c r="M25" s="3147" t="s">
        <v>2835</v>
      </c>
      <c r="N25" s="3147" t="s">
        <v>2836</v>
      </c>
      <c r="O25" s="3147"/>
      <c r="P25" s="3147" t="s">
        <v>2837</v>
      </c>
      <c r="Q25" s="3148"/>
      <c r="R25" s="3146" t="s">
        <v>2833</v>
      </c>
      <c r="S25" s="3147" t="s">
        <v>2834</v>
      </c>
      <c r="T25" s="3147" t="s">
        <v>2835</v>
      </c>
      <c r="U25" s="3147" t="s">
        <v>2836</v>
      </c>
      <c r="V25" s="3147"/>
      <c r="W25" s="3147" t="s">
        <v>2837</v>
      </c>
      <c r="X25" s="3148"/>
      <c r="Y25" s="3146" t="s">
        <v>2833</v>
      </c>
      <c r="Z25" s="3147" t="s">
        <v>2834</v>
      </c>
      <c r="AA25" s="3147" t="s">
        <v>2835</v>
      </c>
      <c r="AB25" s="3147" t="s">
        <v>2836</v>
      </c>
      <c r="AC25" s="3147"/>
      <c r="AD25" s="3147" t="s">
        <v>2837</v>
      </c>
    </row>
    <row r="26" spans="1:30" s="3161" customFormat="1" ht="13.2">
      <c r="A26" s="3149" t="s">
        <v>2838</v>
      </c>
      <c r="B26" s="3150"/>
      <c r="C26" s="3151"/>
      <c r="D26" s="3151"/>
      <c r="E26" s="3151">
        <f t="shared" ref="E26:G26" si="43">ROUND(AVERAGEIF(E27:E42,"&lt;&gt;0"),2)</f>
        <v>0.38</v>
      </c>
      <c r="F26" s="3151">
        <f t="shared" si="43"/>
        <v>0.28999999999999998</v>
      </c>
      <c r="G26" s="3151">
        <f t="shared" si="43"/>
        <v>0.56999999999999995</v>
      </c>
      <c r="H26" s="3151"/>
      <c r="I26" s="3151">
        <f>F26</f>
        <v>0.28999999999999998</v>
      </c>
      <c r="J26" s="3152"/>
      <c r="K26" s="3153"/>
      <c r="L26" s="3154">
        <f t="shared" ref="L26:N26" si="44">ROUND(AVERAGEIF(L27:L42,"&lt;&gt;0"),4)</f>
        <v>3.8E-3</v>
      </c>
      <c r="M26" s="3154">
        <f t="shared" si="44"/>
        <v>2.8999999999999998E-3</v>
      </c>
      <c r="N26" s="3154">
        <f t="shared" si="44"/>
        <v>5.7000000000000002E-3</v>
      </c>
      <c r="O26" s="3154"/>
      <c r="P26" s="3154">
        <f>M26</f>
        <v>2.8999999999999998E-3</v>
      </c>
      <c r="Q26" s="3152"/>
      <c r="R26" s="3155"/>
      <c r="S26" s="3156">
        <f>ROUND(SUMPRODUCT(PRODUCT(1+L27:L42)),4)</f>
        <v>1.0502</v>
      </c>
      <c r="T26" s="3156">
        <f t="shared" ref="T26:U26" si="45">ROUND(SUMPRODUCT(PRODUCT(1+M27:M42)),4)</f>
        <v>1.0387999999999999</v>
      </c>
      <c r="U26" s="3156">
        <f t="shared" si="45"/>
        <v>1.0763</v>
      </c>
      <c r="V26" s="3156"/>
      <c r="W26" s="3155">
        <f>T26</f>
        <v>1.0387999999999999</v>
      </c>
      <c r="X26" s="3152"/>
      <c r="Y26" s="3157"/>
      <c r="Z26" s="3158">
        <f t="shared" ref="Z26:AB26" si="46">ROUND(AVERAGEIF(Z27:Z42,"&lt;&gt;0"),4)</f>
        <v>4.3E-3</v>
      </c>
      <c r="AA26" s="3159">
        <f t="shared" si="46"/>
        <v>3.5999999999999999E-3</v>
      </c>
      <c r="AB26" s="3157">
        <f t="shared" si="46"/>
        <v>8.8999999999999999E-3</v>
      </c>
      <c r="AC26" s="3160"/>
      <c r="AD26" s="3157">
        <f>AA26</f>
        <v>3.5999999999999999E-3</v>
      </c>
    </row>
    <row r="27" spans="1:30" s="3162" customFormat="1" ht="13.2">
      <c r="B27" s="3163"/>
      <c r="C27" s="3164"/>
      <c r="D27" s="3164"/>
      <c r="E27" s="3164"/>
      <c r="F27" s="3164"/>
      <c r="G27" s="3164"/>
      <c r="H27" s="3164"/>
      <c r="I27" s="3164"/>
      <c r="J27" s="3165"/>
      <c r="K27" s="3166"/>
      <c r="L27" s="3167"/>
      <c r="M27" s="3167"/>
      <c r="N27" s="3167"/>
      <c r="O27" s="3167"/>
      <c r="P27" s="3167"/>
      <c r="Q27" s="3165"/>
      <c r="R27" s="3168"/>
      <c r="S27" s="3169"/>
      <c r="T27" s="3170"/>
      <c r="U27" s="3168"/>
      <c r="V27" s="3171"/>
      <c r="W27" s="3168"/>
      <c r="X27" s="3165"/>
      <c r="Y27" s="3172"/>
      <c r="Z27" s="3173"/>
      <c r="AA27" s="3174"/>
      <c r="AB27" s="3172"/>
      <c r="AC27" s="3175"/>
      <c r="AD27" s="3172"/>
    </row>
    <row r="28" spans="1:30" s="3185" customFormat="1" ht="13.2">
      <c r="A28" s="2205" t="s">
        <v>3383</v>
      </c>
      <c r="B28" s="3177">
        <v>2024</v>
      </c>
      <c r="C28" s="3178">
        <v>3</v>
      </c>
      <c r="D28" s="3179"/>
      <c r="E28" s="3179">
        <v>0</v>
      </c>
      <c r="F28" s="3179">
        <v>0</v>
      </c>
      <c r="G28" s="3179">
        <v>0</v>
      </c>
      <c r="H28" s="3179"/>
      <c r="I28" s="3180">
        <f t="shared" ref="I28" si="47">F28</f>
        <v>0</v>
      </c>
      <c r="J28" s="3181"/>
      <c r="K28" s="3182"/>
      <c r="L28" s="3172">
        <f t="shared" ref="L28" si="48">E28/100</f>
        <v>0</v>
      </c>
      <c r="M28" s="3172">
        <f t="shared" ref="M28" si="49">F28/100</f>
        <v>0</v>
      </c>
      <c r="N28" s="3172">
        <f t="shared" ref="N28" si="50">G28/100</f>
        <v>0</v>
      </c>
      <c r="O28" s="3172"/>
      <c r="P28" s="3172">
        <f>M28</f>
        <v>0</v>
      </c>
      <c r="Q28" s="3181"/>
      <c r="R28" s="3183"/>
      <c r="S28" s="3183">
        <f>ROUND(IF(项目基本情况!$B$8="出让",SUMPRODUCT(PRODUCT(1+L28:L$42)),SUMPRODUCT(PRODUCT(1+L28:L$41))),4)</f>
        <v>1.0465</v>
      </c>
      <c r="T28" s="3183">
        <f>ROUND(IF(项目基本情况!$B$8="出让",SUMPRODUCT(PRODUCT(1+M28:M$42)),SUMPRODUCT(PRODUCT(1+M28:M$41))),4)</f>
        <v>1.0338000000000001</v>
      </c>
      <c r="U28" s="3183">
        <f>ROUND(IF(项目基本情况!$B$8="出让",SUMPRODUCT(PRODUCT(1+N28:N$42)),SUMPRODUCT(PRODUCT(1+N28:N$41))),4)</f>
        <v>1.0659000000000001</v>
      </c>
      <c r="V28" s="3183"/>
      <c r="W28" s="3183">
        <f>T28</f>
        <v>1.0338000000000001</v>
      </c>
      <c r="X28" s="3181"/>
      <c r="Y28" s="3184"/>
      <c r="Z28" s="3212">
        <f t="shared" ref="Z28:AB29" si="51">IF(E28=0,0,ROUND(AVERAGE(E28:E41)/100,4))</f>
        <v>0</v>
      </c>
      <c r="AA28" s="3212">
        <f t="shared" si="51"/>
        <v>0</v>
      </c>
      <c r="AB28" s="3212">
        <f t="shared" si="51"/>
        <v>0</v>
      </c>
      <c r="AC28" s="3213"/>
      <c r="AD28" s="3184">
        <f>IF(I28=0,0,ROUND(AVERAGE(I28:I41)/100,4))</f>
        <v>0</v>
      </c>
    </row>
    <row r="29" spans="1:30" s="3185" customFormat="1" ht="13.2">
      <c r="A29" s="2205" t="s">
        <v>3378</v>
      </c>
      <c r="B29" s="3177">
        <v>2024</v>
      </c>
      <c r="C29" s="3178">
        <v>2</v>
      </c>
      <c r="D29" s="3179"/>
      <c r="E29" s="3179">
        <v>0</v>
      </c>
      <c r="F29" s="3179">
        <v>0</v>
      </c>
      <c r="G29" s="3179">
        <v>0</v>
      </c>
      <c r="H29" s="3179"/>
      <c r="I29" s="3180">
        <f t="shared" ref="I29:I42" si="52">F29</f>
        <v>0</v>
      </c>
      <c r="J29" s="3181"/>
      <c r="K29" s="3182"/>
      <c r="L29" s="3172">
        <f t="shared" ref="L29:N42" si="53">E29/100</f>
        <v>0</v>
      </c>
      <c r="M29" s="3172">
        <f t="shared" si="53"/>
        <v>0</v>
      </c>
      <c r="N29" s="3172">
        <f t="shared" si="53"/>
        <v>0</v>
      </c>
      <c r="O29" s="3172"/>
      <c r="P29" s="3172">
        <f>M29</f>
        <v>0</v>
      </c>
      <c r="Q29" s="3181"/>
      <c r="R29" s="3183"/>
      <c r="S29" s="3183">
        <f>ROUND(IF(项目基本情况!$B$8="出让",SUMPRODUCT(PRODUCT(1+L29:L$42)),SUMPRODUCT(PRODUCT(1+L29:L$41))),4)</f>
        <v>1.0465</v>
      </c>
      <c r="T29" s="3183">
        <f>ROUND(IF(项目基本情况!$B$8="出让",SUMPRODUCT(PRODUCT(1+M29:M$42)),SUMPRODUCT(PRODUCT(1+M29:M$41))),4)</f>
        <v>1.0338000000000001</v>
      </c>
      <c r="U29" s="3183">
        <f>ROUND(IF(项目基本情况!$B$8="出让",SUMPRODUCT(PRODUCT(1+N29:N$42)),SUMPRODUCT(PRODUCT(1+N29:N$41))),4)</f>
        <v>1.0659000000000001</v>
      </c>
      <c r="V29" s="3183"/>
      <c r="W29" s="3183">
        <f>T29</f>
        <v>1.0338000000000001</v>
      </c>
      <c r="X29" s="3181"/>
      <c r="Y29" s="3184"/>
      <c r="Z29" s="3212">
        <f t="shared" si="51"/>
        <v>0</v>
      </c>
      <c r="AA29" s="3212">
        <f t="shared" si="51"/>
        <v>0</v>
      </c>
      <c r="AB29" s="3212">
        <f t="shared" si="51"/>
        <v>0</v>
      </c>
      <c r="AC29" s="3213"/>
      <c r="AD29" s="3184">
        <f>IF(I29=0,0,ROUND(AVERAGE(I29:I42)/100,4))</f>
        <v>0</v>
      </c>
    </row>
    <row r="30" spans="1:30" s="3195" customFormat="1" ht="13.2">
      <c r="A30" s="3186" t="s">
        <v>3380</v>
      </c>
      <c r="B30" s="3187">
        <v>2024</v>
      </c>
      <c r="C30" s="3188">
        <v>1</v>
      </c>
      <c r="D30" s="3189"/>
      <c r="E30" s="3189">
        <v>0.25</v>
      </c>
      <c r="F30" s="3189">
        <v>0.4</v>
      </c>
      <c r="G30" s="3189">
        <v>-0.63</v>
      </c>
      <c r="H30" s="3190"/>
      <c r="I30" s="3191">
        <f t="shared" ref="I30:I31" si="54">F30</f>
        <v>0.4</v>
      </c>
      <c r="J30" s="3192"/>
      <c r="K30" s="3193"/>
      <c r="L30" s="3194">
        <f t="shared" ref="L30" si="55">E30/100</f>
        <v>2.5000000000000001E-3</v>
      </c>
      <c r="M30" s="3194">
        <f t="shared" ref="M30" si="56">F30/100</f>
        <v>4.0000000000000001E-3</v>
      </c>
      <c r="N30" s="3194">
        <f t="shared" ref="N30" si="57">G30/100</f>
        <v>-6.3E-3</v>
      </c>
      <c r="O30" s="3194"/>
      <c r="P30" s="3194">
        <f t="shared" ref="P30" si="58">M30</f>
        <v>4.0000000000000001E-3</v>
      </c>
      <c r="Q30" s="3192"/>
      <c r="R30" s="3192"/>
      <c r="S30" s="3192">
        <f>ROUND(IF(项目基本情况!$B$8="出让",SUMPRODUCT(PRODUCT(1+L30:L$42)),SUMPRODUCT(PRODUCT(1+L30:L$41))),4)</f>
        <v>1.0465</v>
      </c>
      <c r="T30" s="3192">
        <f>ROUND(IF(项目基本情况!$B$8="出让",SUMPRODUCT(PRODUCT(1+M30:M$42)),SUMPRODUCT(PRODUCT(1+M30:M$41))),4)</f>
        <v>1.0338000000000001</v>
      </c>
      <c r="U30" s="3192">
        <f>ROUND(IF(项目基本情况!$B$8="出让",SUMPRODUCT(PRODUCT(1+N30:N$42)),SUMPRODUCT(PRODUCT(1+N30:N$41))),4)</f>
        <v>1.0659000000000001</v>
      </c>
      <c r="V30" s="3192"/>
      <c r="W30" s="3192">
        <f t="shared" ref="W30" si="59">T30</f>
        <v>1.0338000000000001</v>
      </c>
      <c r="X30" s="3192"/>
      <c r="Y30" s="3194"/>
      <c r="Z30" s="3215"/>
      <c r="AA30" s="3216"/>
      <c r="AB30" s="3194"/>
      <c r="AC30" s="3217"/>
      <c r="AD30" s="3194"/>
    </row>
    <row r="31" spans="1:30" s="3185" customFormat="1" ht="13.2">
      <c r="A31" s="3176" t="s">
        <v>3382</v>
      </c>
      <c r="B31" s="3177">
        <v>2023</v>
      </c>
      <c r="C31" s="3178">
        <v>4</v>
      </c>
      <c r="D31" s="3179"/>
      <c r="E31" s="3179">
        <v>7.0000000000000007E-2</v>
      </c>
      <c r="F31" s="3179">
        <v>0.09</v>
      </c>
      <c r="G31" s="3179">
        <v>0.03</v>
      </c>
      <c r="H31" s="3196"/>
      <c r="I31" s="3180">
        <f t="shared" si="54"/>
        <v>0.09</v>
      </c>
      <c r="J31" s="3181"/>
      <c r="K31" s="3182"/>
      <c r="L31" s="3172">
        <f t="shared" si="53"/>
        <v>7.000000000000001E-4</v>
      </c>
      <c r="M31" s="3172">
        <f t="shared" si="53"/>
        <v>8.9999999999999998E-4</v>
      </c>
      <c r="N31" s="3172">
        <f t="shared" si="53"/>
        <v>2.9999999999999997E-4</v>
      </c>
      <c r="O31" s="3172"/>
      <c r="P31" s="3172">
        <f t="shared" ref="P31" si="60">M31</f>
        <v>8.9999999999999998E-4</v>
      </c>
      <c r="Q31" s="3181"/>
      <c r="R31" s="3183"/>
      <c r="S31" s="3183">
        <f>ROUND(IF(项目基本情况!$B$8="出让",SUMPRODUCT(PRODUCT(1+L31:L$42)),SUMPRODUCT(PRODUCT(1+L31:L$41))),4)</f>
        <v>1.0439000000000001</v>
      </c>
      <c r="T31" s="3183">
        <f>ROUND(IF(项目基本情况!$B$8="出让",SUMPRODUCT(PRODUCT(1+M31:M$42)),SUMPRODUCT(PRODUCT(1+M31:M$41))),4)</f>
        <v>1.0297000000000001</v>
      </c>
      <c r="U31" s="3183">
        <f>ROUND(IF(项目基本情况!$B$8="出让",SUMPRODUCT(PRODUCT(1+N31:N$42)),SUMPRODUCT(PRODUCT(1+N31:N$41))),4)</f>
        <v>1.0727</v>
      </c>
      <c r="V31" s="3183"/>
      <c r="W31" s="3183">
        <f t="shared" ref="W31" si="61">T31</f>
        <v>1.0297000000000001</v>
      </c>
      <c r="X31" s="3181"/>
      <c r="Y31" s="3184"/>
      <c r="Z31" s="3212"/>
      <c r="AA31" s="3214"/>
      <c r="AB31" s="3184"/>
      <c r="AC31" s="3213"/>
      <c r="AD31" s="3184"/>
    </row>
    <row r="32" spans="1:30" s="3185" customFormat="1" ht="13.2">
      <c r="A32" s="3176" t="s">
        <v>3379</v>
      </c>
      <c r="B32" s="3177">
        <v>2023</v>
      </c>
      <c r="C32" s="3178">
        <v>3</v>
      </c>
      <c r="D32" s="3179"/>
      <c r="E32" s="3179">
        <v>0.35</v>
      </c>
      <c r="F32" s="3179">
        <v>0.17</v>
      </c>
      <c r="G32" s="3179">
        <v>0.52</v>
      </c>
      <c r="H32" s="3196"/>
      <c r="I32" s="3180">
        <f t="shared" si="52"/>
        <v>0.17</v>
      </c>
      <c r="J32" s="3181"/>
      <c r="K32" s="3182"/>
      <c r="L32" s="3172">
        <f t="shared" ref="L32:L34" si="62">E32/100</f>
        <v>3.4999999999999996E-3</v>
      </c>
      <c r="M32" s="3172">
        <f t="shared" ref="M32:M34" si="63">F32/100</f>
        <v>1.7000000000000001E-3</v>
      </c>
      <c r="N32" s="3172">
        <f t="shared" ref="N32:N34" si="64">G32/100</f>
        <v>5.1999999999999998E-3</v>
      </c>
      <c r="O32" s="3172"/>
      <c r="P32" s="3172">
        <f t="shared" ref="P32:P34" si="65">M32</f>
        <v>1.7000000000000001E-3</v>
      </c>
      <c r="Q32" s="3181"/>
      <c r="R32" s="3183"/>
      <c r="S32" s="3183">
        <f>ROUND(IF(项目基本情况!$B$8="出让",SUMPRODUCT(PRODUCT(1+L32:L$42)),SUMPRODUCT(PRODUCT(1+L32:L$41))),4)</f>
        <v>1.0431999999999999</v>
      </c>
      <c r="T32" s="3183">
        <f>ROUND(IF(项目基本情况!$B$8="出让",SUMPRODUCT(PRODUCT(1+M32:M$42)),SUMPRODUCT(PRODUCT(1+M32:M$41))),4)</f>
        <v>1.0286999999999999</v>
      </c>
      <c r="U32" s="3183">
        <f>ROUND(IF(项目基本情况!$B$8="出让",SUMPRODUCT(PRODUCT(1+N32:N$42)),SUMPRODUCT(PRODUCT(1+N32:N$41))),4)</f>
        <v>1.0723</v>
      </c>
      <c r="V32" s="3183"/>
      <c r="W32" s="3183">
        <f t="shared" ref="W32:W34" si="66">T32</f>
        <v>1.0286999999999999</v>
      </c>
      <c r="X32" s="3181"/>
      <c r="Y32" s="3184"/>
      <c r="Z32" s="3212"/>
      <c r="AA32" s="3214"/>
      <c r="AB32" s="3184"/>
      <c r="AC32" s="3213"/>
      <c r="AD32" s="3184"/>
    </row>
    <row r="33" spans="1:30" s="3185" customFormat="1" ht="13.2">
      <c r="A33" s="3176" t="s">
        <v>3377</v>
      </c>
      <c r="B33" s="3177">
        <v>2023</v>
      </c>
      <c r="C33" s="3178">
        <v>2</v>
      </c>
      <c r="D33" s="3179"/>
      <c r="E33" s="3179">
        <v>0.5</v>
      </c>
      <c r="F33" s="3179">
        <v>0.45</v>
      </c>
      <c r="G33" s="3179">
        <v>0.89</v>
      </c>
      <c r="H33" s="3196"/>
      <c r="I33" s="3180">
        <f t="shared" si="52"/>
        <v>0.45</v>
      </c>
      <c r="J33" s="3181"/>
      <c r="K33" s="3182"/>
      <c r="L33" s="3172">
        <f t="shared" si="62"/>
        <v>5.0000000000000001E-3</v>
      </c>
      <c r="M33" s="3172">
        <f t="shared" si="63"/>
        <v>4.5000000000000005E-3</v>
      </c>
      <c r="N33" s="3172">
        <f t="shared" si="64"/>
        <v>8.8999999999999999E-3</v>
      </c>
      <c r="O33" s="3172"/>
      <c r="P33" s="3172">
        <f t="shared" si="65"/>
        <v>4.5000000000000005E-3</v>
      </c>
      <c r="Q33" s="3181"/>
      <c r="R33" s="3183"/>
      <c r="S33" s="3183">
        <f>ROUND(IF(项目基本情况!$B$8="出让",SUMPRODUCT(PRODUCT(1+L33:L$42)),SUMPRODUCT(PRODUCT(1+L33:L$41))),4)</f>
        <v>1.0396000000000001</v>
      </c>
      <c r="T33" s="3183">
        <f>ROUND(IF(项目基本情况!$B$8="出让",SUMPRODUCT(PRODUCT(1+M33:M$42)),SUMPRODUCT(PRODUCT(1+M33:M$41))),4)</f>
        <v>1.0269999999999999</v>
      </c>
      <c r="U33" s="3183">
        <f>ROUND(IF(项目基本情况!$B$8="出让",SUMPRODUCT(PRODUCT(1+N33:N$42)),SUMPRODUCT(PRODUCT(1+N33:N$41))),4)</f>
        <v>1.0668</v>
      </c>
      <c r="V33" s="3183"/>
      <c r="W33" s="3183">
        <f t="shared" si="66"/>
        <v>1.0269999999999999</v>
      </c>
      <c r="X33" s="3181"/>
      <c r="Y33" s="3184"/>
      <c r="Z33" s="3212"/>
      <c r="AA33" s="3214"/>
      <c r="AB33" s="3184"/>
      <c r="AC33" s="3213"/>
      <c r="AD33" s="3184"/>
    </row>
    <row r="34" spans="1:30" s="3185" customFormat="1" ht="13.2">
      <c r="A34" s="3176" t="s">
        <v>3373</v>
      </c>
      <c r="B34" s="3177">
        <v>2023</v>
      </c>
      <c r="C34" s="3178">
        <v>1</v>
      </c>
      <c r="D34" s="3179"/>
      <c r="E34" s="3179">
        <v>0.55000000000000004</v>
      </c>
      <c r="F34" s="3179">
        <v>0.59</v>
      </c>
      <c r="G34" s="3179">
        <v>0.64</v>
      </c>
      <c r="H34" s="3196"/>
      <c r="I34" s="3180">
        <f t="shared" si="52"/>
        <v>0.59</v>
      </c>
      <c r="J34" s="3181"/>
      <c r="K34" s="3182"/>
      <c r="L34" s="3172">
        <f t="shared" si="62"/>
        <v>5.5000000000000005E-3</v>
      </c>
      <c r="M34" s="3172">
        <f t="shared" si="63"/>
        <v>5.8999999999999999E-3</v>
      </c>
      <c r="N34" s="3172">
        <f t="shared" si="64"/>
        <v>6.4000000000000003E-3</v>
      </c>
      <c r="O34" s="3172"/>
      <c r="P34" s="3172">
        <f t="shared" si="65"/>
        <v>5.8999999999999999E-3</v>
      </c>
      <c r="Q34" s="3181"/>
      <c r="R34" s="3183"/>
      <c r="S34" s="3183">
        <f>ROUND(IF(项目基本情况!$B$8="出让",SUMPRODUCT(PRODUCT(1+L34:L$42)),SUMPRODUCT(PRODUCT(1+L34:L$41))),4)</f>
        <v>1.0344</v>
      </c>
      <c r="T34" s="3183">
        <f>ROUND(IF(项目基本情况!$B$8="出让",SUMPRODUCT(PRODUCT(1+M34:M$42)),SUMPRODUCT(PRODUCT(1+M34:M$41))),4)</f>
        <v>1.0224</v>
      </c>
      <c r="U34" s="3183">
        <f>ROUND(IF(项目基本情况!$B$8="出让",SUMPRODUCT(PRODUCT(1+N34:N$42)),SUMPRODUCT(PRODUCT(1+N34:N$41))),4)</f>
        <v>1.0573999999999999</v>
      </c>
      <c r="V34" s="3183"/>
      <c r="W34" s="3183">
        <f t="shared" si="66"/>
        <v>1.0224</v>
      </c>
      <c r="X34" s="3181"/>
      <c r="Y34" s="3184"/>
      <c r="Z34" s="3212"/>
      <c r="AA34" s="3214"/>
      <c r="AB34" s="3184"/>
      <c r="AC34" s="3213"/>
      <c r="AD34" s="3184"/>
    </row>
    <row r="35" spans="1:30" s="3185" customFormat="1" ht="13.2">
      <c r="A35" s="3176" t="s">
        <v>3372</v>
      </c>
      <c r="B35" s="3177">
        <v>2022</v>
      </c>
      <c r="C35" s="3178">
        <v>4</v>
      </c>
      <c r="D35" s="3179"/>
      <c r="E35" s="3179">
        <v>0.45</v>
      </c>
      <c r="F35" s="3179">
        <v>0.2</v>
      </c>
      <c r="G35" s="3179">
        <v>0.38</v>
      </c>
      <c r="H35" s="3196"/>
      <c r="I35" s="3180">
        <f t="shared" si="52"/>
        <v>0.2</v>
      </c>
      <c r="J35" s="3181"/>
      <c r="K35" s="3182"/>
      <c r="L35" s="3172">
        <f t="shared" si="53"/>
        <v>4.5000000000000005E-3</v>
      </c>
      <c r="M35" s="3172">
        <f t="shared" si="53"/>
        <v>2E-3</v>
      </c>
      <c r="N35" s="3172">
        <f t="shared" si="53"/>
        <v>3.8E-3</v>
      </c>
      <c r="O35" s="3172"/>
      <c r="P35" s="3172">
        <f t="shared" ref="P35:P42" si="67">M35</f>
        <v>2E-3</v>
      </c>
      <c r="Q35" s="3181"/>
      <c r="R35" s="3183"/>
      <c r="S35" s="3183">
        <f>ROUND(IF(项目基本情况!$B$8="出让",SUMPRODUCT(PRODUCT(1+L35:L$42)),SUMPRODUCT(PRODUCT(1+L35:L$41))),4)</f>
        <v>1.0286999999999999</v>
      </c>
      <c r="T35" s="3183">
        <f>ROUND(IF(项目基本情况!$B$8="出让",SUMPRODUCT(PRODUCT(1+M35:M$42)),SUMPRODUCT(PRODUCT(1+M35:M$41))),4)</f>
        <v>1.0164</v>
      </c>
      <c r="U35" s="3183">
        <f>ROUND(IF(项目基本情况!$B$8="出让",SUMPRODUCT(PRODUCT(1+N35:N$42)),SUMPRODUCT(PRODUCT(1+N35:N$41))),4)</f>
        <v>1.0506</v>
      </c>
      <c r="V35" s="3183"/>
      <c r="W35" s="3183">
        <f t="shared" ref="W35:W42" si="68">T35</f>
        <v>1.0164</v>
      </c>
      <c r="X35" s="3181"/>
      <c r="Y35" s="3184"/>
      <c r="Z35" s="3212">
        <f t="shared" ref="Z35:AD42" si="69">IF(E35=0,0,ROUND(AVERAGE(E35:E43)/100,4))</f>
        <v>4.0000000000000001E-3</v>
      </c>
      <c r="AA35" s="3214">
        <f t="shared" si="69"/>
        <v>2.5999999999999999E-3</v>
      </c>
      <c r="AB35" s="3184">
        <f t="shared" si="69"/>
        <v>7.4000000000000003E-3</v>
      </c>
      <c r="AC35" s="3213"/>
      <c r="AD35" s="3184">
        <f t="shared" si="69"/>
        <v>2.5999999999999999E-3</v>
      </c>
    </row>
    <row r="36" spans="1:30" s="3185" customFormat="1" ht="13.2">
      <c r="A36" s="3176" t="s">
        <v>3369</v>
      </c>
      <c r="B36" s="3177">
        <v>2022</v>
      </c>
      <c r="C36" s="3178">
        <v>3</v>
      </c>
      <c r="D36" s="3179"/>
      <c r="E36" s="3179">
        <v>0.3</v>
      </c>
      <c r="F36" s="3179">
        <v>0.28999999999999998</v>
      </c>
      <c r="G36" s="3179">
        <v>0.83</v>
      </c>
      <c r="H36" s="3196"/>
      <c r="I36" s="3180">
        <f t="shared" si="52"/>
        <v>0.28999999999999998</v>
      </c>
      <c r="J36" s="3181"/>
      <c r="K36" s="3182"/>
      <c r="L36" s="3172">
        <f t="shared" si="53"/>
        <v>3.0000000000000001E-3</v>
      </c>
      <c r="M36" s="3172">
        <f t="shared" si="53"/>
        <v>2.8999999999999998E-3</v>
      </c>
      <c r="N36" s="3172">
        <f t="shared" si="53"/>
        <v>8.3000000000000001E-3</v>
      </c>
      <c r="O36" s="3172"/>
      <c r="P36" s="3172">
        <f t="shared" si="67"/>
        <v>2.8999999999999998E-3</v>
      </c>
      <c r="Q36" s="3181"/>
      <c r="R36" s="3183"/>
      <c r="S36" s="3183">
        <f>ROUND(IF(项目基本情况!$B$8="出让",SUMPRODUCT(PRODUCT(1+L36:L$42)),SUMPRODUCT(PRODUCT(1+L36:L$41))),4)</f>
        <v>1.0241</v>
      </c>
      <c r="T36" s="3183">
        <f>ROUND(IF(项目基本情况!$B$8="出让",SUMPRODUCT(PRODUCT(1+M36:M$42)),SUMPRODUCT(PRODUCT(1+M36:M$41))),4)</f>
        <v>1.0144</v>
      </c>
      <c r="U36" s="3183">
        <f>ROUND(IF(项目基本情况!$B$8="出让",SUMPRODUCT(PRODUCT(1+N36:N$42)),SUMPRODUCT(PRODUCT(1+N36:N$41))),4)</f>
        <v>1.0467</v>
      </c>
      <c r="V36" s="3183"/>
      <c r="W36" s="3183">
        <f t="shared" si="68"/>
        <v>1.0144</v>
      </c>
      <c r="X36" s="3181"/>
      <c r="Y36" s="3184"/>
      <c r="Z36" s="3212">
        <f t="shared" si="69"/>
        <v>3.8999999999999998E-3</v>
      </c>
      <c r="AA36" s="3214">
        <f t="shared" si="69"/>
        <v>2.7000000000000001E-3</v>
      </c>
      <c r="AB36" s="3184">
        <f t="shared" si="69"/>
        <v>7.9000000000000008E-3</v>
      </c>
      <c r="AC36" s="3213"/>
      <c r="AD36" s="3184">
        <f t="shared" si="69"/>
        <v>2.7000000000000001E-3</v>
      </c>
    </row>
    <row r="37" spans="1:30" s="3185" customFormat="1" ht="13.2">
      <c r="A37" s="3176" t="s">
        <v>3359</v>
      </c>
      <c r="B37" s="3177">
        <v>2022</v>
      </c>
      <c r="C37" s="3178">
        <v>2</v>
      </c>
      <c r="D37" s="3179"/>
      <c r="E37" s="3179">
        <v>-0.11</v>
      </c>
      <c r="F37" s="3179">
        <v>-0.13</v>
      </c>
      <c r="G37" s="3179">
        <v>0.53</v>
      </c>
      <c r="H37" s="3196"/>
      <c r="I37" s="3180">
        <f t="shared" si="52"/>
        <v>-0.13</v>
      </c>
      <c r="J37" s="3181"/>
      <c r="K37" s="3182"/>
      <c r="L37" s="3172">
        <f t="shared" si="53"/>
        <v>-1.1000000000000001E-3</v>
      </c>
      <c r="M37" s="3172">
        <f t="shared" si="53"/>
        <v>-1.2999999999999999E-3</v>
      </c>
      <c r="N37" s="3172">
        <f t="shared" si="53"/>
        <v>5.3E-3</v>
      </c>
      <c r="O37" s="3172"/>
      <c r="P37" s="3172">
        <f t="shared" si="67"/>
        <v>-1.2999999999999999E-3</v>
      </c>
      <c r="Q37" s="3181"/>
      <c r="R37" s="3183"/>
      <c r="S37" s="3183">
        <f>ROUND(IF(项目基本情况!$B$8="出让",SUMPRODUCT(PRODUCT(1+L37:L$42)),SUMPRODUCT(PRODUCT(1+L37:L$41))),4)</f>
        <v>1.0210999999999999</v>
      </c>
      <c r="T37" s="3183">
        <f>ROUND(IF(项目基本情况!$B$8="出让",SUMPRODUCT(PRODUCT(1+M37:M$42)),SUMPRODUCT(PRODUCT(1+M37:M$41))),4)</f>
        <v>1.0114000000000001</v>
      </c>
      <c r="U37" s="3183">
        <f>ROUND(IF(项目基本情况!$B$8="出让",SUMPRODUCT(PRODUCT(1+N37:N$42)),SUMPRODUCT(PRODUCT(1+N37:N$41))),4)</f>
        <v>1.0381</v>
      </c>
      <c r="V37" s="3183"/>
      <c r="W37" s="3183">
        <f t="shared" si="68"/>
        <v>1.0114000000000001</v>
      </c>
      <c r="X37" s="3181"/>
      <c r="Y37" s="3184"/>
      <c r="Z37" s="3212">
        <f t="shared" si="69"/>
        <v>4.1000000000000003E-3</v>
      </c>
      <c r="AA37" s="3214">
        <f t="shared" si="69"/>
        <v>2.7000000000000001E-3</v>
      </c>
      <c r="AB37" s="3184">
        <f t="shared" si="69"/>
        <v>7.9000000000000008E-3</v>
      </c>
      <c r="AC37" s="3213"/>
      <c r="AD37" s="3184">
        <f t="shared" si="69"/>
        <v>2.7000000000000001E-3</v>
      </c>
    </row>
    <row r="38" spans="1:30" s="3185" customFormat="1" ht="13.2">
      <c r="A38" s="3176" t="s">
        <v>2839</v>
      </c>
      <c r="B38" s="3177">
        <v>2022</v>
      </c>
      <c r="C38" s="3178">
        <v>1</v>
      </c>
      <c r="D38" s="3179"/>
      <c r="E38" s="3179">
        <v>0.6</v>
      </c>
      <c r="F38" s="3179">
        <v>0.45</v>
      </c>
      <c r="G38" s="3179">
        <v>0.53</v>
      </c>
      <c r="H38" s="3196"/>
      <c r="I38" s="3180">
        <f t="shared" si="52"/>
        <v>0.45</v>
      </c>
      <c r="J38" s="3181"/>
      <c r="K38" s="3182"/>
      <c r="L38" s="3172">
        <f t="shared" si="53"/>
        <v>6.0000000000000001E-3</v>
      </c>
      <c r="M38" s="3172">
        <f t="shared" si="53"/>
        <v>4.5000000000000005E-3</v>
      </c>
      <c r="N38" s="3172">
        <f t="shared" si="53"/>
        <v>5.3E-3</v>
      </c>
      <c r="O38" s="3172"/>
      <c r="P38" s="3172">
        <f t="shared" si="67"/>
        <v>4.5000000000000005E-3</v>
      </c>
      <c r="Q38" s="3181"/>
      <c r="R38" s="3183"/>
      <c r="S38" s="3183">
        <f>ROUND(IF(项目基本情况!$B$8="出让",SUMPRODUCT(PRODUCT(1+L38:L$42)),SUMPRODUCT(PRODUCT(1+L38:L$41))),4)</f>
        <v>1.0222</v>
      </c>
      <c r="T38" s="3183">
        <f>ROUND(IF(项目基本情况!$B$8="出让",SUMPRODUCT(PRODUCT(1+M38:M$42)),SUMPRODUCT(PRODUCT(1+M38:M$41))),4)</f>
        <v>1.0127999999999999</v>
      </c>
      <c r="U38" s="3183">
        <f>ROUND(IF(项目基本情况!$B$8="出让",SUMPRODUCT(PRODUCT(1+N38:N$42)),SUMPRODUCT(PRODUCT(1+N38:N$41))),4)</f>
        <v>1.0326</v>
      </c>
      <c r="V38" s="3183"/>
      <c r="W38" s="3183">
        <f t="shared" si="68"/>
        <v>1.0127999999999999</v>
      </c>
      <c r="X38" s="3181"/>
      <c r="Y38" s="3184"/>
      <c r="Z38" s="3212">
        <f t="shared" si="69"/>
        <v>5.1000000000000004E-3</v>
      </c>
      <c r="AA38" s="3214">
        <f t="shared" si="69"/>
        <v>3.5000000000000001E-3</v>
      </c>
      <c r="AB38" s="3184">
        <f t="shared" si="69"/>
        <v>8.3999999999999995E-3</v>
      </c>
      <c r="AC38" s="3213"/>
      <c r="AD38" s="3184">
        <f t="shared" si="69"/>
        <v>3.5000000000000001E-3</v>
      </c>
    </row>
    <row r="39" spans="1:30" s="3185" customFormat="1" ht="13.2">
      <c r="A39" s="3176" t="s">
        <v>2840</v>
      </c>
      <c r="B39" s="3177">
        <v>2021</v>
      </c>
      <c r="C39" s="3178">
        <v>4</v>
      </c>
      <c r="D39" s="3179"/>
      <c r="E39" s="3179">
        <v>0.57999999999999996</v>
      </c>
      <c r="F39" s="3179">
        <v>0.08</v>
      </c>
      <c r="G39" s="3179">
        <v>0.68</v>
      </c>
      <c r="H39" s="3196"/>
      <c r="I39" s="3180">
        <f t="shared" si="52"/>
        <v>0.08</v>
      </c>
      <c r="J39" s="3181"/>
      <c r="K39" s="3182"/>
      <c r="L39" s="3172">
        <f t="shared" si="53"/>
        <v>5.7999999999999996E-3</v>
      </c>
      <c r="M39" s="3172">
        <f t="shared" si="53"/>
        <v>8.0000000000000004E-4</v>
      </c>
      <c r="N39" s="3172">
        <f t="shared" si="53"/>
        <v>6.8000000000000005E-3</v>
      </c>
      <c r="O39" s="3172"/>
      <c r="P39" s="3172">
        <f t="shared" si="67"/>
        <v>8.0000000000000004E-4</v>
      </c>
      <c r="Q39" s="3181"/>
      <c r="R39" s="3183"/>
      <c r="S39" s="3183">
        <f>ROUND(IF(项目基本情况!$B$8="出让",SUMPRODUCT(PRODUCT(1+L39:L$42)),SUMPRODUCT(PRODUCT(1+L39:L$41))),4)</f>
        <v>1.0161</v>
      </c>
      <c r="T39" s="3183">
        <f>ROUND(IF(项目基本情况!$B$8="出让",SUMPRODUCT(PRODUCT(1+M39:M$42)),SUMPRODUCT(PRODUCT(1+M39:M$41))),4)</f>
        <v>1.0082</v>
      </c>
      <c r="U39" s="3183">
        <f>ROUND(IF(项目基本情况!$B$8="出让",SUMPRODUCT(PRODUCT(1+N39:N$42)),SUMPRODUCT(PRODUCT(1+N39:N$41))),4)</f>
        <v>1.0270999999999999</v>
      </c>
      <c r="V39" s="3183"/>
      <c r="W39" s="3183">
        <f t="shared" si="68"/>
        <v>1.0082</v>
      </c>
      <c r="X39" s="3181"/>
      <c r="Y39" s="3184"/>
      <c r="Z39" s="3212">
        <f t="shared" si="69"/>
        <v>4.8999999999999998E-3</v>
      </c>
      <c r="AA39" s="3214">
        <f t="shared" si="69"/>
        <v>3.3E-3</v>
      </c>
      <c r="AB39" s="3184">
        <f t="shared" si="69"/>
        <v>9.1999999999999998E-3</v>
      </c>
      <c r="AC39" s="3213"/>
      <c r="AD39" s="3184">
        <f t="shared" si="69"/>
        <v>3.3E-3</v>
      </c>
    </row>
    <row r="40" spans="1:30" s="3185" customFormat="1" ht="13.2">
      <c r="A40" s="3176" t="s">
        <v>2841</v>
      </c>
      <c r="B40" s="3177">
        <v>2021</v>
      </c>
      <c r="C40" s="3178">
        <v>3</v>
      </c>
      <c r="D40" s="3179"/>
      <c r="E40" s="3179">
        <v>0.47</v>
      </c>
      <c r="F40" s="3179">
        <v>0.28000000000000003</v>
      </c>
      <c r="G40" s="3179">
        <v>0.91</v>
      </c>
      <c r="H40" s="3196"/>
      <c r="I40" s="3180">
        <f t="shared" si="52"/>
        <v>0.28000000000000003</v>
      </c>
      <c r="J40" s="3181"/>
      <c r="K40" s="3182"/>
      <c r="L40" s="3172">
        <f t="shared" si="53"/>
        <v>4.6999999999999993E-3</v>
      </c>
      <c r="M40" s="3172">
        <f t="shared" si="53"/>
        <v>2.8000000000000004E-3</v>
      </c>
      <c r="N40" s="3172">
        <f t="shared" si="53"/>
        <v>9.1000000000000004E-3</v>
      </c>
      <c r="O40" s="3172"/>
      <c r="P40" s="3172">
        <f t="shared" si="67"/>
        <v>2.8000000000000004E-3</v>
      </c>
      <c r="Q40" s="3181"/>
      <c r="R40" s="3183"/>
      <c r="S40" s="3183">
        <f>ROUND(IF(项目基本情况!$B$8="出让",SUMPRODUCT(PRODUCT(1+L40:L$42)),SUMPRODUCT(PRODUCT(1+L40:L$41))),4)</f>
        <v>1.0102</v>
      </c>
      <c r="T40" s="3183">
        <f>ROUND(IF(项目基本情况!$B$8="出让",SUMPRODUCT(PRODUCT(1+M40:M$42)),SUMPRODUCT(PRODUCT(1+M40:M$41))),4)</f>
        <v>1.0074000000000001</v>
      </c>
      <c r="U40" s="3183">
        <f>ROUND(IF(项目基本情况!$B$8="出让",SUMPRODUCT(PRODUCT(1+N40:N$42)),SUMPRODUCT(PRODUCT(1+N40:N$41))),4)</f>
        <v>1.0202</v>
      </c>
      <c r="V40" s="3183"/>
      <c r="W40" s="3183">
        <f t="shared" si="68"/>
        <v>1.0074000000000001</v>
      </c>
      <c r="X40" s="3181"/>
      <c r="Y40" s="3184"/>
      <c r="Z40" s="3212">
        <f t="shared" si="69"/>
        <v>4.5999999999999999E-3</v>
      </c>
      <c r="AA40" s="3214">
        <f t="shared" si="69"/>
        <v>4.1000000000000003E-3</v>
      </c>
      <c r="AB40" s="3184">
        <f t="shared" si="69"/>
        <v>0.01</v>
      </c>
      <c r="AC40" s="3213"/>
      <c r="AD40" s="3184">
        <f t="shared" si="69"/>
        <v>4.1000000000000003E-3</v>
      </c>
    </row>
    <row r="41" spans="1:30" s="3185" customFormat="1" ht="13.2">
      <c r="A41" s="3176" t="s">
        <v>2842</v>
      </c>
      <c r="B41" s="3177">
        <v>2021</v>
      </c>
      <c r="C41" s="3178">
        <v>2</v>
      </c>
      <c r="D41" s="3179"/>
      <c r="E41" s="3179">
        <v>0.55000000000000004</v>
      </c>
      <c r="F41" s="3179">
        <v>0.46</v>
      </c>
      <c r="G41" s="3179">
        <v>1.1000000000000001</v>
      </c>
      <c r="H41" s="3196"/>
      <c r="I41" s="3180">
        <f t="shared" si="52"/>
        <v>0.46</v>
      </c>
      <c r="J41" s="3181"/>
      <c r="K41" s="3182"/>
      <c r="L41" s="3172">
        <f t="shared" si="53"/>
        <v>5.5000000000000005E-3</v>
      </c>
      <c r="M41" s="3172">
        <f t="shared" si="53"/>
        <v>4.5999999999999999E-3</v>
      </c>
      <c r="N41" s="3172">
        <f t="shared" si="53"/>
        <v>1.1000000000000001E-2</v>
      </c>
      <c r="O41" s="3172"/>
      <c r="P41" s="3172">
        <f t="shared" si="67"/>
        <v>4.5999999999999999E-3</v>
      </c>
      <c r="Q41" s="3181"/>
      <c r="R41" s="3183"/>
      <c r="S41" s="3183">
        <f>ROUND(IF(项目基本情况!$B$8="出让",SUMPRODUCT(PRODUCT(1+L41:L$42)),SUMPRODUCT(PRODUCT(1+L41:L$41))),4)</f>
        <v>1.0055000000000001</v>
      </c>
      <c r="T41" s="3183">
        <f>ROUND(IF(项目基本情况!$B$8="出让",SUMPRODUCT(PRODUCT(1+M41:M$42)),SUMPRODUCT(PRODUCT(1+M41:M$41))),4)</f>
        <v>1.0045999999999999</v>
      </c>
      <c r="U41" s="3183">
        <f>ROUND(IF(项目基本情况!$B$8="出让",SUMPRODUCT(PRODUCT(1+N41:N$42)),SUMPRODUCT(PRODUCT(1+N41:N$41))),4)</f>
        <v>1.0109999999999999</v>
      </c>
      <c r="V41" s="3183"/>
      <c r="W41" s="3183">
        <f t="shared" si="68"/>
        <v>1.0045999999999999</v>
      </c>
      <c r="X41" s="3181"/>
      <c r="Y41" s="3184"/>
      <c r="Z41" s="3212">
        <f t="shared" si="69"/>
        <v>4.4999999999999997E-3</v>
      </c>
      <c r="AA41" s="3214">
        <f t="shared" si="69"/>
        <v>4.7000000000000002E-3</v>
      </c>
      <c r="AB41" s="3184">
        <f t="shared" si="69"/>
        <v>1.04E-2</v>
      </c>
      <c r="AC41" s="3213"/>
      <c r="AD41" s="3184">
        <f t="shared" si="69"/>
        <v>4.7000000000000002E-3</v>
      </c>
    </row>
    <row r="42" spans="1:30" s="3207" customFormat="1" ht="13.8" thickBot="1">
      <c r="A42" s="3197" t="s">
        <v>2828</v>
      </c>
      <c r="B42" s="3198">
        <v>2021</v>
      </c>
      <c r="C42" s="3199">
        <v>1</v>
      </c>
      <c r="D42" s="3200"/>
      <c r="E42" s="3200">
        <v>0.35</v>
      </c>
      <c r="F42" s="3200">
        <v>0.48</v>
      </c>
      <c r="G42" s="3200">
        <v>0.98</v>
      </c>
      <c r="H42" s="3201"/>
      <c r="I42" s="3202">
        <f t="shared" si="52"/>
        <v>0.48</v>
      </c>
      <c r="J42" s="3203"/>
      <c r="K42" s="3204"/>
      <c r="L42" s="3205">
        <f t="shared" si="53"/>
        <v>3.4999999999999996E-3</v>
      </c>
      <c r="M42" s="3205">
        <f>F42/100</f>
        <v>4.7999999999999996E-3</v>
      </c>
      <c r="N42" s="3205">
        <f t="shared" si="53"/>
        <v>9.7999999999999997E-3</v>
      </c>
      <c r="O42" s="3205"/>
      <c r="P42" s="3205">
        <f t="shared" si="67"/>
        <v>4.7999999999999996E-3</v>
      </c>
      <c r="Q42" s="3203"/>
      <c r="R42" s="3206"/>
      <c r="S42" s="3206">
        <v>1</v>
      </c>
      <c r="T42" s="3206">
        <v>1</v>
      </c>
      <c r="U42" s="3206">
        <v>1</v>
      </c>
      <c r="V42" s="3206"/>
      <c r="W42" s="3206">
        <f t="shared" si="68"/>
        <v>1</v>
      </c>
      <c r="X42" s="3203"/>
      <c r="Y42" s="3205"/>
      <c r="Z42" s="3218">
        <f t="shared" si="69"/>
        <v>3.5000000000000001E-3</v>
      </c>
      <c r="AA42" s="3219">
        <f t="shared" si="69"/>
        <v>4.7999999999999996E-3</v>
      </c>
      <c r="AB42" s="3205">
        <f t="shared" si="69"/>
        <v>9.7999999999999997E-3</v>
      </c>
      <c r="AC42" s="3220"/>
      <c r="AD42" s="3205">
        <f t="shared" si="69"/>
        <v>4.7999999999999996E-3</v>
      </c>
    </row>
    <row r="43" spans="1:30" ht="15" thickTop="1"/>
    <row r="44" spans="1:30">
      <c r="A44" s="3448" t="s">
        <v>3371</v>
      </c>
    </row>
  </sheetData>
  <sheetProtection password="CEE9" sheet="1" objects="1" scenarios="1"/>
  <mergeCells count="4">
    <mergeCell ref="R24:W24"/>
    <mergeCell ref="Y24:AD24"/>
    <mergeCell ref="R1:W1"/>
    <mergeCell ref="Y1:AD1"/>
  </mergeCells>
  <phoneticPr fontId="3" type="noConversion"/>
  <pageMargins left="0.7" right="0.7" top="0.75" bottom="0.75" header="0.3" footer="0.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3.2"/>
  <cols>
    <col min="1" max="1" width="9" style="2192"/>
    <col min="2" max="6" width="9" style="2192" customWidth="1"/>
    <col min="7" max="7" width="9" style="2230"/>
    <col min="8" max="8" width="9" style="2192"/>
    <col min="9" max="12" width="9" style="2192" customWidth="1"/>
    <col min="13" max="13" width="2.21875" style="2192" customWidth="1"/>
    <col min="14" max="14" width="9" style="2230" customWidth="1"/>
    <col min="15" max="17" width="9" style="2192" customWidth="1"/>
    <col min="18" max="18" width="2.33203125" style="2192" customWidth="1"/>
    <col min="19" max="19" width="7.109375" style="2230" customWidth="1"/>
    <col min="20" max="22" width="7.109375" style="2192" customWidth="1"/>
    <col min="23" max="23" width="24.21875" style="2192" customWidth="1"/>
    <col min="24" max="25" width="9" style="2192"/>
    <col min="26" max="27" width="11.6640625" style="2192" customWidth="1"/>
    <col min="28" max="28" width="9" style="2192"/>
    <col min="29" max="29" width="2" style="2192" customWidth="1"/>
    <col min="30" max="16384" width="9" style="2192"/>
  </cols>
  <sheetData>
    <row r="1" spans="1:34" s="2171" customFormat="1">
      <c r="B1" s="4003" t="s">
        <v>452</v>
      </c>
      <c r="C1" s="4003"/>
      <c r="D1" s="4003"/>
      <c r="E1" s="4003"/>
      <c r="F1" s="4003"/>
      <c r="G1" s="4002" t="s">
        <v>453</v>
      </c>
      <c r="H1" s="4002"/>
      <c r="I1" s="4002"/>
      <c r="J1" s="4002"/>
      <c r="K1" s="4002"/>
      <c r="L1" s="4002"/>
      <c r="N1" s="4002" t="s">
        <v>454</v>
      </c>
      <c r="O1" s="4002"/>
      <c r="P1" s="4002"/>
      <c r="Q1" s="4002"/>
      <c r="S1" s="4002" t="s">
        <v>455</v>
      </c>
      <c r="T1" s="4002"/>
      <c r="U1" s="4002"/>
      <c r="V1" s="4002"/>
      <c r="X1" s="4001" t="s">
        <v>456</v>
      </c>
      <c r="Y1" s="4002"/>
      <c r="Z1" s="4002"/>
      <c r="AA1" s="4002"/>
      <c r="AB1" s="4002"/>
      <c r="AD1" s="4001" t="s">
        <v>457</v>
      </c>
      <c r="AE1" s="4002"/>
      <c r="AF1" s="4002"/>
      <c r="AG1" s="4002"/>
      <c r="AH1" s="4002"/>
    </row>
    <row r="2" spans="1:34" s="2172" customFormat="1" ht="1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4">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4">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3367</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3364</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3365</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3366</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2440</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2317</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2316</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2315</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2312</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2311</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8"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8"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999">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999"/>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999"/>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4008"/>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4004">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999"/>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999"/>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4008"/>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4004">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999"/>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999"/>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8"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4000"/>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8" thickBot="1">
      <c r="A33" s="2205" t="s">
        <v>124</v>
      </c>
      <c r="B33" s="2220">
        <v>333</v>
      </c>
      <c r="C33" s="2220">
        <v>277</v>
      </c>
      <c r="D33" s="2220">
        <f t="shared" si="246"/>
        <v>277</v>
      </c>
      <c r="E33" s="2220">
        <v>459</v>
      </c>
      <c r="F33" s="2221">
        <v>249</v>
      </c>
      <c r="G33" s="3998">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999"/>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999"/>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4000"/>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8" thickBot="1">
      <c r="A37" s="2205" t="s">
        <v>120</v>
      </c>
      <c r="B37" s="2234">
        <v>318</v>
      </c>
      <c r="C37" s="2234">
        <v>268</v>
      </c>
      <c r="D37" s="2234">
        <f t="shared" si="246"/>
        <v>268</v>
      </c>
      <c r="E37" s="2234">
        <v>437</v>
      </c>
      <c r="F37" s="2235">
        <v>237</v>
      </c>
      <c r="G37" s="3998">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999"/>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8"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999"/>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8"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4000"/>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8" thickBot="1">
      <c r="A41" s="2205" t="s">
        <v>465</v>
      </c>
      <c r="B41" s="2220">
        <v>299</v>
      </c>
      <c r="C41" s="2220">
        <v>252</v>
      </c>
      <c r="D41" s="2220">
        <f t="shared" si="246"/>
        <v>252</v>
      </c>
      <c r="E41" s="2220">
        <v>409</v>
      </c>
      <c r="F41" s="2221">
        <v>227</v>
      </c>
      <c r="G41" s="4005">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4006"/>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4006"/>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4007"/>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8" thickBot="1">
      <c r="A45" s="2205" t="s">
        <v>469</v>
      </c>
      <c r="B45" s="2255">
        <v>278</v>
      </c>
      <c r="C45" s="2255">
        <v>234</v>
      </c>
      <c r="D45" s="2255">
        <f t="shared" si="246"/>
        <v>234</v>
      </c>
      <c r="E45" s="2255">
        <v>379</v>
      </c>
      <c r="F45" s="2256">
        <v>220</v>
      </c>
      <c r="G45" s="3998">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999"/>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999"/>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8" thickBot="1">
      <c r="A48" s="2205" t="s">
        <v>472</v>
      </c>
      <c r="B48" s="2206">
        <f>B47/(1+N47)</f>
        <v>275.19025476197027</v>
      </c>
      <c r="C48" s="2257">
        <v>232</v>
      </c>
      <c r="D48" s="2257">
        <f t="shared" si="246"/>
        <v>232</v>
      </c>
      <c r="E48" s="2206">
        <f t="shared" si="257"/>
        <v>375.65990977608692</v>
      </c>
      <c r="F48" s="2206">
        <f t="shared" si="257"/>
        <v>214.12518283971252</v>
      </c>
      <c r="G48" s="4000"/>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8" thickBot="1">
      <c r="A49" s="2205" t="s">
        <v>473</v>
      </c>
      <c r="B49" s="2220">
        <v>275</v>
      </c>
      <c r="C49" s="2220">
        <v>232</v>
      </c>
      <c r="D49" s="2220">
        <f t="shared" si="246"/>
        <v>232</v>
      </c>
      <c r="E49" s="2220">
        <v>376</v>
      </c>
      <c r="F49" s="2221">
        <v>213</v>
      </c>
      <c r="G49" s="3998">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999">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999">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8"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4000">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8" thickBot="1">
      <c r="A53" s="2205" t="s">
        <v>477</v>
      </c>
      <c r="B53" s="2220">
        <v>269</v>
      </c>
      <c r="C53" s="2220">
        <v>221</v>
      </c>
      <c r="D53" s="2220">
        <f t="shared" si="246"/>
        <v>221</v>
      </c>
      <c r="E53" s="2220">
        <v>373</v>
      </c>
      <c r="F53" s="2221">
        <v>196</v>
      </c>
      <c r="G53" s="3998">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999">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999">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8"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4000">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8" thickBot="1">
      <c r="A57" s="2205" t="s">
        <v>481</v>
      </c>
      <c r="B57" s="2220">
        <v>220</v>
      </c>
      <c r="C57" s="2220">
        <v>187</v>
      </c>
      <c r="D57" s="2220">
        <f t="shared" si="246"/>
        <v>187</v>
      </c>
      <c r="E57" s="2220">
        <v>301</v>
      </c>
      <c r="F57" s="2221">
        <v>168</v>
      </c>
      <c r="G57" s="3998">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999">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999">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4000">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8" thickBot="1">
      <c r="A61" s="2205" t="s">
        <v>485</v>
      </c>
      <c r="B61" s="2255">
        <v>214</v>
      </c>
      <c r="C61" s="2255">
        <v>188</v>
      </c>
      <c r="D61" s="2255">
        <f t="shared" si="246"/>
        <v>188</v>
      </c>
      <c r="E61" s="2255">
        <v>289</v>
      </c>
      <c r="F61" s="2256">
        <v>166</v>
      </c>
      <c r="G61" s="3998">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999">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999">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8"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4000">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8" thickBot="1">
      <c r="A65" s="2205" t="s">
        <v>489</v>
      </c>
      <c r="B65" s="2220">
        <v>188</v>
      </c>
      <c r="C65" s="2220">
        <v>165</v>
      </c>
      <c r="D65" s="2220">
        <f t="shared" si="246"/>
        <v>165</v>
      </c>
      <c r="E65" s="2220">
        <v>254</v>
      </c>
      <c r="F65" s="2221">
        <v>148</v>
      </c>
      <c r="G65" s="3998">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999">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999">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4000">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8" thickBot="1">
      <c r="A69" s="2205" t="s">
        <v>493</v>
      </c>
      <c r="B69" s="2234">
        <v>159</v>
      </c>
      <c r="C69" s="2234">
        <v>141</v>
      </c>
      <c r="D69" s="2234">
        <f t="shared" si="246"/>
        <v>141</v>
      </c>
      <c r="E69" s="2234">
        <v>195</v>
      </c>
      <c r="F69" s="2235">
        <v>122</v>
      </c>
      <c r="G69" s="3998">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999">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999">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4000">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8" thickBot="1">
      <c r="A73" s="2205" t="s">
        <v>497</v>
      </c>
      <c r="B73" s="2234">
        <v>138</v>
      </c>
      <c r="C73" s="2234">
        <v>131</v>
      </c>
      <c r="D73" s="2234">
        <f t="shared" si="246"/>
        <v>131</v>
      </c>
      <c r="E73" s="2234">
        <v>155</v>
      </c>
      <c r="F73" s="2235">
        <v>114</v>
      </c>
      <c r="G73" s="3998">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999">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999">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4000">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8" thickBot="1">
      <c r="A77" s="2205" t="s">
        <v>501</v>
      </c>
      <c r="B77" s="2255">
        <v>121</v>
      </c>
      <c r="C77" s="2255">
        <v>122</v>
      </c>
      <c r="D77" s="2255">
        <f t="shared" si="246"/>
        <v>122</v>
      </c>
      <c r="E77" s="2255">
        <v>124</v>
      </c>
      <c r="F77" s="2256">
        <v>107</v>
      </c>
      <c r="G77" s="3998">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999">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999">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8"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4000">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8" thickBot="1">
      <c r="A81" s="2205" t="s">
        <v>505</v>
      </c>
      <c r="B81" s="2275">
        <v>111</v>
      </c>
      <c r="C81" s="2275">
        <v>114</v>
      </c>
      <c r="D81" s="2275">
        <f t="shared" si="246"/>
        <v>114</v>
      </c>
      <c r="E81" s="2275">
        <v>108</v>
      </c>
      <c r="F81" s="2276">
        <v>104</v>
      </c>
      <c r="G81" s="3998">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999">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999">
        <v>2003</v>
      </c>
      <c r="H83" s="2218">
        <v>2</v>
      </c>
      <c r="I83" s="2277"/>
      <c r="J83" s="2277"/>
      <c r="K83" s="2277"/>
      <c r="L83" s="2277"/>
      <c r="X83" s="2269"/>
      <c r="Y83" s="2269"/>
      <c r="Z83" s="2269"/>
    </row>
    <row r="84" spans="1:26" ht="13.8" thickBot="1">
      <c r="A84" s="2205" t="s">
        <v>508</v>
      </c>
      <c r="B84" s="2279">
        <f t="shared" si="282"/>
        <v>107.25</v>
      </c>
      <c r="C84" s="2279">
        <f t="shared" si="282"/>
        <v>108.75</v>
      </c>
      <c r="D84" s="2279">
        <f t="shared" si="246"/>
        <v>108.75</v>
      </c>
      <c r="E84" s="2279">
        <f t="shared" si="283"/>
        <v>105.75</v>
      </c>
      <c r="F84" s="2279">
        <f t="shared" si="283"/>
        <v>102.5</v>
      </c>
      <c r="G84" s="4000">
        <v>2003</v>
      </c>
      <c r="H84" s="2280">
        <v>1</v>
      </c>
      <c r="I84" s="2277"/>
      <c r="J84" s="2277"/>
      <c r="K84" s="2277"/>
      <c r="L84" s="2277"/>
      <c r="S84" s="2208"/>
      <c r="T84" s="2193"/>
      <c r="U84" s="2193"/>
      <c r="X84" s="2269"/>
      <c r="Y84" s="2269"/>
      <c r="Z84" s="2269"/>
    </row>
    <row r="85" spans="1:26" ht="13.8" thickBot="1">
      <c r="A85" s="2205" t="s">
        <v>509</v>
      </c>
      <c r="B85" s="2281">
        <v>106</v>
      </c>
      <c r="C85" s="2281">
        <v>107</v>
      </c>
      <c r="D85" s="2281">
        <f t="shared" si="246"/>
        <v>107</v>
      </c>
      <c r="E85" s="2281">
        <v>105</v>
      </c>
      <c r="F85" s="2282">
        <v>102</v>
      </c>
      <c r="G85" s="3998">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999">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999">
        <v>2002</v>
      </c>
      <c r="H87" s="2218">
        <v>2</v>
      </c>
      <c r="I87" s="2277"/>
      <c r="J87" s="2277"/>
      <c r="K87" s="2277"/>
      <c r="L87" s="2277"/>
      <c r="X87" s="2269"/>
      <c r="Y87" s="2269"/>
      <c r="Z87" s="2269"/>
    </row>
    <row r="88" spans="1:26" s="2242" customFormat="1" ht="13.8" thickBot="1">
      <c r="A88" s="2238" t="s">
        <v>512</v>
      </c>
      <c r="B88" s="2245">
        <f t="shared" si="284"/>
        <v>103</v>
      </c>
      <c r="C88" s="2245">
        <f t="shared" si="284"/>
        <v>104</v>
      </c>
      <c r="D88" s="2245">
        <f t="shared" si="246"/>
        <v>104</v>
      </c>
      <c r="E88" s="2245">
        <f t="shared" si="285"/>
        <v>103.5</v>
      </c>
      <c r="F88" s="2245">
        <f t="shared" si="285"/>
        <v>100.5</v>
      </c>
      <c r="G88" s="4000">
        <v>2002</v>
      </c>
      <c r="H88" s="2283">
        <v>1</v>
      </c>
      <c r="I88" s="2284"/>
      <c r="J88" s="2284"/>
      <c r="K88" s="2284"/>
      <c r="L88" s="2284"/>
      <c r="N88" s="2285"/>
      <c r="S88" s="2285"/>
      <c r="X88" s="2286"/>
      <c r="Y88" s="2286"/>
      <c r="Z88" s="2286"/>
    </row>
    <row r="89" spans="1:26" ht="13.8"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8"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8"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C17" sqref="C17"/>
    </sheetView>
  </sheetViews>
  <sheetFormatPr defaultColWidth="9" defaultRowHeight="14.4"/>
  <cols>
    <col min="1" max="1" width="25" style="2513" customWidth="1"/>
    <col min="2" max="9" width="15.77734375" style="2513" customWidth="1"/>
    <col min="10" max="16384" width="9" style="2513"/>
  </cols>
  <sheetData>
    <row r="1" spans="1:11" ht="16.2">
      <c r="A1" s="2512" t="s">
        <v>665</v>
      </c>
      <c r="B1" s="2512">
        <f>SUM(B14:B23)</f>
        <v>0</v>
      </c>
      <c r="C1" s="2686"/>
      <c r="D1" s="2686"/>
      <c r="E1" s="2686"/>
      <c r="F1" s="2686"/>
      <c r="G1" s="2687"/>
      <c r="H1" s="2688"/>
      <c r="I1" s="2688"/>
      <c r="J1" s="2688"/>
      <c r="K1" s="2688"/>
    </row>
    <row r="2" spans="1:11" ht="16.2">
      <c r="A2" s="2512" t="s">
        <v>653</v>
      </c>
      <c r="B2" s="2512">
        <f>SUM(C14:C23)</f>
        <v>0</v>
      </c>
      <c r="C2" s="2686"/>
      <c r="D2" s="2686"/>
      <c r="E2" s="2686"/>
      <c r="F2" s="2686"/>
      <c r="G2" s="2687"/>
      <c r="H2" s="2688"/>
      <c r="I2" s="2688"/>
      <c r="J2" s="2688"/>
      <c r="K2" s="2688"/>
    </row>
    <row r="3" spans="1:11" ht="15.6">
      <c r="A3" s="2512" t="s">
        <v>662</v>
      </c>
      <c r="B3" s="2514">
        <f>项目基本情况!D3</f>
        <v>45478</v>
      </c>
      <c r="C3" s="2686"/>
      <c r="D3" s="2686"/>
      <c r="E3" s="2686"/>
      <c r="F3" s="2686"/>
      <c r="G3" s="2687"/>
      <c r="H3" s="2688"/>
      <c r="I3" s="2688"/>
      <c r="J3" s="2688"/>
      <c r="K3" s="2688"/>
    </row>
    <row r="4" spans="1:11" ht="31.2">
      <c r="A4" s="2512" t="s">
        <v>661</v>
      </c>
      <c r="B4" s="2512" t="s">
        <v>660</v>
      </c>
      <c r="C4" s="2512" t="s">
        <v>659</v>
      </c>
      <c r="D4" s="2512" t="s">
        <v>658</v>
      </c>
      <c r="E4" s="2686"/>
      <c r="F4" s="2687"/>
      <c r="G4" s="2687"/>
      <c r="H4" s="2688"/>
      <c r="I4" s="2688"/>
      <c r="J4" s="2688"/>
      <c r="K4" s="2688"/>
    </row>
    <row r="5" spans="1:11" ht="15.6">
      <c r="A5" s="2512" t="s">
        <v>657</v>
      </c>
      <c r="B5" s="2512">
        <f>SUM(D14:D23)</f>
        <v>0</v>
      </c>
      <c r="C5" s="2512">
        <f ca="1">IF(B5=D14,结果表!H102,ROUND(B5*10000/$B$1,0))</f>
        <v>0</v>
      </c>
      <c r="D5" s="2512" t="e">
        <f>ROUND(B5*10000/$B$2,0)</f>
        <v>#DIV/0!</v>
      </c>
      <c r="E5" s="2686"/>
      <c r="F5" s="2687"/>
      <c r="G5" s="2687"/>
      <c r="H5" s="2688"/>
      <c r="I5" s="2688"/>
      <c r="J5" s="2688"/>
      <c r="K5" s="2688"/>
    </row>
    <row r="6" spans="1:11" ht="15.6">
      <c r="A6" s="2512" t="s">
        <v>656</v>
      </c>
      <c r="B6" s="2512">
        <f>SUM(G14:G23)</f>
        <v>0</v>
      </c>
      <c r="C6" s="2512">
        <f ca="1">IF(B6=G14,结果表!H108,ROUND(B6*10000/$B$1,0))</f>
        <v>0</v>
      </c>
      <c r="D6" s="2512" t="e">
        <f>ROUND(B6*10000/$B$2,0)</f>
        <v>#DIV/0!</v>
      </c>
      <c r="E6" s="2686"/>
      <c r="F6" s="2687"/>
      <c r="G6" s="2687"/>
      <c r="H6" s="2688"/>
      <c r="I6" s="2688"/>
      <c r="J6" s="2688"/>
      <c r="K6" s="2688"/>
    </row>
    <row r="7" spans="1:11" ht="15.6">
      <c r="A7" s="2512" t="s">
        <v>664</v>
      </c>
      <c r="B7" s="2512">
        <f>SUM(H14:H23)</f>
        <v>0</v>
      </c>
      <c r="C7" s="2512" t="str">
        <f>IF(B7=H14,结果表!H110,ROUND(B7*10000/$B$1,0))</f>
        <v>——</v>
      </c>
      <c r="D7" s="2512" t="e">
        <f>ROUND(B7*10000/$B$2,0)</f>
        <v>#DIV/0!</v>
      </c>
      <c r="E7" s="2686"/>
      <c r="F7" s="2687"/>
      <c r="G7" s="2687"/>
      <c r="H7" s="2688"/>
      <c r="I7" s="2688"/>
      <c r="J7" s="2688"/>
      <c r="K7" s="2688"/>
    </row>
    <row r="8" spans="1:11" ht="15.6">
      <c r="A8" s="2512" t="s">
        <v>587</v>
      </c>
      <c r="B8" s="2512">
        <f>SUM(I14:I23)</f>
        <v>0</v>
      </c>
      <c r="C8" s="2512" t="str">
        <f>IF(B8=I14,结果表!H112,ROUND(B8*10000/$B$1,0))</f>
        <v>——</v>
      </c>
      <c r="D8" s="2512" t="e">
        <f>ROUND(B8*10000/$B$2,0)</f>
        <v>#DIV/0!</v>
      </c>
      <c r="E8" s="2686"/>
      <c r="F8" s="2687"/>
      <c r="G8" s="2687"/>
      <c r="H8" s="2688"/>
      <c r="I8" s="2688"/>
      <c r="J8" s="2688"/>
      <c r="K8" s="2688"/>
    </row>
    <row r="9" spans="1:11" ht="15.6">
      <c r="A9" s="2512" t="s">
        <v>655</v>
      </c>
      <c r="B9" s="2520"/>
      <c r="C9" s="2686"/>
      <c r="D9" s="2686"/>
      <c r="E9" s="2686"/>
      <c r="F9" s="2687"/>
      <c r="G9" s="2687"/>
      <c r="H9" s="2688"/>
      <c r="I9" s="2688"/>
      <c r="J9" s="2688"/>
      <c r="K9" s="2688"/>
    </row>
    <row r="10" spans="1:11" ht="15.6">
      <c r="A10" s="2512" t="s">
        <v>654</v>
      </c>
      <c r="B10" s="2512">
        <f>IF(E10="",0,ROUND(B1*(E10*365/G10)/10000,0))</f>
        <v>0</v>
      </c>
      <c r="C10" s="2512" t="s">
        <v>3360</v>
      </c>
      <c r="D10" s="2512" t="s">
        <v>3361</v>
      </c>
      <c r="E10" s="3441"/>
      <c r="F10" s="3445" t="s">
        <v>3362</v>
      </c>
      <c r="G10" s="3442"/>
      <c r="H10" s="2688"/>
      <c r="I10" s="2688"/>
      <c r="J10" s="2688"/>
      <c r="K10" s="2688"/>
    </row>
    <row r="11" spans="1:11" ht="15.6">
      <c r="A11" s="2512" t="s">
        <v>670</v>
      </c>
      <c r="B11" s="2520"/>
      <c r="C11" s="2686"/>
      <c r="D11" s="2686"/>
      <c r="E11" s="2686"/>
      <c r="F11" s="2687"/>
      <c r="G11" s="2687"/>
      <c r="H11" s="2688"/>
      <c r="I11" s="2688"/>
      <c r="J11" s="2688"/>
      <c r="K11" s="2688"/>
    </row>
    <row r="12" spans="1:11" ht="15.6">
      <c r="A12" s="2686"/>
      <c r="B12" s="2686"/>
      <c r="C12" s="2686"/>
      <c r="D12" s="2686"/>
      <c r="E12" s="2686"/>
      <c r="F12" s="2687"/>
      <c r="G12" s="2687"/>
      <c r="H12" s="2688"/>
      <c r="I12" s="2688"/>
      <c r="J12" s="2688"/>
      <c r="K12" s="2688"/>
    </row>
    <row r="13" spans="1:11" ht="31.8">
      <c r="A13" s="2515" t="s">
        <v>669</v>
      </c>
      <c r="B13" s="2516" t="s">
        <v>666</v>
      </c>
      <c r="C13" s="2516" t="s">
        <v>668</v>
      </c>
      <c r="D13" s="2516" t="s">
        <v>667</v>
      </c>
      <c r="E13" s="2512" t="s">
        <v>659</v>
      </c>
      <c r="F13" s="2512" t="s">
        <v>658</v>
      </c>
      <c r="G13" s="2516" t="s">
        <v>652</v>
      </c>
      <c r="H13" s="2516" t="s">
        <v>663</v>
      </c>
      <c r="I13" s="2516" t="s">
        <v>651</v>
      </c>
      <c r="J13" s="2687"/>
      <c r="K13" s="2688"/>
    </row>
    <row r="14" spans="1:11" ht="15.6">
      <c r="A14" s="2517" t="s">
        <v>650</v>
      </c>
      <c r="B14" s="2518"/>
      <c r="C14" s="2518"/>
      <c r="D14" s="2518"/>
      <c r="E14" s="2518" t="e">
        <f>ROUND(D14*10000/B14,0)</f>
        <v>#DIV/0!</v>
      </c>
      <c r="F14" s="2518" t="e">
        <f>ROUND(D14*10000/C14,0)</f>
        <v>#DIV/0!</v>
      </c>
      <c r="G14" s="2518"/>
      <c r="H14" s="2518"/>
      <c r="I14" s="2518"/>
      <c r="J14" s="2687"/>
      <c r="K14" s="2688"/>
    </row>
    <row r="15" spans="1:11" ht="15.6">
      <c r="A15" s="2517" t="s">
        <v>649</v>
      </c>
      <c r="B15" s="2519"/>
      <c r="C15" s="2519"/>
      <c r="D15" s="2519"/>
      <c r="E15" s="2518" t="e">
        <f t="shared" ref="E15:E23" si="0">ROUND(D15*10000/B15,0)</f>
        <v>#DIV/0!</v>
      </c>
      <c r="F15" s="2518" t="e">
        <f t="shared" ref="F15:F23" si="1">ROUND(D15*10000/C15,0)</f>
        <v>#DIV/0!</v>
      </c>
      <c r="G15" s="1331"/>
      <c r="H15" s="1331"/>
      <c r="I15" s="2519"/>
      <c r="J15" s="2687"/>
      <c r="K15" s="2688"/>
    </row>
    <row r="16" spans="1:11" ht="15.6">
      <c r="A16" s="2517" t="s">
        <v>648</v>
      </c>
      <c r="B16" s="2519"/>
      <c r="C16" s="2519"/>
      <c r="D16" s="2519"/>
      <c r="E16" s="2518" t="e">
        <f t="shared" si="0"/>
        <v>#DIV/0!</v>
      </c>
      <c r="F16" s="2518" t="e">
        <f t="shared" si="1"/>
        <v>#DIV/0!</v>
      </c>
      <c r="G16" s="1331"/>
      <c r="H16" s="1331"/>
      <c r="I16" s="2519"/>
      <c r="J16" s="2688"/>
      <c r="K16" s="2688"/>
    </row>
    <row r="17" spans="1:11" ht="15.6">
      <c r="A17" s="2517" t="s">
        <v>647</v>
      </c>
      <c r="B17" s="2519"/>
      <c r="C17" s="2519"/>
      <c r="D17" s="2519"/>
      <c r="E17" s="2518" t="e">
        <f t="shared" si="0"/>
        <v>#DIV/0!</v>
      </c>
      <c r="F17" s="2518" t="e">
        <f t="shared" si="1"/>
        <v>#DIV/0!</v>
      </c>
      <c r="G17" s="1331"/>
      <c r="H17" s="1331"/>
      <c r="I17" s="2519"/>
      <c r="J17" s="2688"/>
      <c r="K17" s="2688"/>
    </row>
    <row r="18" spans="1:11" ht="15.6">
      <c r="A18" s="2517" t="s">
        <v>646</v>
      </c>
      <c r="B18" s="2519"/>
      <c r="C18" s="2519"/>
      <c r="D18" s="2519"/>
      <c r="E18" s="2518" t="e">
        <f t="shared" si="0"/>
        <v>#DIV/0!</v>
      </c>
      <c r="F18" s="2518" t="e">
        <f t="shared" si="1"/>
        <v>#DIV/0!</v>
      </c>
      <c r="G18" s="2519"/>
      <c r="H18" s="2519"/>
      <c r="I18" s="2519"/>
      <c r="J18" s="2688"/>
      <c r="K18" s="2688"/>
    </row>
    <row r="19" spans="1:11" ht="15.6">
      <c r="A19" s="2517" t="s">
        <v>645</v>
      </c>
      <c r="B19" s="2519"/>
      <c r="C19" s="2519"/>
      <c r="D19" s="2519"/>
      <c r="E19" s="2518" t="e">
        <f t="shared" si="0"/>
        <v>#DIV/0!</v>
      </c>
      <c r="F19" s="2518" t="e">
        <f t="shared" si="1"/>
        <v>#DIV/0!</v>
      </c>
      <c r="G19" s="2519"/>
      <c r="H19" s="2519"/>
      <c r="I19" s="2519"/>
      <c r="J19" s="2688"/>
      <c r="K19" s="2688"/>
    </row>
    <row r="20" spans="1:11" ht="15.6">
      <c r="A20" s="2517" t="s">
        <v>644</v>
      </c>
      <c r="B20" s="2519"/>
      <c r="C20" s="2519"/>
      <c r="D20" s="2519"/>
      <c r="E20" s="2518" t="e">
        <f t="shared" si="0"/>
        <v>#DIV/0!</v>
      </c>
      <c r="F20" s="2518" t="e">
        <f t="shared" si="1"/>
        <v>#DIV/0!</v>
      </c>
      <c r="G20" s="2519"/>
      <c r="H20" s="2519"/>
      <c r="I20" s="2519"/>
      <c r="J20" s="2688"/>
      <c r="K20" s="2688"/>
    </row>
    <row r="21" spans="1:11" ht="15.6">
      <c r="A21" s="2517" t="s">
        <v>643</v>
      </c>
      <c r="B21" s="2519"/>
      <c r="C21" s="2519"/>
      <c r="D21" s="2519"/>
      <c r="E21" s="2518" t="e">
        <f t="shared" si="0"/>
        <v>#DIV/0!</v>
      </c>
      <c r="F21" s="2518" t="e">
        <f t="shared" si="1"/>
        <v>#DIV/0!</v>
      </c>
      <c r="G21" s="2519"/>
      <c r="H21" s="2519"/>
      <c r="I21" s="2519"/>
      <c r="J21" s="2688"/>
      <c r="K21" s="2688"/>
    </row>
    <row r="22" spans="1:11" ht="15.6">
      <c r="A22" s="2517" t="s">
        <v>642</v>
      </c>
      <c r="B22" s="2519"/>
      <c r="C22" s="2519"/>
      <c r="D22" s="2519"/>
      <c r="E22" s="2518" t="e">
        <f t="shared" si="0"/>
        <v>#DIV/0!</v>
      </c>
      <c r="F22" s="2518" t="e">
        <f t="shared" si="1"/>
        <v>#DIV/0!</v>
      </c>
      <c r="G22" s="2519"/>
      <c r="H22" s="2519"/>
      <c r="I22" s="2519"/>
      <c r="J22" s="2688"/>
      <c r="K22" s="2688"/>
    </row>
    <row r="23" spans="1:11" ht="15.6">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H18" sqref="H18"/>
    </sheetView>
  </sheetViews>
  <sheetFormatPr defaultRowHeight="14.4"/>
  <cols>
    <col min="1" max="1" width="4.88671875" style="1242" customWidth="1"/>
    <col min="2" max="2" width="13.21875" style="1248" customWidth="1"/>
    <col min="3" max="3" width="15.6640625" style="1248" customWidth="1"/>
    <col min="4" max="4" width="9.33203125" style="1248" bestFit="1" customWidth="1"/>
    <col min="5" max="5" width="13.44140625" style="1248" customWidth="1"/>
    <col min="6" max="6" width="9" style="1248"/>
    <col min="7" max="7" width="9.33203125" style="1248" bestFit="1" customWidth="1"/>
    <col min="8" max="8" width="12.21875" style="1248" customWidth="1"/>
    <col min="9" max="9" width="9" style="1248"/>
    <col min="10" max="10" width="9.33203125" style="1248" bestFit="1" customWidth="1"/>
    <col min="11" max="11" width="4" style="1242" customWidth="1"/>
    <col min="12" max="12" width="5.109375" style="1248" customWidth="1"/>
    <col min="13" max="13" width="13.77734375" style="1248" customWidth="1"/>
    <col min="14" max="256" width="9" style="1248"/>
    <col min="257" max="257" width="4.88671875" style="1239" customWidth="1"/>
    <col min="258" max="258" width="13.21875" style="1239" customWidth="1"/>
    <col min="259" max="259" width="15.6640625" style="1239" customWidth="1"/>
    <col min="260" max="260" width="9.33203125" style="1239" bestFit="1" customWidth="1"/>
    <col min="261" max="261" width="13.44140625" style="1239" customWidth="1"/>
    <col min="262" max="262" width="9" style="1239"/>
    <col min="263" max="263" width="9.33203125" style="1239" bestFit="1" customWidth="1"/>
    <col min="264" max="265" width="9" style="1239"/>
    <col min="266" max="266" width="9.33203125" style="1239" bestFit="1" customWidth="1"/>
    <col min="267" max="267" width="4" style="1239" customWidth="1"/>
    <col min="268" max="268" width="5.109375" style="1239" customWidth="1"/>
    <col min="269" max="269" width="13.77734375" style="1239" customWidth="1"/>
    <col min="270" max="512" width="9" style="1239"/>
    <col min="513" max="513" width="4.88671875" style="1239" customWidth="1"/>
    <col min="514" max="514" width="13.21875" style="1239" customWidth="1"/>
    <col min="515" max="515" width="15.6640625" style="1239" customWidth="1"/>
    <col min="516" max="516" width="9.33203125" style="1239" bestFit="1" customWidth="1"/>
    <col min="517" max="517" width="13.44140625" style="1239" customWidth="1"/>
    <col min="518" max="518" width="9" style="1239"/>
    <col min="519" max="519" width="9.33203125" style="1239" bestFit="1" customWidth="1"/>
    <col min="520" max="521" width="9" style="1239"/>
    <col min="522" max="522" width="9.33203125" style="1239" bestFit="1" customWidth="1"/>
    <col min="523" max="523" width="4" style="1239" customWidth="1"/>
    <col min="524" max="524" width="5.109375" style="1239" customWidth="1"/>
    <col min="525" max="525" width="13.77734375" style="1239" customWidth="1"/>
    <col min="526" max="768" width="9" style="1239"/>
    <col min="769" max="769" width="4.88671875" style="1239" customWidth="1"/>
    <col min="770" max="770" width="13.21875" style="1239" customWidth="1"/>
    <col min="771" max="771" width="15.6640625" style="1239" customWidth="1"/>
    <col min="772" max="772" width="9.33203125" style="1239" bestFit="1" customWidth="1"/>
    <col min="773" max="773" width="13.44140625" style="1239" customWidth="1"/>
    <col min="774" max="774" width="9" style="1239"/>
    <col min="775" max="775" width="9.33203125" style="1239" bestFit="1" customWidth="1"/>
    <col min="776" max="777" width="9" style="1239"/>
    <col min="778" max="778" width="9.33203125" style="1239" bestFit="1" customWidth="1"/>
    <col min="779" max="779" width="4" style="1239" customWidth="1"/>
    <col min="780" max="780" width="5.109375" style="1239" customWidth="1"/>
    <col min="781" max="781" width="13.77734375" style="1239" customWidth="1"/>
    <col min="782" max="1024" width="9" style="1239"/>
    <col min="1025" max="1025" width="4.88671875" style="1239" customWidth="1"/>
    <col min="1026" max="1026" width="13.21875" style="1239" customWidth="1"/>
    <col min="1027" max="1027" width="15.6640625" style="1239" customWidth="1"/>
    <col min="1028" max="1028" width="9.33203125" style="1239" bestFit="1" customWidth="1"/>
    <col min="1029" max="1029" width="13.44140625" style="1239" customWidth="1"/>
    <col min="1030" max="1030" width="9" style="1239"/>
    <col min="1031" max="1031" width="9.33203125" style="1239" bestFit="1" customWidth="1"/>
    <col min="1032" max="1033" width="9" style="1239"/>
    <col min="1034" max="1034" width="9.33203125" style="1239" bestFit="1" customWidth="1"/>
    <col min="1035" max="1035" width="4" style="1239" customWidth="1"/>
    <col min="1036" max="1036" width="5.109375" style="1239" customWidth="1"/>
    <col min="1037" max="1037" width="13.77734375" style="1239" customWidth="1"/>
    <col min="1038" max="1280" width="9" style="1239"/>
    <col min="1281" max="1281" width="4.88671875" style="1239" customWidth="1"/>
    <col min="1282" max="1282" width="13.21875" style="1239" customWidth="1"/>
    <col min="1283" max="1283" width="15.6640625" style="1239" customWidth="1"/>
    <col min="1284" max="1284" width="9.33203125" style="1239" bestFit="1" customWidth="1"/>
    <col min="1285" max="1285" width="13.44140625" style="1239" customWidth="1"/>
    <col min="1286" max="1286" width="9" style="1239"/>
    <col min="1287" max="1287" width="9.33203125" style="1239" bestFit="1" customWidth="1"/>
    <col min="1288" max="1289" width="9" style="1239"/>
    <col min="1290" max="1290" width="9.33203125" style="1239" bestFit="1" customWidth="1"/>
    <col min="1291" max="1291" width="4" style="1239" customWidth="1"/>
    <col min="1292" max="1292" width="5.109375" style="1239" customWidth="1"/>
    <col min="1293" max="1293" width="13.77734375" style="1239" customWidth="1"/>
    <col min="1294" max="1536" width="9" style="1239"/>
    <col min="1537" max="1537" width="4.88671875" style="1239" customWidth="1"/>
    <col min="1538" max="1538" width="13.21875" style="1239" customWidth="1"/>
    <col min="1539" max="1539" width="15.6640625" style="1239" customWidth="1"/>
    <col min="1540" max="1540" width="9.33203125" style="1239" bestFit="1" customWidth="1"/>
    <col min="1541" max="1541" width="13.44140625" style="1239" customWidth="1"/>
    <col min="1542" max="1542" width="9" style="1239"/>
    <col min="1543" max="1543" width="9.33203125" style="1239" bestFit="1" customWidth="1"/>
    <col min="1544" max="1545" width="9" style="1239"/>
    <col min="1546" max="1546" width="9.33203125" style="1239" bestFit="1" customWidth="1"/>
    <col min="1547" max="1547" width="4" style="1239" customWidth="1"/>
    <col min="1548" max="1548" width="5.109375" style="1239" customWidth="1"/>
    <col min="1549" max="1549" width="13.77734375" style="1239" customWidth="1"/>
    <col min="1550" max="1792" width="9" style="1239"/>
    <col min="1793" max="1793" width="4.88671875" style="1239" customWidth="1"/>
    <col min="1794" max="1794" width="13.21875" style="1239" customWidth="1"/>
    <col min="1795" max="1795" width="15.6640625" style="1239" customWidth="1"/>
    <col min="1796" max="1796" width="9.33203125" style="1239" bestFit="1" customWidth="1"/>
    <col min="1797" max="1797" width="13.44140625" style="1239" customWidth="1"/>
    <col min="1798" max="1798" width="9" style="1239"/>
    <col min="1799" max="1799" width="9.33203125" style="1239" bestFit="1" customWidth="1"/>
    <col min="1800" max="1801" width="9" style="1239"/>
    <col min="1802" max="1802" width="9.33203125" style="1239" bestFit="1" customWidth="1"/>
    <col min="1803" max="1803" width="4" style="1239" customWidth="1"/>
    <col min="1804" max="1804" width="5.109375" style="1239" customWidth="1"/>
    <col min="1805" max="1805" width="13.77734375" style="1239" customWidth="1"/>
    <col min="1806" max="2048" width="9" style="1239"/>
    <col min="2049" max="2049" width="4.88671875" style="1239" customWidth="1"/>
    <col min="2050" max="2050" width="13.21875" style="1239" customWidth="1"/>
    <col min="2051" max="2051" width="15.6640625" style="1239" customWidth="1"/>
    <col min="2052" max="2052" width="9.33203125" style="1239" bestFit="1" customWidth="1"/>
    <col min="2053" max="2053" width="13.44140625" style="1239" customWidth="1"/>
    <col min="2054" max="2054" width="9" style="1239"/>
    <col min="2055" max="2055" width="9.33203125" style="1239" bestFit="1" customWidth="1"/>
    <col min="2056" max="2057" width="9" style="1239"/>
    <col min="2058" max="2058" width="9.33203125" style="1239" bestFit="1" customWidth="1"/>
    <col min="2059" max="2059" width="4" style="1239" customWidth="1"/>
    <col min="2060" max="2060" width="5.109375" style="1239" customWidth="1"/>
    <col min="2061" max="2061" width="13.77734375" style="1239" customWidth="1"/>
    <col min="2062" max="2304" width="9" style="1239"/>
    <col min="2305" max="2305" width="4.88671875" style="1239" customWidth="1"/>
    <col min="2306" max="2306" width="13.21875" style="1239" customWidth="1"/>
    <col min="2307" max="2307" width="15.6640625" style="1239" customWidth="1"/>
    <col min="2308" max="2308" width="9.33203125" style="1239" bestFit="1" customWidth="1"/>
    <col min="2309" max="2309" width="13.44140625" style="1239" customWidth="1"/>
    <col min="2310" max="2310" width="9" style="1239"/>
    <col min="2311" max="2311" width="9.33203125" style="1239" bestFit="1" customWidth="1"/>
    <col min="2312" max="2313" width="9" style="1239"/>
    <col min="2314" max="2314" width="9.33203125" style="1239" bestFit="1" customWidth="1"/>
    <col min="2315" max="2315" width="4" style="1239" customWidth="1"/>
    <col min="2316" max="2316" width="5.109375" style="1239" customWidth="1"/>
    <col min="2317" max="2317" width="13.77734375" style="1239" customWidth="1"/>
    <col min="2318" max="2560" width="9" style="1239"/>
    <col min="2561" max="2561" width="4.88671875" style="1239" customWidth="1"/>
    <col min="2562" max="2562" width="13.21875" style="1239" customWidth="1"/>
    <col min="2563" max="2563" width="15.6640625" style="1239" customWidth="1"/>
    <col min="2564" max="2564" width="9.33203125" style="1239" bestFit="1" customWidth="1"/>
    <col min="2565" max="2565" width="13.44140625" style="1239" customWidth="1"/>
    <col min="2566" max="2566" width="9" style="1239"/>
    <col min="2567" max="2567" width="9.33203125" style="1239" bestFit="1" customWidth="1"/>
    <col min="2568" max="2569" width="9" style="1239"/>
    <col min="2570" max="2570" width="9.33203125" style="1239" bestFit="1" customWidth="1"/>
    <col min="2571" max="2571" width="4" style="1239" customWidth="1"/>
    <col min="2572" max="2572" width="5.109375" style="1239" customWidth="1"/>
    <col min="2573" max="2573" width="13.77734375" style="1239" customWidth="1"/>
    <col min="2574" max="2816" width="9" style="1239"/>
    <col min="2817" max="2817" width="4.88671875" style="1239" customWidth="1"/>
    <col min="2818" max="2818" width="13.21875" style="1239" customWidth="1"/>
    <col min="2819" max="2819" width="15.6640625" style="1239" customWidth="1"/>
    <col min="2820" max="2820" width="9.33203125" style="1239" bestFit="1" customWidth="1"/>
    <col min="2821" max="2821" width="13.44140625" style="1239" customWidth="1"/>
    <col min="2822" max="2822" width="9" style="1239"/>
    <col min="2823" max="2823" width="9.33203125" style="1239" bestFit="1" customWidth="1"/>
    <col min="2824" max="2825" width="9" style="1239"/>
    <col min="2826" max="2826" width="9.33203125" style="1239" bestFit="1" customWidth="1"/>
    <col min="2827" max="2827" width="4" style="1239" customWidth="1"/>
    <col min="2828" max="2828" width="5.109375" style="1239" customWidth="1"/>
    <col min="2829" max="2829" width="13.77734375" style="1239" customWidth="1"/>
    <col min="2830" max="3072" width="9" style="1239"/>
    <col min="3073" max="3073" width="4.88671875" style="1239" customWidth="1"/>
    <col min="3074" max="3074" width="13.21875" style="1239" customWidth="1"/>
    <col min="3075" max="3075" width="15.6640625" style="1239" customWidth="1"/>
    <col min="3076" max="3076" width="9.33203125" style="1239" bestFit="1" customWidth="1"/>
    <col min="3077" max="3077" width="13.44140625" style="1239" customWidth="1"/>
    <col min="3078" max="3078" width="9" style="1239"/>
    <col min="3079" max="3079" width="9.33203125" style="1239" bestFit="1" customWidth="1"/>
    <col min="3080" max="3081" width="9" style="1239"/>
    <col min="3082" max="3082" width="9.33203125" style="1239" bestFit="1" customWidth="1"/>
    <col min="3083" max="3083" width="4" style="1239" customWidth="1"/>
    <col min="3084" max="3084" width="5.109375" style="1239" customWidth="1"/>
    <col min="3085" max="3085" width="13.77734375" style="1239" customWidth="1"/>
    <col min="3086" max="3328" width="9" style="1239"/>
    <col min="3329" max="3329" width="4.88671875" style="1239" customWidth="1"/>
    <col min="3330" max="3330" width="13.21875" style="1239" customWidth="1"/>
    <col min="3331" max="3331" width="15.6640625" style="1239" customWidth="1"/>
    <col min="3332" max="3332" width="9.33203125" style="1239" bestFit="1" customWidth="1"/>
    <col min="3333" max="3333" width="13.44140625" style="1239" customWidth="1"/>
    <col min="3334" max="3334" width="9" style="1239"/>
    <col min="3335" max="3335" width="9.33203125" style="1239" bestFit="1" customWidth="1"/>
    <col min="3336" max="3337" width="9" style="1239"/>
    <col min="3338" max="3338" width="9.33203125" style="1239" bestFit="1" customWidth="1"/>
    <col min="3339" max="3339" width="4" style="1239" customWidth="1"/>
    <col min="3340" max="3340" width="5.109375" style="1239" customWidth="1"/>
    <col min="3341" max="3341" width="13.77734375" style="1239" customWidth="1"/>
    <col min="3342" max="3584" width="9" style="1239"/>
    <col min="3585" max="3585" width="4.88671875" style="1239" customWidth="1"/>
    <col min="3586" max="3586" width="13.21875" style="1239" customWidth="1"/>
    <col min="3587" max="3587" width="15.6640625" style="1239" customWidth="1"/>
    <col min="3588" max="3588" width="9.33203125" style="1239" bestFit="1" customWidth="1"/>
    <col min="3589" max="3589" width="13.44140625" style="1239" customWidth="1"/>
    <col min="3590" max="3590" width="9" style="1239"/>
    <col min="3591" max="3591" width="9.33203125" style="1239" bestFit="1" customWidth="1"/>
    <col min="3592" max="3593" width="9" style="1239"/>
    <col min="3594" max="3594" width="9.33203125" style="1239" bestFit="1" customWidth="1"/>
    <col min="3595" max="3595" width="4" style="1239" customWidth="1"/>
    <col min="3596" max="3596" width="5.109375" style="1239" customWidth="1"/>
    <col min="3597" max="3597" width="13.77734375" style="1239" customWidth="1"/>
    <col min="3598" max="3840" width="9" style="1239"/>
    <col min="3841" max="3841" width="4.88671875" style="1239" customWidth="1"/>
    <col min="3842" max="3842" width="13.21875" style="1239" customWidth="1"/>
    <col min="3843" max="3843" width="15.6640625" style="1239" customWidth="1"/>
    <col min="3844" max="3844" width="9.33203125" style="1239" bestFit="1" customWidth="1"/>
    <col min="3845" max="3845" width="13.44140625" style="1239" customWidth="1"/>
    <col min="3846" max="3846" width="9" style="1239"/>
    <col min="3847" max="3847" width="9.33203125" style="1239" bestFit="1" customWidth="1"/>
    <col min="3848" max="3849" width="9" style="1239"/>
    <col min="3850" max="3850" width="9.33203125" style="1239" bestFit="1" customWidth="1"/>
    <col min="3851" max="3851" width="4" style="1239" customWidth="1"/>
    <col min="3852" max="3852" width="5.109375" style="1239" customWidth="1"/>
    <col min="3853" max="3853" width="13.77734375" style="1239" customWidth="1"/>
    <col min="3854" max="4096" width="9" style="1239"/>
    <col min="4097" max="4097" width="4.88671875" style="1239" customWidth="1"/>
    <col min="4098" max="4098" width="13.21875" style="1239" customWidth="1"/>
    <col min="4099" max="4099" width="15.6640625" style="1239" customWidth="1"/>
    <col min="4100" max="4100" width="9.33203125" style="1239" bestFit="1" customWidth="1"/>
    <col min="4101" max="4101" width="13.44140625" style="1239" customWidth="1"/>
    <col min="4102" max="4102" width="9" style="1239"/>
    <col min="4103" max="4103" width="9.33203125" style="1239" bestFit="1" customWidth="1"/>
    <col min="4104" max="4105" width="9" style="1239"/>
    <col min="4106" max="4106" width="9.33203125" style="1239" bestFit="1" customWidth="1"/>
    <col min="4107" max="4107" width="4" style="1239" customWidth="1"/>
    <col min="4108" max="4108" width="5.109375" style="1239" customWidth="1"/>
    <col min="4109" max="4109" width="13.77734375" style="1239" customWidth="1"/>
    <col min="4110" max="4352" width="9" style="1239"/>
    <col min="4353" max="4353" width="4.88671875" style="1239" customWidth="1"/>
    <col min="4354" max="4354" width="13.21875" style="1239" customWidth="1"/>
    <col min="4355" max="4355" width="15.6640625" style="1239" customWidth="1"/>
    <col min="4356" max="4356" width="9.33203125" style="1239" bestFit="1" customWidth="1"/>
    <col min="4357" max="4357" width="13.44140625" style="1239" customWidth="1"/>
    <col min="4358" max="4358" width="9" style="1239"/>
    <col min="4359" max="4359" width="9.33203125" style="1239" bestFit="1" customWidth="1"/>
    <col min="4360" max="4361" width="9" style="1239"/>
    <col min="4362" max="4362" width="9.33203125" style="1239" bestFit="1" customWidth="1"/>
    <col min="4363" max="4363" width="4" style="1239" customWidth="1"/>
    <col min="4364" max="4364" width="5.109375" style="1239" customWidth="1"/>
    <col min="4365" max="4365" width="13.77734375" style="1239" customWidth="1"/>
    <col min="4366" max="4608" width="9" style="1239"/>
    <col min="4609" max="4609" width="4.88671875" style="1239" customWidth="1"/>
    <col min="4610" max="4610" width="13.21875" style="1239" customWidth="1"/>
    <col min="4611" max="4611" width="15.6640625" style="1239" customWidth="1"/>
    <col min="4612" max="4612" width="9.33203125" style="1239" bestFit="1" customWidth="1"/>
    <col min="4613" max="4613" width="13.44140625" style="1239" customWidth="1"/>
    <col min="4614" max="4614" width="9" style="1239"/>
    <col min="4615" max="4615" width="9.33203125" style="1239" bestFit="1" customWidth="1"/>
    <col min="4616" max="4617" width="9" style="1239"/>
    <col min="4618" max="4618" width="9.33203125" style="1239" bestFit="1" customWidth="1"/>
    <col min="4619" max="4619" width="4" style="1239" customWidth="1"/>
    <col min="4620" max="4620" width="5.109375" style="1239" customWidth="1"/>
    <col min="4621" max="4621" width="13.77734375" style="1239" customWidth="1"/>
    <col min="4622" max="4864" width="9" style="1239"/>
    <col min="4865" max="4865" width="4.88671875" style="1239" customWidth="1"/>
    <col min="4866" max="4866" width="13.21875" style="1239" customWidth="1"/>
    <col min="4867" max="4867" width="15.6640625" style="1239" customWidth="1"/>
    <col min="4868" max="4868" width="9.33203125" style="1239" bestFit="1" customWidth="1"/>
    <col min="4869" max="4869" width="13.44140625" style="1239" customWidth="1"/>
    <col min="4870" max="4870" width="9" style="1239"/>
    <col min="4871" max="4871" width="9.33203125" style="1239" bestFit="1" customWidth="1"/>
    <col min="4872" max="4873" width="9" style="1239"/>
    <col min="4874" max="4874" width="9.33203125" style="1239" bestFit="1" customWidth="1"/>
    <col min="4875" max="4875" width="4" style="1239" customWidth="1"/>
    <col min="4876" max="4876" width="5.109375" style="1239" customWidth="1"/>
    <col min="4877" max="4877" width="13.77734375" style="1239" customWidth="1"/>
    <col min="4878" max="5120" width="9" style="1239"/>
    <col min="5121" max="5121" width="4.88671875" style="1239" customWidth="1"/>
    <col min="5122" max="5122" width="13.21875" style="1239" customWidth="1"/>
    <col min="5123" max="5123" width="15.6640625" style="1239" customWidth="1"/>
    <col min="5124" max="5124" width="9.33203125" style="1239" bestFit="1" customWidth="1"/>
    <col min="5125" max="5125" width="13.44140625" style="1239" customWidth="1"/>
    <col min="5126" max="5126" width="9" style="1239"/>
    <col min="5127" max="5127" width="9.33203125" style="1239" bestFit="1" customWidth="1"/>
    <col min="5128" max="5129" width="9" style="1239"/>
    <col min="5130" max="5130" width="9.33203125" style="1239" bestFit="1" customWidth="1"/>
    <col min="5131" max="5131" width="4" style="1239" customWidth="1"/>
    <col min="5132" max="5132" width="5.109375" style="1239" customWidth="1"/>
    <col min="5133" max="5133" width="13.77734375" style="1239" customWidth="1"/>
    <col min="5134" max="5376" width="9" style="1239"/>
    <col min="5377" max="5377" width="4.88671875" style="1239" customWidth="1"/>
    <col min="5378" max="5378" width="13.21875" style="1239" customWidth="1"/>
    <col min="5379" max="5379" width="15.6640625" style="1239" customWidth="1"/>
    <col min="5380" max="5380" width="9.33203125" style="1239" bestFit="1" customWidth="1"/>
    <col min="5381" max="5381" width="13.44140625" style="1239" customWidth="1"/>
    <col min="5382" max="5382" width="9" style="1239"/>
    <col min="5383" max="5383" width="9.33203125" style="1239" bestFit="1" customWidth="1"/>
    <col min="5384" max="5385" width="9" style="1239"/>
    <col min="5386" max="5386" width="9.33203125" style="1239" bestFit="1" customWidth="1"/>
    <col min="5387" max="5387" width="4" style="1239" customWidth="1"/>
    <col min="5388" max="5388" width="5.109375" style="1239" customWidth="1"/>
    <col min="5389" max="5389" width="13.77734375" style="1239" customWidth="1"/>
    <col min="5390" max="5632" width="9" style="1239"/>
    <col min="5633" max="5633" width="4.88671875" style="1239" customWidth="1"/>
    <col min="5634" max="5634" width="13.21875" style="1239" customWidth="1"/>
    <col min="5635" max="5635" width="15.6640625" style="1239" customWidth="1"/>
    <col min="5636" max="5636" width="9.33203125" style="1239" bestFit="1" customWidth="1"/>
    <col min="5637" max="5637" width="13.44140625" style="1239" customWidth="1"/>
    <col min="5638" max="5638" width="9" style="1239"/>
    <col min="5639" max="5639" width="9.33203125" style="1239" bestFit="1" customWidth="1"/>
    <col min="5640" max="5641" width="9" style="1239"/>
    <col min="5642" max="5642" width="9.33203125" style="1239" bestFit="1" customWidth="1"/>
    <col min="5643" max="5643" width="4" style="1239" customWidth="1"/>
    <col min="5644" max="5644" width="5.109375" style="1239" customWidth="1"/>
    <col min="5645" max="5645" width="13.77734375" style="1239" customWidth="1"/>
    <col min="5646" max="5888" width="9" style="1239"/>
    <col min="5889" max="5889" width="4.88671875" style="1239" customWidth="1"/>
    <col min="5890" max="5890" width="13.21875" style="1239" customWidth="1"/>
    <col min="5891" max="5891" width="15.6640625" style="1239" customWidth="1"/>
    <col min="5892" max="5892" width="9.33203125" style="1239" bestFit="1" customWidth="1"/>
    <col min="5893" max="5893" width="13.44140625" style="1239" customWidth="1"/>
    <col min="5894" max="5894" width="9" style="1239"/>
    <col min="5895" max="5895" width="9.33203125" style="1239" bestFit="1" customWidth="1"/>
    <col min="5896" max="5897" width="9" style="1239"/>
    <col min="5898" max="5898" width="9.33203125" style="1239" bestFit="1" customWidth="1"/>
    <col min="5899" max="5899" width="4" style="1239" customWidth="1"/>
    <col min="5900" max="5900" width="5.109375" style="1239" customWidth="1"/>
    <col min="5901" max="5901" width="13.77734375" style="1239" customWidth="1"/>
    <col min="5902" max="6144" width="9" style="1239"/>
    <col min="6145" max="6145" width="4.88671875" style="1239" customWidth="1"/>
    <col min="6146" max="6146" width="13.21875" style="1239" customWidth="1"/>
    <col min="6147" max="6147" width="15.6640625" style="1239" customWidth="1"/>
    <col min="6148" max="6148" width="9.33203125" style="1239" bestFit="1" customWidth="1"/>
    <col min="6149" max="6149" width="13.44140625" style="1239" customWidth="1"/>
    <col min="6150" max="6150" width="9" style="1239"/>
    <col min="6151" max="6151" width="9.33203125" style="1239" bestFit="1" customWidth="1"/>
    <col min="6152" max="6153" width="9" style="1239"/>
    <col min="6154" max="6154" width="9.33203125" style="1239" bestFit="1" customWidth="1"/>
    <col min="6155" max="6155" width="4" style="1239" customWidth="1"/>
    <col min="6156" max="6156" width="5.109375" style="1239" customWidth="1"/>
    <col min="6157" max="6157" width="13.77734375" style="1239" customWidth="1"/>
    <col min="6158" max="6400" width="9" style="1239"/>
    <col min="6401" max="6401" width="4.88671875" style="1239" customWidth="1"/>
    <col min="6402" max="6402" width="13.21875" style="1239" customWidth="1"/>
    <col min="6403" max="6403" width="15.6640625" style="1239" customWidth="1"/>
    <col min="6404" max="6404" width="9.33203125" style="1239" bestFit="1" customWidth="1"/>
    <col min="6405" max="6405" width="13.44140625" style="1239" customWidth="1"/>
    <col min="6406" max="6406" width="9" style="1239"/>
    <col min="6407" max="6407" width="9.33203125" style="1239" bestFit="1" customWidth="1"/>
    <col min="6408" max="6409" width="9" style="1239"/>
    <col min="6410" max="6410" width="9.33203125" style="1239" bestFit="1" customWidth="1"/>
    <col min="6411" max="6411" width="4" style="1239" customWidth="1"/>
    <col min="6412" max="6412" width="5.109375" style="1239" customWidth="1"/>
    <col min="6413" max="6413" width="13.77734375" style="1239" customWidth="1"/>
    <col min="6414" max="6656" width="9" style="1239"/>
    <col min="6657" max="6657" width="4.88671875" style="1239" customWidth="1"/>
    <col min="6658" max="6658" width="13.21875" style="1239" customWidth="1"/>
    <col min="6659" max="6659" width="15.6640625" style="1239" customWidth="1"/>
    <col min="6660" max="6660" width="9.33203125" style="1239" bestFit="1" customWidth="1"/>
    <col min="6661" max="6661" width="13.44140625" style="1239" customWidth="1"/>
    <col min="6662" max="6662" width="9" style="1239"/>
    <col min="6663" max="6663" width="9.33203125" style="1239" bestFit="1" customWidth="1"/>
    <col min="6664" max="6665" width="9" style="1239"/>
    <col min="6666" max="6666" width="9.33203125" style="1239" bestFit="1" customWidth="1"/>
    <col min="6667" max="6667" width="4" style="1239" customWidth="1"/>
    <col min="6668" max="6668" width="5.109375" style="1239" customWidth="1"/>
    <col min="6669" max="6669" width="13.77734375" style="1239" customWidth="1"/>
    <col min="6670" max="6912" width="9" style="1239"/>
    <col min="6913" max="6913" width="4.88671875" style="1239" customWidth="1"/>
    <col min="6914" max="6914" width="13.21875" style="1239" customWidth="1"/>
    <col min="6915" max="6915" width="15.6640625" style="1239" customWidth="1"/>
    <col min="6916" max="6916" width="9.33203125" style="1239" bestFit="1" customWidth="1"/>
    <col min="6917" max="6917" width="13.44140625" style="1239" customWidth="1"/>
    <col min="6918" max="6918" width="9" style="1239"/>
    <col min="6919" max="6919" width="9.33203125" style="1239" bestFit="1" customWidth="1"/>
    <col min="6920" max="6921" width="9" style="1239"/>
    <col min="6922" max="6922" width="9.33203125" style="1239" bestFit="1" customWidth="1"/>
    <col min="6923" max="6923" width="4" style="1239" customWidth="1"/>
    <col min="6924" max="6924" width="5.109375" style="1239" customWidth="1"/>
    <col min="6925" max="6925" width="13.77734375" style="1239" customWidth="1"/>
    <col min="6926" max="7168" width="9" style="1239"/>
    <col min="7169" max="7169" width="4.88671875" style="1239" customWidth="1"/>
    <col min="7170" max="7170" width="13.21875" style="1239" customWidth="1"/>
    <col min="7171" max="7171" width="15.6640625" style="1239" customWidth="1"/>
    <col min="7172" max="7172" width="9.33203125" style="1239" bestFit="1" customWidth="1"/>
    <col min="7173" max="7173" width="13.44140625" style="1239" customWidth="1"/>
    <col min="7174" max="7174" width="9" style="1239"/>
    <col min="7175" max="7175" width="9.33203125" style="1239" bestFit="1" customWidth="1"/>
    <col min="7176" max="7177" width="9" style="1239"/>
    <col min="7178" max="7178" width="9.33203125" style="1239" bestFit="1" customWidth="1"/>
    <col min="7179" max="7179" width="4" style="1239" customWidth="1"/>
    <col min="7180" max="7180" width="5.109375" style="1239" customWidth="1"/>
    <col min="7181" max="7181" width="13.77734375" style="1239" customWidth="1"/>
    <col min="7182" max="7424" width="9" style="1239"/>
    <col min="7425" max="7425" width="4.88671875" style="1239" customWidth="1"/>
    <col min="7426" max="7426" width="13.21875" style="1239" customWidth="1"/>
    <col min="7427" max="7427" width="15.6640625" style="1239" customWidth="1"/>
    <col min="7428" max="7428" width="9.33203125" style="1239" bestFit="1" customWidth="1"/>
    <col min="7429" max="7429" width="13.44140625" style="1239" customWidth="1"/>
    <col min="7430" max="7430" width="9" style="1239"/>
    <col min="7431" max="7431" width="9.33203125" style="1239" bestFit="1" customWidth="1"/>
    <col min="7432" max="7433" width="9" style="1239"/>
    <col min="7434" max="7434" width="9.33203125" style="1239" bestFit="1" customWidth="1"/>
    <col min="7435" max="7435" width="4" style="1239" customWidth="1"/>
    <col min="7436" max="7436" width="5.109375" style="1239" customWidth="1"/>
    <col min="7437" max="7437" width="13.77734375" style="1239" customWidth="1"/>
    <col min="7438" max="7680" width="9" style="1239"/>
    <col min="7681" max="7681" width="4.88671875" style="1239" customWidth="1"/>
    <col min="7682" max="7682" width="13.21875" style="1239" customWidth="1"/>
    <col min="7683" max="7683" width="15.6640625" style="1239" customWidth="1"/>
    <col min="7684" max="7684" width="9.33203125" style="1239" bestFit="1" customWidth="1"/>
    <col min="7685" max="7685" width="13.44140625" style="1239" customWidth="1"/>
    <col min="7686" max="7686" width="9" style="1239"/>
    <col min="7687" max="7687" width="9.33203125" style="1239" bestFit="1" customWidth="1"/>
    <col min="7688" max="7689" width="9" style="1239"/>
    <col min="7690" max="7690" width="9.33203125" style="1239" bestFit="1" customWidth="1"/>
    <col min="7691" max="7691" width="4" style="1239" customWidth="1"/>
    <col min="7692" max="7692" width="5.109375" style="1239" customWidth="1"/>
    <col min="7693" max="7693" width="13.77734375" style="1239" customWidth="1"/>
    <col min="7694" max="7936" width="9" style="1239"/>
    <col min="7937" max="7937" width="4.88671875" style="1239" customWidth="1"/>
    <col min="7938" max="7938" width="13.21875" style="1239" customWidth="1"/>
    <col min="7939" max="7939" width="15.6640625" style="1239" customWidth="1"/>
    <col min="7940" max="7940" width="9.33203125" style="1239" bestFit="1" customWidth="1"/>
    <col min="7941" max="7941" width="13.44140625" style="1239" customWidth="1"/>
    <col min="7942" max="7942" width="9" style="1239"/>
    <col min="7943" max="7943" width="9.33203125" style="1239" bestFit="1" customWidth="1"/>
    <col min="7944" max="7945" width="9" style="1239"/>
    <col min="7946" max="7946" width="9.33203125" style="1239" bestFit="1" customWidth="1"/>
    <col min="7947" max="7947" width="4" style="1239" customWidth="1"/>
    <col min="7948" max="7948" width="5.109375" style="1239" customWidth="1"/>
    <col min="7949" max="7949" width="13.77734375" style="1239" customWidth="1"/>
    <col min="7950" max="8192" width="9" style="1239"/>
    <col min="8193" max="8193" width="4.88671875" style="1239" customWidth="1"/>
    <col min="8194" max="8194" width="13.21875" style="1239" customWidth="1"/>
    <col min="8195" max="8195" width="15.6640625" style="1239" customWidth="1"/>
    <col min="8196" max="8196" width="9.33203125" style="1239" bestFit="1" customWidth="1"/>
    <col min="8197" max="8197" width="13.44140625" style="1239" customWidth="1"/>
    <col min="8198" max="8198" width="9" style="1239"/>
    <col min="8199" max="8199" width="9.33203125" style="1239" bestFit="1" customWidth="1"/>
    <col min="8200" max="8201" width="9" style="1239"/>
    <col min="8202" max="8202" width="9.33203125" style="1239" bestFit="1" customWidth="1"/>
    <col min="8203" max="8203" width="4" style="1239" customWidth="1"/>
    <col min="8204" max="8204" width="5.109375" style="1239" customWidth="1"/>
    <col min="8205" max="8205" width="13.77734375" style="1239" customWidth="1"/>
    <col min="8206" max="8448" width="9" style="1239"/>
    <col min="8449" max="8449" width="4.88671875" style="1239" customWidth="1"/>
    <col min="8450" max="8450" width="13.21875" style="1239" customWidth="1"/>
    <col min="8451" max="8451" width="15.6640625" style="1239" customWidth="1"/>
    <col min="8452" max="8452" width="9.33203125" style="1239" bestFit="1" customWidth="1"/>
    <col min="8453" max="8453" width="13.44140625" style="1239" customWidth="1"/>
    <col min="8454" max="8454" width="9" style="1239"/>
    <col min="8455" max="8455" width="9.33203125" style="1239" bestFit="1" customWidth="1"/>
    <col min="8456" max="8457" width="9" style="1239"/>
    <col min="8458" max="8458" width="9.33203125" style="1239" bestFit="1" customWidth="1"/>
    <col min="8459" max="8459" width="4" style="1239" customWidth="1"/>
    <col min="8460" max="8460" width="5.109375" style="1239" customWidth="1"/>
    <col min="8461" max="8461" width="13.77734375" style="1239" customWidth="1"/>
    <col min="8462" max="8704" width="9" style="1239"/>
    <col min="8705" max="8705" width="4.88671875" style="1239" customWidth="1"/>
    <col min="8706" max="8706" width="13.21875" style="1239" customWidth="1"/>
    <col min="8707" max="8707" width="15.6640625" style="1239" customWidth="1"/>
    <col min="8708" max="8708" width="9.33203125" style="1239" bestFit="1" customWidth="1"/>
    <col min="8709" max="8709" width="13.44140625" style="1239" customWidth="1"/>
    <col min="8710" max="8710" width="9" style="1239"/>
    <col min="8711" max="8711" width="9.33203125" style="1239" bestFit="1" customWidth="1"/>
    <col min="8712" max="8713" width="9" style="1239"/>
    <col min="8714" max="8714" width="9.33203125" style="1239" bestFit="1" customWidth="1"/>
    <col min="8715" max="8715" width="4" style="1239" customWidth="1"/>
    <col min="8716" max="8716" width="5.109375" style="1239" customWidth="1"/>
    <col min="8717" max="8717" width="13.77734375" style="1239" customWidth="1"/>
    <col min="8718" max="8960" width="9" style="1239"/>
    <col min="8961" max="8961" width="4.88671875" style="1239" customWidth="1"/>
    <col min="8962" max="8962" width="13.21875" style="1239" customWidth="1"/>
    <col min="8963" max="8963" width="15.6640625" style="1239" customWidth="1"/>
    <col min="8964" max="8964" width="9.33203125" style="1239" bestFit="1" customWidth="1"/>
    <col min="8965" max="8965" width="13.44140625" style="1239" customWidth="1"/>
    <col min="8966" max="8966" width="9" style="1239"/>
    <col min="8967" max="8967" width="9.33203125" style="1239" bestFit="1" customWidth="1"/>
    <col min="8968" max="8969" width="9" style="1239"/>
    <col min="8970" max="8970" width="9.33203125" style="1239" bestFit="1" customWidth="1"/>
    <col min="8971" max="8971" width="4" style="1239" customWidth="1"/>
    <col min="8972" max="8972" width="5.109375" style="1239" customWidth="1"/>
    <col min="8973" max="8973" width="13.77734375" style="1239" customWidth="1"/>
    <col min="8974" max="9216" width="9" style="1239"/>
    <col min="9217" max="9217" width="4.88671875" style="1239" customWidth="1"/>
    <col min="9218" max="9218" width="13.21875" style="1239" customWidth="1"/>
    <col min="9219" max="9219" width="15.6640625" style="1239" customWidth="1"/>
    <col min="9220" max="9220" width="9.33203125" style="1239" bestFit="1" customWidth="1"/>
    <col min="9221" max="9221" width="13.44140625" style="1239" customWidth="1"/>
    <col min="9222" max="9222" width="9" style="1239"/>
    <col min="9223" max="9223" width="9.33203125" style="1239" bestFit="1" customWidth="1"/>
    <col min="9224" max="9225" width="9" style="1239"/>
    <col min="9226" max="9226" width="9.33203125" style="1239" bestFit="1" customWidth="1"/>
    <col min="9227" max="9227" width="4" style="1239" customWidth="1"/>
    <col min="9228" max="9228" width="5.109375" style="1239" customWidth="1"/>
    <col min="9229" max="9229" width="13.77734375" style="1239" customWidth="1"/>
    <col min="9230" max="9472" width="9" style="1239"/>
    <col min="9473" max="9473" width="4.88671875" style="1239" customWidth="1"/>
    <col min="9474" max="9474" width="13.21875" style="1239" customWidth="1"/>
    <col min="9475" max="9475" width="15.6640625" style="1239" customWidth="1"/>
    <col min="9476" max="9476" width="9.33203125" style="1239" bestFit="1" customWidth="1"/>
    <col min="9477" max="9477" width="13.44140625" style="1239" customWidth="1"/>
    <col min="9478" max="9478" width="9" style="1239"/>
    <col min="9479" max="9479" width="9.33203125" style="1239" bestFit="1" customWidth="1"/>
    <col min="9480" max="9481" width="9" style="1239"/>
    <col min="9482" max="9482" width="9.33203125" style="1239" bestFit="1" customWidth="1"/>
    <col min="9483" max="9483" width="4" style="1239" customWidth="1"/>
    <col min="9484" max="9484" width="5.109375" style="1239" customWidth="1"/>
    <col min="9485" max="9485" width="13.77734375" style="1239" customWidth="1"/>
    <col min="9486" max="9728" width="9" style="1239"/>
    <col min="9729" max="9729" width="4.88671875" style="1239" customWidth="1"/>
    <col min="9730" max="9730" width="13.21875" style="1239" customWidth="1"/>
    <col min="9731" max="9731" width="15.6640625" style="1239" customWidth="1"/>
    <col min="9732" max="9732" width="9.33203125" style="1239" bestFit="1" customWidth="1"/>
    <col min="9733" max="9733" width="13.44140625" style="1239" customWidth="1"/>
    <col min="9734" max="9734" width="9" style="1239"/>
    <col min="9735" max="9735" width="9.33203125" style="1239" bestFit="1" customWidth="1"/>
    <col min="9736" max="9737" width="9" style="1239"/>
    <col min="9738" max="9738" width="9.33203125" style="1239" bestFit="1" customWidth="1"/>
    <col min="9739" max="9739" width="4" style="1239" customWidth="1"/>
    <col min="9740" max="9740" width="5.109375" style="1239" customWidth="1"/>
    <col min="9741" max="9741" width="13.77734375" style="1239" customWidth="1"/>
    <col min="9742" max="9984" width="9" style="1239"/>
    <col min="9985" max="9985" width="4.88671875" style="1239" customWidth="1"/>
    <col min="9986" max="9986" width="13.21875" style="1239" customWidth="1"/>
    <col min="9987" max="9987" width="15.6640625" style="1239" customWidth="1"/>
    <col min="9988" max="9988" width="9.33203125" style="1239" bestFit="1" customWidth="1"/>
    <col min="9989" max="9989" width="13.44140625" style="1239" customWidth="1"/>
    <col min="9990" max="9990" width="9" style="1239"/>
    <col min="9991" max="9991" width="9.33203125" style="1239" bestFit="1" customWidth="1"/>
    <col min="9992" max="9993" width="9" style="1239"/>
    <col min="9994" max="9994" width="9.33203125" style="1239" bestFit="1" customWidth="1"/>
    <col min="9995" max="9995" width="4" style="1239" customWidth="1"/>
    <col min="9996" max="9996" width="5.109375" style="1239" customWidth="1"/>
    <col min="9997" max="9997" width="13.77734375" style="1239" customWidth="1"/>
    <col min="9998" max="10240" width="9" style="1239"/>
    <col min="10241" max="10241" width="4.88671875" style="1239" customWidth="1"/>
    <col min="10242" max="10242" width="13.21875" style="1239" customWidth="1"/>
    <col min="10243" max="10243" width="15.6640625" style="1239" customWidth="1"/>
    <col min="10244" max="10244" width="9.33203125" style="1239" bestFit="1" customWidth="1"/>
    <col min="10245" max="10245" width="13.44140625" style="1239" customWidth="1"/>
    <col min="10246" max="10246" width="9" style="1239"/>
    <col min="10247" max="10247" width="9.33203125" style="1239" bestFit="1" customWidth="1"/>
    <col min="10248" max="10249" width="9" style="1239"/>
    <col min="10250" max="10250" width="9.33203125" style="1239" bestFit="1" customWidth="1"/>
    <col min="10251" max="10251" width="4" style="1239" customWidth="1"/>
    <col min="10252" max="10252" width="5.109375" style="1239" customWidth="1"/>
    <col min="10253" max="10253" width="13.77734375" style="1239" customWidth="1"/>
    <col min="10254" max="10496" width="9" style="1239"/>
    <col min="10497" max="10497" width="4.88671875" style="1239" customWidth="1"/>
    <col min="10498" max="10498" width="13.21875" style="1239" customWidth="1"/>
    <col min="10499" max="10499" width="15.6640625" style="1239" customWidth="1"/>
    <col min="10500" max="10500" width="9.33203125" style="1239" bestFit="1" customWidth="1"/>
    <col min="10501" max="10501" width="13.44140625" style="1239" customWidth="1"/>
    <col min="10502" max="10502" width="9" style="1239"/>
    <col min="10503" max="10503" width="9.33203125" style="1239" bestFit="1" customWidth="1"/>
    <col min="10504" max="10505" width="9" style="1239"/>
    <col min="10506" max="10506" width="9.33203125" style="1239" bestFit="1" customWidth="1"/>
    <col min="10507" max="10507" width="4" style="1239" customWidth="1"/>
    <col min="10508" max="10508" width="5.109375" style="1239" customWidth="1"/>
    <col min="10509" max="10509" width="13.77734375" style="1239" customWidth="1"/>
    <col min="10510" max="10752" width="9" style="1239"/>
    <col min="10753" max="10753" width="4.88671875" style="1239" customWidth="1"/>
    <col min="10754" max="10754" width="13.21875" style="1239" customWidth="1"/>
    <col min="10755" max="10755" width="15.6640625" style="1239" customWidth="1"/>
    <col min="10756" max="10756" width="9.33203125" style="1239" bestFit="1" customWidth="1"/>
    <col min="10757" max="10757" width="13.44140625" style="1239" customWidth="1"/>
    <col min="10758" max="10758" width="9" style="1239"/>
    <col min="10759" max="10759" width="9.33203125" style="1239" bestFit="1" customWidth="1"/>
    <col min="10760" max="10761" width="9" style="1239"/>
    <col min="10762" max="10762" width="9.33203125" style="1239" bestFit="1" customWidth="1"/>
    <col min="10763" max="10763" width="4" style="1239" customWidth="1"/>
    <col min="10764" max="10764" width="5.109375" style="1239" customWidth="1"/>
    <col min="10765" max="10765" width="13.77734375" style="1239" customWidth="1"/>
    <col min="10766" max="11008" width="9" style="1239"/>
    <col min="11009" max="11009" width="4.88671875" style="1239" customWidth="1"/>
    <col min="11010" max="11010" width="13.21875" style="1239" customWidth="1"/>
    <col min="11011" max="11011" width="15.6640625" style="1239" customWidth="1"/>
    <col min="11012" max="11012" width="9.33203125" style="1239" bestFit="1" customWidth="1"/>
    <col min="11013" max="11013" width="13.44140625" style="1239" customWidth="1"/>
    <col min="11014" max="11014" width="9" style="1239"/>
    <col min="11015" max="11015" width="9.33203125" style="1239" bestFit="1" customWidth="1"/>
    <col min="11016" max="11017" width="9" style="1239"/>
    <col min="11018" max="11018" width="9.33203125" style="1239" bestFit="1" customWidth="1"/>
    <col min="11019" max="11019" width="4" style="1239" customWidth="1"/>
    <col min="11020" max="11020" width="5.109375" style="1239" customWidth="1"/>
    <col min="11021" max="11021" width="13.77734375" style="1239" customWidth="1"/>
    <col min="11022" max="11264" width="9" style="1239"/>
    <col min="11265" max="11265" width="4.88671875" style="1239" customWidth="1"/>
    <col min="11266" max="11266" width="13.21875" style="1239" customWidth="1"/>
    <col min="11267" max="11267" width="15.6640625" style="1239" customWidth="1"/>
    <col min="11268" max="11268" width="9.33203125" style="1239" bestFit="1" customWidth="1"/>
    <col min="11269" max="11269" width="13.44140625" style="1239" customWidth="1"/>
    <col min="11270" max="11270" width="9" style="1239"/>
    <col min="11271" max="11271" width="9.33203125" style="1239" bestFit="1" customWidth="1"/>
    <col min="11272" max="11273" width="9" style="1239"/>
    <col min="11274" max="11274" width="9.33203125" style="1239" bestFit="1" customWidth="1"/>
    <col min="11275" max="11275" width="4" style="1239" customWidth="1"/>
    <col min="11276" max="11276" width="5.109375" style="1239" customWidth="1"/>
    <col min="11277" max="11277" width="13.77734375" style="1239" customWidth="1"/>
    <col min="11278" max="11520" width="9" style="1239"/>
    <col min="11521" max="11521" width="4.88671875" style="1239" customWidth="1"/>
    <col min="11522" max="11522" width="13.21875" style="1239" customWidth="1"/>
    <col min="11523" max="11523" width="15.6640625" style="1239" customWidth="1"/>
    <col min="11524" max="11524" width="9.33203125" style="1239" bestFit="1" customWidth="1"/>
    <col min="11525" max="11525" width="13.44140625" style="1239" customWidth="1"/>
    <col min="11526" max="11526" width="9" style="1239"/>
    <col min="11527" max="11527" width="9.33203125" style="1239" bestFit="1" customWidth="1"/>
    <col min="11528" max="11529" width="9" style="1239"/>
    <col min="11530" max="11530" width="9.33203125" style="1239" bestFit="1" customWidth="1"/>
    <col min="11531" max="11531" width="4" style="1239" customWidth="1"/>
    <col min="11532" max="11532" width="5.109375" style="1239" customWidth="1"/>
    <col min="11533" max="11533" width="13.77734375" style="1239" customWidth="1"/>
    <col min="11534" max="11776" width="9" style="1239"/>
    <col min="11777" max="11777" width="4.88671875" style="1239" customWidth="1"/>
    <col min="11778" max="11778" width="13.21875" style="1239" customWidth="1"/>
    <col min="11779" max="11779" width="15.6640625" style="1239" customWidth="1"/>
    <col min="11780" max="11780" width="9.33203125" style="1239" bestFit="1" customWidth="1"/>
    <col min="11781" max="11781" width="13.44140625" style="1239" customWidth="1"/>
    <col min="11782" max="11782" width="9" style="1239"/>
    <col min="11783" max="11783" width="9.33203125" style="1239" bestFit="1" customWidth="1"/>
    <col min="11784" max="11785" width="9" style="1239"/>
    <col min="11786" max="11786" width="9.33203125" style="1239" bestFit="1" customWidth="1"/>
    <col min="11787" max="11787" width="4" style="1239" customWidth="1"/>
    <col min="11788" max="11788" width="5.109375" style="1239" customWidth="1"/>
    <col min="11789" max="11789" width="13.77734375" style="1239" customWidth="1"/>
    <col min="11790" max="12032" width="9" style="1239"/>
    <col min="12033" max="12033" width="4.88671875" style="1239" customWidth="1"/>
    <col min="12034" max="12034" width="13.21875" style="1239" customWidth="1"/>
    <col min="12035" max="12035" width="15.6640625" style="1239" customWidth="1"/>
    <col min="12036" max="12036" width="9.33203125" style="1239" bestFit="1" customWidth="1"/>
    <col min="12037" max="12037" width="13.44140625" style="1239" customWidth="1"/>
    <col min="12038" max="12038" width="9" style="1239"/>
    <col min="12039" max="12039" width="9.33203125" style="1239" bestFit="1" customWidth="1"/>
    <col min="12040" max="12041" width="9" style="1239"/>
    <col min="12042" max="12042" width="9.33203125" style="1239" bestFit="1" customWidth="1"/>
    <col min="12043" max="12043" width="4" style="1239" customWidth="1"/>
    <col min="12044" max="12044" width="5.109375" style="1239" customWidth="1"/>
    <col min="12045" max="12045" width="13.77734375" style="1239" customWidth="1"/>
    <col min="12046" max="12288" width="9" style="1239"/>
    <col min="12289" max="12289" width="4.88671875" style="1239" customWidth="1"/>
    <col min="12290" max="12290" width="13.21875" style="1239" customWidth="1"/>
    <col min="12291" max="12291" width="15.6640625" style="1239" customWidth="1"/>
    <col min="12292" max="12292" width="9.33203125" style="1239" bestFit="1" customWidth="1"/>
    <col min="12293" max="12293" width="13.44140625" style="1239" customWidth="1"/>
    <col min="12294" max="12294" width="9" style="1239"/>
    <col min="12295" max="12295" width="9.33203125" style="1239" bestFit="1" customWidth="1"/>
    <col min="12296" max="12297" width="9" style="1239"/>
    <col min="12298" max="12298" width="9.33203125" style="1239" bestFit="1" customWidth="1"/>
    <col min="12299" max="12299" width="4" style="1239" customWidth="1"/>
    <col min="12300" max="12300" width="5.109375" style="1239" customWidth="1"/>
    <col min="12301" max="12301" width="13.77734375" style="1239" customWidth="1"/>
    <col min="12302" max="12544" width="9" style="1239"/>
    <col min="12545" max="12545" width="4.88671875" style="1239" customWidth="1"/>
    <col min="12546" max="12546" width="13.21875" style="1239" customWidth="1"/>
    <col min="12547" max="12547" width="15.6640625" style="1239" customWidth="1"/>
    <col min="12548" max="12548" width="9.33203125" style="1239" bestFit="1" customWidth="1"/>
    <col min="12549" max="12549" width="13.44140625" style="1239" customWidth="1"/>
    <col min="12550" max="12550" width="9" style="1239"/>
    <col min="12551" max="12551" width="9.33203125" style="1239" bestFit="1" customWidth="1"/>
    <col min="12552" max="12553" width="9" style="1239"/>
    <col min="12554" max="12554" width="9.33203125" style="1239" bestFit="1" customWidth="1"/>
    <col min="12555" max="12555" width="4" style="1239" customWidth="1"/>
    <col min="12556" max="12556" width="5.109375" style="1239" customWidth="1"/>
    <col min="12557" max="12557" width="13.77734375" style="1239" customWidth="1"/>
    <col min="12558" max="12800" width="9" style="1239"/>
    <col min="12801" max="12801" width="4.88671875" style="1239" customWidth="1"/>
    <col min="12802" max="12802" width="13.21875" style="1239" customWidth="1"/>
    <col min="12803" max="12803" width="15.6640625" style="1239" customWidth="1"/>
    <col min="12804" max="12804" width="9.33203125" style="1239" bestFit="1" customWidth="1"/>
    <col min="12805" max="12805" width="13.44140625" style="1239" customWidth="1"/>
    <col min="12806" max="12806" width="9" style="1239"/>
    <col min="12807" max="12807" width="9.33203125" style="1239" bestFit="1" customWidth="1"/>
    <col min="12808" max="12809" width="9" style="1239"/>
    <col min="12810" max="12810" width="9.33203125" style="1239" bestFit="1" customWidth="1"/>
    <col min="12811" max="12811" width="4" style="1239" customWidth="1"/>
    <col min="12812" max="12812" width="5.109375" style="1239" customWidth="1"/>
    <col min="12813" max="12813" width="13.77734375" style="1239" customWidth="1"/>
    <col min="12814" max="13056" width="9" style="1239"/>
    <col min="13057" max="13057" width="4.88671875" style="1239" customWidth="1"/>
    <col min="13058" max="13058" width="13.21875" style="1239" customWidth="1"/>
    <col min="13059" max="13059" width="15.6640625" style="1239" customWidth="1"/>
    <col min="13060" max="13060" width="9.33203125" style="1239" bestFit="1" customWidth="1"/>
    <col min="13061" max="13061" width="13.44140625" style="1239" customWidth="1"/>
    <col min="13062" max="13062" width="9" style="1239"/>
    <col min="13063" max="13063" width="9.33203125" style="1239" bestFit="1" customWidth="1"/>
    <col min="13064" max="13065" width="9" style="1239"/>
    <col min="13066" max="13066" width="9.33203125" style="1239" bestFit="1" customWidth="1"/>
    <col min="13067" max="13067" width="4" style="1239" customWidth="1"/>
    <col min="13068" max="13068" width="5.109375" style="1239" customWidth="1"/>
    <col min="13069" max="13069" width="13.77734375" style="1239" customWidth="1"/>
    <col min="13070" max="13312" width="9" style="1239"/>
    <col min="13313" max="13313" width="4.88671875" style="1239" customWidth="1"/>
    <col min="13314" max="13314" width="13.21875" style="1239" customWidth="1"/>
    <col min="13315" max="13315" width="15.6640625" style="1239" customWidth="1"/>
    <col min="13316" max="13316" width="9.33203125" style="1239" bestFit="1" customWidth="1"/>
    <col min="13317" max="13317" width="13.44140625" style="1239" customWidth="1"/>
    <col min="13318" max="13318" width="9" style="1239"/>
    <col min="13319" max="13319" width="9.33203125" style="1239" bestFit="1" customWidth="1"/>
    <col min="13320" max="13321" width="9" style="1239"/>
    <col min="13322" max="13322" width="9.33203125" style="1239" bestFit="1" customWidth="1"/>
    <col min="13323" max="13323" width="4" style="1239" customWidth="1"/>
    <col min="13324" max="13324" width="5.109375" style="1239" customWidth="1"/>
    <col min="13325" max="13325" width="13.77734375" style="1239" customWidth="1"/>
    <col min="13326" max="13568" width="9" style="1239"/>
    <col min="13569" max="13569" width="4.88671875" style="1239" customWidth="1"/>
    <col min="13570" max="13570" width="13.21875" style="1239" customWidth="1"/>
    <col min="13571" max="13571" width="15.6640625" style="1239" customWidth="1"/>
    <col min="13572" max="13572" width="9.33203125" style="1239" bestFit="1" customWidth="1"/>
    <col min="13573" max="13573" width="13.44140625" style="1239" customWidth="1"/>
    <col min="13574" max="13574" width="9" style="1239"/>
    <col min="13575" max="13575" width="9.33203125" style="1239" bestFit="1" customWidth="1"/>
    <col min="13576" max="13577" width="9" style="1239"/>
    <col min="13578" max="13578" width="9.33203125" style="1239" bestFit="1" customWidth="1"/>
    <col min="13579" max="13579" width="4" style="1239" customWidth="1"/>
    <col min="13580" max="13580" width="5.109375" style="1239" customWidth="1"/>
    <col min="13581" max="13581" width="13.77734375" style="1239" customWidth="1"/>
    <col min="13582" max="13824" width="9" style="1239"/>
    <col min="13825" max="13825" width="4.88671875" style="1239" customWidth="1"/>
    <col min="13826" max="13826" width="13.21875" style="1239" customWidth="1"/>
    <col min="13827" max="13827" width="15.6640625" style="1239" customWidth="1"/>
    <col min="13828" max="13828" width="9.33203125" style="1239" bestFit="1" customWidth="1"/>
    <col min="13829" max="13829" width="13.44140625" style="1239" customWidth="1"/>
    <col min="13830" max="13830" width="9" style="1239"/>
    <col min="13831" max="13831" width="9.33203125" style="1239" bestFit="1" customWidth="1"/>
    <col min="13832" max="13833" width="9" style="1239"/>
    <col min="13834" max="13834" width="9.33203125" style="1239" bestFit="1" customWidth="1"/>
    <col min="13835" max="13835" width="4" style="1239" customWidth="1"/>
    <col min="13836" max="13836" width="5.109375" style="1239" customWidth="1"/>
    <col min="13837" max="13837" width="13.77734375" style="1239" customWidth="1"/>
    <col min="13838" max="14080" width="9" style="1239"/>
    <col min="14081" max="14081" width="4.88671875" style="1239" customWidth="1"/>
    <col min="14082" max="14082" width="13.21875" style="1239" customWidth="1"/>
    <col min="14083" max="14083" width="15.6640625" style="1239" customWidth="1"/>
    <col min="14084" max="14084" width="9.33203125" style="1239" bestFit="1" customWidth="1"/>
    <col min="14085" max="14085" width="13.44140625" style="1239" customWidth="1"/>
    <col min="14086" max="14086" width="9" style="1239"/>
    <col min="14087" max="14087" width="9.33203125" style="1239" bestFit="1" customWidth="1"/>
    <col min="14088" max="14089" width="9" style="1239"/>
    <col min="14090" max="14090" width="9.33203125" style="1239" bestFit="1" customWidth="1"/>
    <col min="14091" max="14091" width="4" style="1239" customWidth="1"/>
    <col min="14092" max="14092" width="5.109375" style="1239" customWidth="1"/>
    <col min="14093" max="14093" width="13.77734375" style="1239" customWidth="1"/>
    <col min="14094" max="14336" width="9" style="1239"/>
    <col min="14337" max="14337" width="4.88671875" style="1239" customWidth="1"/>
    <col min="14338" max="14338" width="13.21875" style="1239" customWidth="1"/>
    <col min="14339" max="14339" width="15.6640625" style="1239" customWidth="1"/>
    <col min="14340" max="14340" width="9.33203125" style="1239" bestFit="1" customWidth="1"/>
    <col min="14341" max="14341" width="13.44140625" style="1239" customWidth="1"/>
    <col min="14342" max="14342" width="9" style="1239"/>
    <col min="14343" max="14343" width="9.33203125" style="1239" bestFit="1" customWidth="1"/>
    <col min="14344" max="14345" width="9" style="1239"/>
    <col min="14346" max="14346" width="9.33203125" style="1239" bestFit="1" customWidth="1"/>
    <col min="14347" max="14347" width="4" style="1239" customWidth="1"/>
    <col min="14348" max="14348" width="5.109375" style="1239" customWidth="1"/>
    <col min="14349" max="14349" width="13.77734375" style="1239" customWidth="1"/>
    <col min="14350" max="14592" width="9" style="1239"/>
    <col min="14593" max="14593" width="4.88671875" style="1239" customWidth="1"/>
    <col min="14594" max="14594" width="13.21875" style="1239" customWidth="1"/>
    <col min="14595" max="14595" width="15.6640625" style="1239" customWidth="1"/>
    <col min="14596" max="14596" width="9.33203125" style="1239" bestFit="1" customWidth="1"/>
    <col min="14597" max="14597" width="13.44140625" style="1239" customWidth="1"/>
    <col min="14598" max="14598" width="9" style="1239"/>
    <col min="14599" max="14599" width="9.33203125" style="1239" bestFit="1" customWidth="1"/>
    <col min="14600" max="14601" width="9" style="1239"/>
    <col min="14602" max="14602" width="9.33203125" style="1239" bestFit="1" customWidth="1"/>
    <col min="14603" max="14603" width="4" style="1239" customWidth="1"/>
    <col min="14604" max="14604" width="5.109375" style="1239" customWidth="1"/>
    <col min="14605" max="14605" width="13.77734375" style="1239" customWidth="1"/>
    <col min="14606" max="14848" width="9" style="1239"/>
    <col min="14849" max="14849" width="4.88671875" style="1239" customWidth="1"/>
    <col min="14850" max="14850" width="13.21875" style="1239" customWidth="1"/>
    <col min="14851" max="14851" width="15.6640625" style="1239" customWidth="1"/>
    <col min="14852" max="14852" width="9.33203125" style="1239" bestFit="1" customWidth="1"/>
    <col min="14853" max="14853" width="13.44140625" style="1239" customWidth="1"/>
    <col min="14854" max="14854" width="9" style="1239"/>
    <col min="14855" max="14855" width="9.33203125" style="1239" bestFit="1" customWidth="1"/>
    <col min="14856" max="14857" width="9" style="1239"/>
    <col min="14858" max="14858" width="9.33203125" style="1239" bestFit="1" customWidth="1"/>
    <col min="14859" max="14859" width="4" style="1239" customWidth="1"/>
    <col min="14860" max="14860" width="5.109375" style="1239" customWidth="1"/>
    <col min="14861" max="14861" width="13.77734375" style="1239" customWidth="1"/>
    <col min="14862" max="15104" width="9" style="1239"/>
    <col min="15105" max="15105" width="4.88671875" style="1239" customWidth="1"/>
    <col min="15106" max="15106" width="13.21875" style="1239" customWidth="1"/>
    <col min="15107" max="15107" width="15.6640625" style="1239" customWidth="1"/>
    <col min="15108" max="15108" width="9.33203125" style="1239" bestFit="1" customWidth="1"/>
    <col min="15109" max="15109" width="13.44140625" style="1239" customWidth="1"/>
    <col min="15110" max="15110" width="9" style="1239"/>
    <col min="15111" max="15111" width="9.33203125" style="1239" bestFit="1" customWidth="1"/>
    <col min="15112" max="15113" width="9" style="1239"/>
    <col min="15114" max="15114" width="9.33203125" style="1239" bestFit="1" customWidth="1"/>
    <col min="15115" max="15115" width="4" style="1239" customWidth="1"/>
    <col min="15116" max="15116" width="5.109375" style="1239" customWidth="1"/>
    <col min="15117" max="15117" width="13.77734375" style="1239" customWidth="1"/>
    <col min="15118" max="15360" width="9" style="1239"/>
    <col min="15361" max="15361" width="4.88671875" style="1239" customWidth="1"/>
    <col min="15362" max="15362" width="13.21875" style="1239" customWidth="1"/>
    <col min="15363" max="15363" width="15.6640625" style="1239" customWidth="1"/>
    <col min="15364" max="15364" width="9.33203125" style="1239" bestFit="1" customWidth="1"/>
    <col min="15365" max="15365" width="13.44140625" style="1239" customWidth="1"/>
    <col min="15366" max="15366" width="9" style="1239"/>
    <col min="15367" max="15367" width="9.33203125" style="1239" bestFit="1" customWidth="1"/>
    <col min="15368" max="15369" width="9" style="1239"/>
    <col min="15370" max="15370" width="9.33203125" style="1239" bestFit="1" customWidth="1"/>
    <col min="15371" max="15371" width="4" style="1239" customWidth="1"/>
    <col min="15372" max="15372" width="5.109375" style="1239" customWidth="1"/>
    <col min="15373" max="15373" width="13.77734375" style="1239" customWidth="1"/>
    <col min="15374" max="15616" width="9" style="1239"/>
    <col min="15617" max="15617" width="4.88671875" style="1239" customWidth="1"/>
    <col min="15618" max="15618" width="13.21875" style="1239" customWidth="1"/>
    <col min="15619" max="15619" width="15.6640625" style="1239" customWidth="1"/>
    <col min="15620" max="15620" width="9.33203125" style="1239" bestFit="1" customWidth="1"/>
    <col min="15621" max="15621" width="13.44140625" style="1239" customWidth="1"/>
    <col min="15622" max="15622" width="9" style="1239"/>
    <col min="15623" max="15623" width="9.33203125" style="1239" bestFit="1" customWidth="1"/>
    <col min="15624" max="15625" width="9" style="1239"/>
    <col min="15626" max="15626" width="9.33203125" style="1239" bestFit="1" customWidth="1"/>
    <col min="15627" max="15627" width="4" style="1239" customWidth="1"/>
    <col min="15628" max="15628" width="5.109375" style="1239" customWidth="1"/>
    <col min="15629" max="15629" width="13.77734375" style="1239" customWidth="1"/>
    <col min="15630" max="15872" width="9" style="1239"/>
    <col min="15873" max="15873" width="4.88671875" style="1239" customWidth="1"/>
    <col min="15874" max="15874" width="13.21875" style="1239" customWidth="1"/>
    <col min="15875" max="15875" width="15.6640625" style="1239" customWidth="1"/>
    <col min="15876" max="15876" width="9.33203125" style="1239" bestFit="1" customWidth="1"/>
    <col min="15877" max="15877" width="13.44140625" style="1239" customWidth="1"/>
    <col min="15878" max="15878" width="9" style="1239"/>
    <col min="15879" max="15879" width="9.33203125" style="1239" bestFit="1" customWidth="1"/>
    <col min="15880" max="15881" width="9" style="1239"/>
    <col min="15882" max="15882" width="9.33203125" style="1239" bestFit="1" customWidth="1"/>
    <col min="15883" max="15883" width="4" style="1239" customWidth="1"/>
    <col min="15884" max="15884" width="5.109375" style="1239" customWidth="1"/>
    <col min="15885" max="15885" width="13.77734375" style="1239" customWidth="1"/>
    <col min="15886" max="16128" width="9" style="1239"/>
    <col min="16129" max="16129" width="4.88671875" style="1239" customWidth="1"/>
    <col min="16130" max="16130" width="13.21875" style="1239" customWidth="1"/>
    <col min="16131" max="16131" width="15.6640625" style="1239" customWidth="1"/>
    <col min="16132" max="16132" width="9.33203125" style="1239" bestFit="1" customWidth="1"/>
    <col min="16133" max="16133" width="13.44140625" style="1239" customWidth="1"/>
    <col min="16134" max="16134" width="9" style="1239"/>
    <col min="16135" max="16135" width="9.33203125" style="1239" bestFit="1" customWidth="1"/>
    <col min="16136" max="16137" width="9" style="1239"/>
    <col min="16138" max="16138" width="9.33203125" style="1239" bestFit="1" customWidth="1"/>
    <col min="16139" max="16139" width="4" style="1239" customWidth="1"/>
    <col min="16140" max="16140" width="5.109375" style="1239" customWidth="1"/>
    <col min="16141" max="16141" width="13.77734375" style="1239" customWidth="1"/>
    <col min="16142" max="16384" width="9" style="1239"/>
  </cols>
  <sheetData>
    <row r="1" spans="1:257" s="1301" customFormat="1" ht="15" thickBot="1">
      <c r="A1" s="1295"/>
      <c r="B1" s="1302" t="s">
        <v>602</v>
      </c>
      <c r="C1" s="1296">
        <f>项目基本情况!D3</f>
        <v>45478</v>
      </c>
      <c r="D1" s="1302" t="s">
        <v>603</v>
      </c>
      <c r="E1" s="1297">
        <f>'数据-取费表'!B22</f>
        <v>2</v>
      </c>
      <c r="F1" s="1302" t="s">
        <v>604</v>
      </c>
      <c r="G1" s="1298">
        <f ca="1">INDIRECT("d"&amp;$K$1)/100</f>
        <v>3.4500000000000003E-2</v>
      </c>
      <c r="H1" s="1302" t="s">
        <v>634</v>
      </c>
      <c r="I1" s="1298">
        <f ca="1">F4/100</f>
        <v>1.4999999999999999E-2</v>
      </c>
      <c r="J1" s="1303">
        <f>IF(C1&gt;C13,0,MATCH(C1,C$13:C$111,-1))+IF(SUMIF(C13:C111,C1,D13:D111)=0,13,12)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6"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3.45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3.45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3.45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3.45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399999999999999">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2">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31.2">
      <c r="A13" s="1284"/>
      <c r="B13" s="1285" t="s">
        <v>632</v>
      </c>
      <c r="C13" s="2821">
        <v>45159</v>
      </c>
      <c r="D13" s="2822">
        <v>3.45</v>
      </c>
      <c r="E13" s="2822">
        <f>D13</f>
        <v>3.45</v>
      </c>
      <c r="F13" s="2822">
        <f>D13</f>
        <v>3.45</v>
      </c>
      <c r="G13" s="2822">
        <f>D13</f>
        <v>3.45</v>
      </c>
      <c r="H13" s="2822">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5.6">
      <c r="A14" s="1284"/>
      <c r="B14" s="2816"/>
      <c r="C14" s="2818">
        <v>45097</v>
      </c>
      <c r="D14" s="2817">
        <v>3.55</v>
      </c>
      <c r="E14" s="2817">
        <f>D14</f>
        <v>3.55</v>
      </c>
      <c r="F14" s="2817">
        <f>D14</f>
        <v>3.55</v>
      </c>
      <c r="G14" s="2817">
        <f>D14</f>
        <v>3.55</v>
      </c>
      <c r="H14" s="2817">
        <v>4.2</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5.6">
      <c r="A15" s="1284"/>
      <c r="B15" s="2816"/>
      <c r="C15" s="2818">
        <v>44795</v>
      </c>
      <c r="D15" s="2817">
        <v>3.65</v>
      </c>
      <c r="E15" s="2817">
        <v>3.65</v>
      </c>
      <c r="F15" s="2817">
        <v>3.65</v>
      </c>
      <c r="G15" s="2817">
        <v>3.65</v>
      </c>
      <c r="H15" s="2817">
        <v>4.3</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5.6">
      <c r="A16" s="1284"/>
      <c r="B16" s="2816"/>
      <c r="C16" s="2818">
        <v>44701</v>
      </c>
      <c r="D16" s="2817">
        <v>3.7</v>
      </c>
      <c r="E16" s="2817">
        <f>D16</f>
        <v>3.7</v>
      </c>
      <c r="F16" s="2817">
        <f>D16</f>
        <v>3.7</v>
      </c>
      <c r="G16" s="2817">
        <f>D16</f>
        <v>3.7</v>
      </c>
      <c r="H16" s="2817">
        <v>4.45</v>
      </c>
      <c r="I16" s="2822"/>
      <c r="J16" s="2822"/>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5.6">
      <c r="A17" s="1284"/>
      <c r="B17" s="2816"/>
      <c r="C17" s="2818">
        <v>44581</v>
      </c>
      <c r="D17" s="2817">
        <v>3.7</v>
      </c>
      <c r="E17" s="2817">
        <f>D17</f>
        <v>3.7</v>
      </c>
      <c r="F17" s="2817">
        <f>D17</f>
        <v>3.7</v>
      </c>
      <c r="G17" s="2817">
        <f>D17</f>
        <v>3.7</v>
      </c>
      <c r="H17" s="2817">
        <v>4.5999999999999996</v>
      </c>
      <c r="I17" s="2822"/>
      <c r="J17" s="2822"/>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6.8">
      <c r="A18" s="1284"/>
      <c r="B18" s="2817"/>
      <c r="C18" s="2818">
        <v>44550</v>
      </c>
      <c r="D18" s="2817">
        <v>3.8</v>
      </c>
      <c r="E18" s="2817">
        <f>D18</f>
        <v>3.8</v>
      </c>
      <c r="F18" s="2817">
        <f>D18</f>
        <v>3.8</v>
      </c>
      <c r="G18" s="2817">
        <f>D18</f>
        <v>3.8</v>
      </c>
      <c r="H18" s="2817">
        <v>4.6500000000000004</v>
      </c>
      <c r="I18" s="2817"/>
      <c r="J18" s="2822"/>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5.6">
      <c r="A19" s="1284"/>
      <c r="B19" s="2817"/>
      <c r="C19" s="2818">
        <v>43941</v>
      </c>
      <c r="D19" s="2817">
        <v>3.85</v>
      </c>
      <c r="E19" s="2817">
        <v>3.85</v>
      </c>
      <c r="F19" s="2817">
        <v>3.85</v>
      </c>
      <c r="G19" s="2817">
        <v>3.85</v>
      </c>
      <c r="H19" s="2817">
        <v>4.6500000000000004</v>
      </c>
      <c r="I19" s="2817"/>
      <c r="J19" s="2817"/>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5.6">
      <c r="A20" s="1284"/>
      <c r="B20" s="2817"/>
      <c r="C20" s="2818">
        <v>43881</v>
      </c>
      <c r="D20" s="2817">
        <v>4.05</v>
      </c>
      <c r="E20" s="2817">
        <v>4.05</v>
      </c>
      <c r="F20" s="2817">
        <v>4.05</v>
      </c>
      <c r="G20" s="2817">
        <v>4.05</v>
      </c>
      <c r="H20" s="2817">
        <v>4.75</v>
      </c>
      <c r="I20" s="2817"/>
      <c r="J20" s="2817"/>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5.6">
      <c r="A21" s="1284"/>
      <c r="B21" s="2817"/>
      <c r="C21" s="2818">
        <v>43789</v>
      </c>
      <c r="D21" s="2817">
        <v>4.1500000000000004</v>
      </c>
      <c r="E21" s="2817">
        <v>4.1500000000000004</v>
      </c>
      <c r="F21" s="2817">
        <v>4.1500000000000004</v>
      </c>
      <c r="G21" s="2817">
        <v>4.1500000000000004</v>
      </c>
      <c r="H21" s="2817">
        <v>4.8</v>
      </c>
      <c r="I21" s="2817"/>
      <c r="J21" s="2817"/>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5.6">
      <c r="A22" s="1284"/>
      <c r="B22" s="2817"/>
      <c r="C22" s="2818">
        <v>43728</v>
      </c>
      <c r="D22" s="2817">
        <v>4.2</v>
      </c>
      <c r="E22" s="2817">
        <v>4.2</v>
      </c>
      <c r="F22" s="2817">
        <v>4.2</v>
      </c>
      <c r="G22" s="2817">
        <v>4.2</v>
      </c>
      <c r="H22" s="2817">
        <v>4.8499999999999996</v>
      </c>
      <c r="I22" s="2817"/>
      <c r="J22" s="2817"/>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5.6">
      <c r="A23" s="2823"/>
      <c r="B23" s="2816" t="s">
        <v>2313</v>
      </c>
      <c r="C23" s="2819">
        <v>43697</v>
      </c>
      <c r="D23" s="2820">
        <v>4.25</v>
      </c>
      <c r="E23" s="2820">
        <v>4.25</v>
      </c>
      <c r="F23" s="2820">
        <v>4.25</v>
      </c>
      <c r="G23" s="2820">
        <v>4.25</v>
      </c>
      <c r="H23" s="2820">
        <v>4.8499999999999996</v>
      </c>
      <c r="I23" s="2820"/>
      <c r="J23" s="2820"/>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ht="15.6">
      <c r="B24" s="2824"/>
      <c r="C24" s="2825">
        <v>42301</v>
      </c>
      <c r="D24" s="2826">
        <v>4.3499999999999996</v>
      </c>
      <c r="E24" s="2826">
        <v>4.3499999999999996</v>
      </c>
      <c r="F24" s="2826">
        <v>4.75</v>
      </c>
      <c r="G24" s="2826">
        <v>4.75</v>
      </c>
      <c r="H24" s="2826">
        <v>4.9000000000000004</v>
      </c>
      <c r="I24" s="2826"/>
      <c r="J24" s="2826"/>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42242</v>
      </c>
      <c r="D25" s="1290">
        <v>4.5999999999999996</v>
      </c>
      <c r="E25" s="1290">
        <v>4.5999999999999996</v>
      </c>
      <c r="F25" s="1290">
        <v>5</v>
      </c>
      <c r="G25" s="1290">
        <v>5</v>
      </c>
      <c r="H25" s="1290">
        <v>5.15</v>
      </c>
      <c r="I25" s="1290">
        <v>2.75</v>
      </c>
      <c r="J25" s="1290">
        <v>3.25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42183</v>
      </c>
      <c r="D26" s="1290">
        <v>4.8499999999999996</v>
      </c>
      <c r="E26" s="1290">
        <v>4.8499999999999996</v>
      </c>
      <c r="F26" s="1290">
        <v>5.25</v>
      </c>
      <c r="G26" s="1290">
        <v>5.25</v>
      </c>
      <c r="H26" s="1290">
        <v>5.4</v>
      </c>
      <c r="I26" s="1290">
        <v>3</v>
      </c>
      <c r="J26" s="1290">
        <v>3.5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42135</v>
      </c>
      <c r="D27" s="1290">
        <v>5.0999999999999996</v>
      </c>
      <c r="E27" s="1290">
        <v>5.0999999999999996</v>
      </c>
      <c r="F27" s="1290">
        <v>5.5</v>
      </c>
      <c r="G27" s="1290">
        <v>5.5</v>
      </c>
      <c r="H27" s="1290">
        <v>5.65</v>
      </c>
      <c r="I27" s="1290">
        <v>3.25</v>
      </c>
      <c r="J27" s="1290">
        <v>3.75</v>
      </c>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42064</v>
      </c>
      <c r="D28" s="1290">
        <v>5.35</v>
      </c>
      <c r="E28" s="1290">
        <v>5.35</v>
      </c>
      <c r="F28" s="1290">
        <v>5.75</v>
      </c>
      <c r="G28" s="1290">
        <v>5.75</v>
      </c>
      <c r="H28" s="1290">
        <v>5.9</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41965</v>
      </c>
      <c r="D29" s="1290">
        <v>5.6</v>
      </c>
      <c r="E29" s="1290">
        <v>5.6</v>
      </c>
      <c r="F29" s="1290">
        <v>6</v>
      </c>
      <c r="G29" s="1290">
        <v>6</v>
      </c>
      <c r="H29" s="1290">
        <v>6.15</v>
      </c>
      <c r="I29" s="1290"/>
      <c r="J29" s="1290"/>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41096</v>
      </c>
      <c r="D30" s="1290">
        <v>5.6</v>
      </c>
      <c r="E30" s="1290">
        <v>6</v>
      </c>
      <c r="F30" s="1290">
        <v>6.15</v>
      </c>
      <c r="G30" s="1290">
        <v>6.4</v>
      </c>
      <c r="H30" s="1290">
        <v>6.55</v>
      </c>
      <c r="I30" s="1290">
        <v>4</v>
      </c>
      <c r="J30" s="1290">
        <v>4.5</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41068</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40731</v>
      </c>
      <c r="D32" s="1290">
        <v>6.1</v>
      </c>
      <c r="E32" s="1290">
        <v>6.56</v>
      </c>
      <c r="F32" s="1290">
        <v>6.65</v>
      </c>
      <c r="G32" s="1290">
        <v>6.9</v>
      </c>
      <c r="H32" s="1290">
        <v>7.05</v>
      </c>
      <c r="I32" s="1290">
        <v>4.45</v>
      </c>
      <c r="J32" s="1290">
        <v>4.9000000000000004</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40639</v>
      </c>
      <c r="D33" s="1290">
        <v>5.85</v>
      </c>
      <c r="E33" s="1290">
        <v>6.31</v>
      </c>
      <c r="F33" s="1290">
        <v>6.4</v>
      </c>
      <c r="G33" s="1290">
        <v>6.65</v>
      </c>
      <c r="H33" s="1290">
        <v>6.8</v>
      </c>
      <c r="I33" s="1290">
        <v>4.2</v>
      </c>
      <c r="J33" s="1290">
        <v>4.7</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40583</v>
      </c>
      <c r="D34" s="1290">
        <v>5.6</v>
      </c>
      <c r="E34" s="1290">
        <v>6.06</v>
      </c>
      <c r="F34" s="1290">
        <v>6.1</v>
      </c>
      <c r="G34" s="1290">
        <v>6.45</v>
      </c>
      <c r="H34" s="1290">
        <v>6.6</v>
      </c>
      <c r="I34" s="1290">
        <v>4</v>
      </c>
      <c r="J34" s="1290">
        <v>4.5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40538</v>
      </c>
      <c r="D35" s="1290">
        <v>5.35</v>
      </c>
      <c r="E35" s="1290">
        <v>5.81</v>
      </c>
      <c r="F35" s="1290">
        <v>5.85</v>
      </c>
      <c r="G35" s="1290">
        <v>6.22</v>
      </c>
      <c r="H35" s="1290">
        <v>6.4</v>
      </c>
      <c r="I35" s="1290">
        <v>3.75</v>
      </c>
      <c r="J35" s="1290">
        <v>4.3</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40471</v>
      </c>
      <c r="D36" s="1290">
        <v>5.0999999999999996</v>
      </c>
      <c r="E36" s="1290">
        <v>5.56</v>
      </c>
      <c r="F36" s="1290">
        <v>5.6</v>
      </c>
      <c r="G36" s="1290">
        <v>5.96</v>
      </c>
      <c r="H36" s="1290">
        <v>6.14</v>
      </c>
      <c r="I36" s="1290">
        <v>3.5</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39805</v>
      </c>
      <c r="D37" s="1290">
        <v>4.8600000000000003</v>
      </c>
      <c r="E37" s="1290">
        <v>5.31</v>
      </c>
      <c r="F37" s="1290">
        <v>5.4</v>
      </c>
      <c r="G37" s="1290">
        <v>5.76</v>
      </c>
      <c r="H37" s="1290">
        <v>5.94</v>
      </c>
      <c r="I37" s="1290">
        <v>3.33</v>
      </c>
      <c r="J37" s="1290">
        <v>3.87</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39779</v>
      </c>
      <c r="D38" s="1290">
        <v>5.04</v>
      </c>
      <c r="E38" s="1290">
        <v>5.58</v>
      </c>
      <c r="F38" s="1290">
        <v>5.67</v>
      </c>
      <c r="G38" s="1290">
        <v>5.94</v>
      </c>
      <c r="H38" s="1290">
        <v>6.12</v>
      </c>
      <c r="I38" s="1290">
        <v>3.51</v>
      </c>
      <c r="J38" s="1290">
        <v>4.05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39751</v>
      </c>
      <c r="D39" s="1290">
        <v>6.03</v>
      </c>
      <c r="E39" s="1290">
        <v>6.66</v>
      </c>
      <c r="F39" s="1290">
        <v>6.75</v>
      </c>
      <c r="G39" s="1290">
        <v>7.02</v>
      </c>
      <c r="H39" s="1290">
        <v>7.2</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2">
        <v>39748</v>
      </c>
      <c r="D40" s="1290">
        <v>6.12</v>
      </c>
      <c r="E40" s="1290">
        <v>6.93</v>
      </c>
      <c r="F40" s="1290">
        <v>7.02</v>
      </c>
      <c r="G40" s="1290">
        <v>7.29</v>
      </c>
      <c r="H40" s="1290">
        <v>7.47</v>
      </c>
      <c r="I40" s="1290">
        <v>4.05</v>
      </c>
      <c r="J40" s="1290">
        <v>4.59</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39730</v>
      </c>
      <c r="D41" s="1290">
        <v>6.12</v>
      </c>
      <c r="E41" s="1290">
        <v>6.93</v>
      </c>
      <c r="F41" s="1290">
        <v>7.02</v>
      </c>
      <c r="G41" s="1290">
        <v>7.29</v>
      </c>
      <c r="H41" s="1290">
        <v>7.47</v>
      </c>
      <c r="I41" s="1290">
        <v>4.32</v>
      </c>
      <c r="J41" s="1290">
        <v>4.8600000000000003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39707</v>
      </c>
      <c r="D42" s="1290">
        <v>6.21</v>
      </c>
      <c r="E42" s="1290">
        <v>7.2</v>
      </c>
      <c r="F42" s="1290">
        <v>7.29</v>
      </c>
      <c r="G42" s="1290">
        <v>7.56</v>
      </c>
      <c r="H42" s="1290">
        <v>7.74</v>
      </c>
      <c r="I42" s="1290">
        <v>4.59</v>
      </c>
      <c r="J42" s="1290">
        <v>5.13</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39437</v>
      </c>
      <c r="D43" s="1290">
        <v>6.57</v>
      </c>
      <c r="E43" s="1290">
        <v>7.47</v>
      </c>
      <c r="F43" s="1290">
        <v>7.56</v>
      </c>
      <c r="G43" s="1290">
        <v>7.74</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39340</v>
      </c>
      <c r="D44" s="1290">
        <v>6.48</v>
      </c>
      <c r="E44" s="1290">
        <v>7.29</v>
      </c>
      <c r="F44" s="1290">
        <v>7.47</v>
      </c>
      <c r="G44" s="1290">
        <v>7.65</v>
      </c>
      <c r="H44" s="1290">
        <v>7.83</v>
      </c>
      <c r="I44" s="1290">
        <v>4.7699999999999996</v>
      </c>
      <c r="J44" s="1290">
        <v>5.22</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39316</v>
      </c>
      <c r="D45" s="1290">
        <v>6.21</v>
      </c>
      <c r="E45" s="1290">
        <v>7.02</v>
      </c>
      <c r="F45" s="1290">
        <v>7.2</v>
      </c>
      <c r="G45" s="1290">
        <v>7.38</v>
      </c>
      <c r="H45" s="1290">
        <v>7.56</v>
      </c>
      <c r="I45" s="1290">
        <v>4.59</v>
      </c>
      <c r="J45" s="1290">
        <v>5.04</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39284</v>
      </c>
      <c r="D46" s="1290">
        <v>6.03</v>
      </c>
      <c r="E46" s="1290">
        <v>6.84</v>
      </c>
      <c r="F46" s="1290">
        <v>7.02</v>
      </c>
      <c r="G46" s="1290">
        <v>7.2</v>
      </c>
      <c r="H46" s="1290">
        <v>7.38</v>
      </c>
      <c r="I46" s="1290">
        <v>4.5</v>
      </c>
      <c r="J46" s="1290">
        <v>4.95</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39221</v>
      </c>
      <c r="D47" s="1290">
        <v>5.85</v>
      </c>
      <c r="E47" s="1290">
        <v>6.57</v>
      </c>
      <c r="F47" s="1290">
        <v>6.75</v>
      </c>
      <c r="G47" s="1290">
        <v>6.93</v>
      </c>
      <c r="H47" s="1290">
        <v>7.2</v>
      </c>
      <c r="I47" s="1290">
        <v>4.41</v>
      </c>
      <c r="J47" s="1290">
        <v>4.8600000000000003</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39159</v>
      </c>
      <c r="D48" s="1290">
        <v>5.67</v>
      </c>
      <c r="E48" s="1290">
        <v>6.39</v>
      </c>
      <c r="F48" s="1290">
        <v>6.57</v>
      </c>
      <c r="G48" s="1290">
        <v>6.75</v>
      </c>
      <c r="H48" s="1290">
        <v>7.11</v>
      </c>
      <c r="I48" s="1290">
        <v>4.32</v>
      </c>
      <c r="J48" s="1290">
        <v>4.7699999999999996</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38948</v>
      </c>
      <c r="D49" s="1290">
        <v>5.58</v>
      </c>
      <c r="E49" s="1290">
        <v>6.12</v>
      </c>
      <c r="F49" s="1290">
        <v>6.3</v>
      </c>
      <c r="G49" s="1290">
        <v>6.48</v>
      </c>
      <c r="H49" s="1290">
        <v>6.84</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38835</v>
      </c>
      <c r="D50" s="1290">
        <v>5.4</v>
      </c>
      <c r="E50" s="1290">
        <v>5.85</v>
      </c>
      <c r="F50" s="1290">
        <v>6.03</v>
      </c>
      <c r="G50" s="1290">
        <v>6.12</v>
      </c>
      <c r="H50" s="1290">
        <v>6.39</v>
      </c>
      <c r="I50" s="1290">
        <v>4.1399999999999997</v>
      </c>
      <c r="J50" s="1290">
        <v>4.59</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38428</v>
      </c>
      <c r="D51" s="1290">
        <v>5.22</v>
      </c>
      <c r="E51" s="1290">
        <v>5.58</v>
      </c>
      <c r="F51" s="1290">
        <v>5.76</v>
      </c>
      <c r="G51" s="1290">
        <v>5.85</v>
      </c>
      <c r="H51" s="1290">
        <v>6.12</v>
      </c>
      <c r="I51" s="1290">
        <v>3.96</v>
      </c>
      <c r="J51" s="1290">
        <v>4.41</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38289</v>
      </c>
      <c r="D52" s="1290">
        <v>5.22</v>
      </c>
      <c r="E52" s="1290">
        <v>5.58</v>
      </c>
      <c r="F52" s="1290">
        <v>5.76</v>
      </c>
      <c r="G52" s="1290">
        <v>5.85</v>
      </c>
      <c r="H52" s="1290">
        <v>6.12</v>
      </c>
      <c r="I52" s="1290">
        <v>3.78</v>
      </c>
      <c r="J52" s="1290">
        <v>4.2300000000000004</v>
      </c>
      <c r="L52" s="1290"/>
      <c r="M52" s="1291"/>
      <c r="N52" s="1290"/>
      <c r="O52" s="1290"/>
      <c r="P52" s="1290"/>
      <c r="Q52" s="1290"/>
      <c r="R52" s="1290"/>
      <c r="S52" s="1290"/>
      <c r="T52" s="1290"/>
      <c r="U52" s="1290"/>
      <c r="V52" s="1290"/>
      <c r="W52" s="1290"/>
      <c r="X52" s="1290"/>
      <c r="Y52" s="1290"/>
      <c r="Z52" s="1290"/>
    </row>
    <row r="53" spans="2:26">
      <c r="B53" s="1290"/>
      <c r="C53" s="1291">
        <v>37308</v>
      </c>
      <c r="D53" s="1290">
        <v>5.04</v>
      </c>
      <c r="E53" s="1290">
        <v>5.31</v>
      </c>
      <c r="F53" s="1290">
        <v>5.49</v>
      </c>
      <c r="G53" s="1290">
        <v>5.58</v>
      </c>
      <c r="H53" s="1290">
        <v>5.76</v>
      </c>
      <c r="I53" s="1290">
        <v>3.6</v>
      </c>
      <c r="J53" s="1290">
        <v>4.05</v>
      </c>
      <c r="L53" s="1290"/>
      <c r="M53" s="1291"/>
      <c r="N53" s="1290"/>
      <c r="O53" s="1290"/>
      <c r="P53" s="1290"/>
      <c r="Q53" s="1290"/>
      <c r="R53" s="1290"/>
      <c r="S53" s="1290"/>
      <c r="T53" s="1290"/>
      <c r="U53" s="1290"/>
      <c r="V53" s="1290"/>
      <c r="W53" s="1290"/>
      <c r="X53" s="1290"/>
      <c r="Y53" s="1290"/>
      <c r="Z53" s="1290"/>
    </row>
    <row r="54" spans="2:26">
      <c r="B54" s="1290"/>
      <c r="C54" s="1291">
        <v>36321</v>
      </c>
      <c r="D54" s="1290">
        <v>5.58</v>
      </c>
      <c r="E54" s="1290">
        <v>5.85</v>
      </c>
      <c r="F54" s="1290">
        <v>5.94</v>
      </c>
      <c r="G54" s="1290">
        <v>6.03</v>
      </c>
      <c r="H54" s="1290">
        <v>6.21</v>
      </c>
      <c r="I54" s="1290">
        <v>4.1399999999999997</v>
      </c>
      <c r="J54" s="1290">
        <v>4.59</v>
      </c>
      <c r="L54" s="1290"/>
      <c r="M54" s="1291"/>
      <c r="N54" s="1290"/>
      <c r="O54" s="1290"/>
      <c r="P54" s="1290"/>
      <c r="Q54" s="1290"/>
      <c r="R54" s="1290"/>
      <c r="S54" s="1290"/>
      <c r="T54" s="1290"/>
      <c r="U54" s="1290"/>
      <c r="V54" s="1290"/>
      <c r="W54" s="1290"/>
      <c r="X54" s="1290"/>
      <c r="Y54" s="1290"/>
      <c r="Z54" s="1290"/>
    </row>
    <row r="55" spans="2:26">
      <c r="B55" s="1290"/>
      <c r="C55" s="1291">
        <v>36136</v>
      </c>
      <c r="D55" s="1290">
        <v>6.12</v>
      </c>
      <c r="E55" s="1290">
        <v>6.39</v>
      </c>
      <c r="F55" s="1290">
        <v>6.66</v>
      </c>
      <c r="G55" s="1290">
        <v>7.2</v>
      </c>
      <c r="H55" s="1290">
        <v>7.56</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35977</v>
      </c>
      <c r="D56" s="1290">
        <v>6.57</v>
      </c>
      <c r="E56" s="1290">
        <v>6.93</v>
      </c>
      <c r="F56" s="1290">
        <v>7.11</v>
      </c>
      <c r="G56" s="1290">
        <v>7.65</v>
      </c>
      <c r="H56" s="1290">
        <v>8.01</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35879</v>
      </c>
      <c r="D57" s="1290">
        <v>7.02</v>
      </c>
      <c r="E57" s="1290">
        <v>7.92</v>
      </c>
      <c r="F57" s="1290">
        <v>9</v>
      </c>
      <c r="G57" s="1290">
        <v>9.7200000000000006</v>
      </c>
      <c r="H57" s="1290">
        <v>10.35</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35726</v>
      </c>
      <c r="D58" s="1290">
        <v>7.65</v>
      </c>
      <c r="E58" s="1290">
        <v>8.64</v>
      </c>
      <c r="F58" s="1290">
        <v>9.36</v>
      </c>
      <c r="G58" s="1290">
        <v>9.9</v>
      </c>
      <c r="H58" s="1290">
        <v>10.53</v>
      </c>
      <c r="I58" s="1290">
        <v>0</v>
      </c>
      <c r="J58" s="1290">
        <v>0</v>
      </c>
    </row>
    <row r="59" spans="2:26">
      <c r="B59" s="1290"/>
      <c r="C59" s="1291">
        <v>35300</v>
      </c>
      <c r="D59" s="1290">
        <v>9.18</v>
      </c>
      <c r="E59" s="1290">
        <v>10.08</v>
      </c>
      <c r="F59" s="1290">
        <v>10.98</v>
      </c>
      <c r="G59" s="1290">
        <v>11.7</v>
      </c>
      <c r="H59" s="1290">
        <v>12.42</v>
      </c>
      <c r="I59" s="1290">
        <v>0</v>
      </c>
      <c r="J59" s="1290">
        <v>0</v>
      </c>
    </row>
    <row r="60" spans="2:26">
      <c r="B60" s="1290"/>
      <c r="C60" s="1291">
        <v>35186</v>
      </c>
      <c r="D60" s="1290">
        <v>9.7200000000000006</v>
      </c>
      <c r="E60" s="1290">
        <v>10.98</v>
      </c>
      <c r="F60" s="1290">
        <v>13.14</v>
      </c>
      <c r="G60" s="1290">
        <v>14.94</v>
      </c>
      <c r="H60" s="1290">
        <v>15.12</v>
      </c>
      <c r="I60" s="1290">
        <v>0</v>
      </c>
      <c r="J60" s="1290">
        <v>0</v>
      </c>
    </row>
    <row r="61" spans="2:26">
      <c r="B61" s="1290"/>
      <c r="C61" s="1291">
        <v>34881</v>
      </c>
      <c r="D61" s="1290">
        <v>10.08</v>
      </c>
      <c r="E61" s="1290">
        <v>12.06</v>
      </c>
      <c r="F61" s="1290">
        <v>13.5</v>
      </c>
      <c r="G61" s="1290">
        <v>15.12</v>
      </c>
      <c r="H61" s="1290">
        <v>15.3</v>
      </c>
      <c r="I61" s="1290">
        <v>0</v>
      </c>
      <c r="J61" s="1290">
        <v>0</v>
      </c>
    </row>
    <row r="62" spans="2:26">
      <c r="B62" s="1290"/>
      <c r="C62" s="1291">
        <v>34700</v>
      </c>
      <c r="D62" s="1290">
        <v>9</v>
      </c>
      <c r="E62" s="1290">
        <v>10.98</v>
      </c>
      <c r="F62" s="1290">
        <v>12.96</v>
      </c>
      <c r="G62" s="1290">
        <v>14.58</v>
      </c>
      <c r="H62" s="1290">
        <v>14.76</v>
      </c>
      <c r="I62" s="1290">
        <v>0</v>
      </c>
      <c r="J62" s="1290">
        <v>0</v>
      </c>
    </row>
    <row r="63" spans="2:26">
      <c r="B63" s="1290"/>
      <c r="C63" s="1291">
        <v>34161</v>
      </c>
      <c r="D63" s="1290">
        <v>9</v>
      </c>
      <c r="E63" s="1290">
        <v>10.98</v>
      </c>
      <c r="F63" s="1290">
        <v>12.24</v>
      </c>
      <c r="G63" s="1290">
        <v>13.86</v>
      </c>
      <c r="H63" s="1290">
        <v>14.04</v>
      </c>
      <c r="I63" s="1290">
        <v>0</v>
      </c>
      <c r="J63" s="1290">
        <v>0</v>
      </c>
    </row>
    <row r="64" spans="2:26">
      <c r="B64" s="1290"/>
      <c r="C64" s="1291">
        <v>34104</v>
      </c>
      <c r="D64" s="1290">
        <v>8.82</v>
      </c>
      <c r="E64" s="1290">
        <v>9.36</v>
      </c>
      <c r="F64" s="1290">
        <v>10.8</v>
      </c>
      <c r="G64" s="1290">
        <v>12.06</v>
      </c>
      <c r="H64" s="1290">
        <v>12.24</v>
      </c>
      <c r="I64" s="1290">
        <v>0</v>
      </c>
      <c r="J64" s="1290">
        <v>0</v>
      </c>
    </row>
    <row r="65" spans="2:10">
      <c r="B65" s="1290"/>
      <c r="C65" s="1291">
        <v>33349</v>
      </c>
      <c r="D65" s="1290">
        <v>8.1</v>
      </c>
      <c r="E65" s="1290">
        <v>8.64</v>
      </c>
      <c r="F65" s="1290">
        <v>9</v>
      </c>
      <c r="G65" s="1290">
        <v>9.5399999999999991</v>
      </c>
      <c r="H65" s="1290">
        <v>9.7200000000000006</v>
      </c>
      <c r="I65" s="1290">
        <v>0</v>
      </c>
      <c r="J65" s="1290">
        <v>0</v>
      </c>
    </row>
    <row r="66" spans="2:10">
      <c r="B66" s="1290"/>
      <c r="C66" s="1291">
        <v>33318</v>
      </c>
      <c r="D66" s="1290">
        <v>9</v>
      </c>
      <c r="E66" s="1290">
        <v>10.08</v>
      </c>
      <c r="F66" s="1290">
        <v>10.8</v>
      </c>
      <c r="G66" s="1290">
        <v>11.52</v>
      </c>
      <c r="H66" s="1290">
        <v>11.88</v>
      </c>
      <c r="I66" s="1290" t="s">
        <v>633</v>
      </c>
      <c r="J66" s="1290" t="s">
        <v>633</v>
      </c>
    </row>
    <row r="67" spans="2:10">
      <c r="B67" s="1290"/>
      <c r="C67" s="1291">
        <v>33106</v>
      </c>
      <c r="D67" s="1290">
        <v>8.64</v>
      </c>
      <c r="E67" s="1290">
        <v>9.36</v>
      </c>
      <c r="F67" s="1290">
        <v>10.08</v>
      </c>
      <c r="G67" s="1290">
        <v>10.8</v>
      </c>
      <c r="H67" s="1290">
        <v>11.16</v>
      </c>
      <c r="I67" s="1290">
        <v>0</v>
      </c>
      <c r="J67" s="1290">
        <v>0</v>
      </c>
    </row>
    <row r="68" spans="2:10">
      <c r="B68" s="1290"/>
      <c r="C68" s="1291">
        <v>32540</v>
      </c>
      <c r="D68" s="1290">
        <v>11.34</v>
      </c>
      <c r="E68" s="1290">
        <v>11.34</v>
      </c>
      <c r="F68" s="1290">
        <v>12.78</v>
      </c>
      <c r="G68" s="1290">
        <v>14.4</v>
      </c>
      <c r="H68" s="1290">
        <v>19.260000000000002</v>
      </c>
      <c r="I68" s="1290">
        <v>0</v>
      </c>
      <c r="J68" s="1290">
        <v>0</v>
      </c>
    </row>
    <row r="69" spans="2:10">
      <c r="B69" s="1290"/>
      <c r="C69" s="1291"/>
      <c r="D69" s="1290"/>
      <c r="E69" s="1290"/>
      <c r="F69" s="1290"/>
      <c r="G69" s="1290"/>
      <c r="H69" s="1290"/>
      <c r="I69" s="1290"/>
      <c r="J69" s="1290"/>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93"/>
      <c r="C72" s="1294"/>
      <c r="D72" s="1293"/>
      <c r="E72" s="1293"/>
      <c r="F72" s="1293"/>
      <c r="G72" s="1293"/>
      <c r="H72" s="1293"/>
      <c r="I72" s="1293"/>
      <c r="J72" s="1293"/>
    </row>
    <row r="73" spans="2:10">
      <c r="B73" s="1242"/>
      <c r="C73" s="1242"/>
      <c r="D73" s="1242"/>
      <c r="E73" s="1242"/>
      <c r="F73" s="1242"/>
      <c r="G73" s="1242"/>
      <c r="H73" s="1242"/>
      <c r="I73" s="1242"/>
      <c r="J73" s="1242"/>
    </row>
    <row r="74" spans="2:10">
      <c r="B74" s="1242"/>
      <c r="C74" s="1242"/>
      <c r="D74" s="1242"/>
      <c r="E74" s="1242"/>
      <c r="F74" s="1242"/>
      <c r="G74" s="1242"/>
      <c r="H74" s="1242"/>
      <c r="I74" s="1242"/>
      <c r="J74" s="1242"/>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58</vt:i4>
      </vt:variant>
      <vt:variant>
        <vt:lpstr>命名范围</vt:lpstr>
      </vt:variant>
      <vt:variant>
        <vt:i4>182</vt:i4>
      </vt:variant>
    </vt:vector>
  </HeadingPairs>
  <TitlesOfParts>
    <vt:vector size="24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Sheet6</vt:lpstr>
      <vt:lpstr>结果</vt:lpstr>
      <vt:lpstr>Sheet2</vt:lpstr>
      <vt:lpstr>Sheet1</vt:lpstr>
      <vt:lpstr>面积</vt:lpstr>
      <vt:lpstr>数据-取费表</vt:lpstr>
      <vt:lpstr>估价对象房地状况</vt:lpstr>
      <vt:lpstr>结果表</vt:lpstr>
      <vt:lpstr>收益法倒推租金-商业</vt:lpstr>
      <vt:lpstr>售价比较法-商业</vt:lpstr>
      <vt:lpstr>商业售价案例</vt:lpstr>
      <vt:lpstr>租金比较法-商业</vt:lpstr>
      <vt:lpstr>商业租金案例</vt:lpstr>
      <vt:lpstr>成本法</vt:lpstr>
      <vt:lpstr>成本法 (元)</vt:lpstr>
      <vt:lpstr>假设开发法</vt:lpstr>
      <vt:lpstr>收益法</vt:lpstr>
      <vt:lpstr>收益法 (元)</vt:lpstr>
      <vt:lpstr>收益法-酒店模型</vt:lpstr>
      <vt:lpstr>收益法（汇总）</vt:lpstr>
      <vt:lpstr>比较法-住宅</vt:lpstr>
      <vt:lpstr>收益法倒推租金-办公</vt:lpstr>
      <vt:lpstr>售价比较法-办公 </vt:lpstr>
      <vt:lpstr>办公售价案例</vt:lpstr>
      <vt:lpstr>租金比较法-办公</vt:lpstr>
      <vt:lpstr>办公租金案例</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系统读取表</vt:lpstr>
      <vt:lpstr>存贷款利率</vt:lpstr>
      <vt:lpstr>'比较法-仓储'!Print_Area</vt:lpstr>
      <vt:lpstr>'比较法-车位'!Print_Area</vt:lpstr>
      <vt:lpstr>'比较法-工业'!Print_Area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'收益法倒推租金-商业'!Print_Area</vt:lpstr>
      <vt:lpstr>'售价比较法-办公 '!Print_Area</vt:lpstr>
      <vt:lpstr>'售价比较法-商业'!Print_Area</vt:lpstr>
      <vt:lpstr>'数据-汇总表'!Print_Area</vt:lpstr>
      <vt:lpstr>'土地比较法-工业'!Print_Area</vt:lpstr>
      <vt:lpstr>'土地比较法-住宅、综合'!Print_Area</vt:lpstr>
      <vt:lpstr>系统读取表!Print_Area</vt:lpstr>
      <vt:lpstr>项目基本情况!Print_Area</vt:lpstr>
      <vt:lpstr>'租金比较法-办公'!Print_Area</vt:lpstr>
      <vt:lpstr>'租金比较法-商业'!Print_Area</vt:lpstr>
      <vt:lpstr>八级</vt:lpstr>
      <vt:lpstr>'售价比较法-办公 '!办公层高</vt:lpstr>
      <vt:lpstr>办公层高</vt:lpstr>
      <vt:lpstr>'售价比较法-办公 '!办公朝向</vt:lpstr>
      <vt:lpstr>办公朝向</vt:lpstr>
      <vt:lpstr>'售价比较法-办公 '!办公道路级别</vt:lpstr>
      <vt:lpstr>办公道路级别</vt:lpstr>
      <vt:lpstr>'售价比较法-办公 '!办公公共部分装修</vt:lpstr>
      <vt:lpstr>办公公共部分装修</vt:lpstr>
      <vt:lpstr>'售价比较法-办公 '!办公基础设施水平</vt:lpstr>
      <vt:lpstr>办公基础设施水平</vt:lpstr>
      <vt:lpstr>办公集聚程度</vt:lpstr>
      <vt:lpstr>'售价比较法-办公 '!办公建筑结构</vt:lpstr>
      <vt:lpstr>办公建筑结构</vt:lpstr>
      <vt:lpstr>'售价比较法-办公 '!办公建筑类型</vt:lpstr>
      <vt:lpstr>办公建筑类型</vt:lpstr>
      <vt:lpstr>'售价比较法-办公 '!办公交易情况</vt:lpstr>
      <vt:lpstr>办公交易情况</vt:lpstr>
      <vt:lpstr>'售价比较法-办公 '!办公楼层</vt:lpstr>
      <vt:lpstr>办公楼层</vt:lpstr>
      <vt:lpstr>'售价比较法-办公 '!办公内部装修</vt:lpstr>
      <vt:lpstr>办公内部装修</vt:lpstr>
      <vt:lpstr>'售价比较法-办公 '!办公物业管理</vt:lpstr>
      <vt:lpstr>办公物业管理</vt:lpstr>
      <vt:lpstr>'售价比较法-办公 '!办公用途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'售价比较法-商业'!商业层高</vt:lpstr>
      <vt:lpstr>商业层高</vt:lpstr>
      <vt:lpstr>'售价比较法-商业'!商业成新度</vt:lpstr>
      <vt:lpstr>商业成新度</vt:lpstr>
      <vt:lpstr>商业繁华度</vt:lpstr>
      <vt:lpstr>'售价比较法-商业'!商业公共部分装修</vt:lpstr>
      <vt:lpstr>商业公共部分装修</vt:lpstr>
      <vt:lpstr>'售价比较法-商业'!商业基础设施水平</vt:lpstr>
      <vt:lpstr>商业基础设施水平</vt:lpstr>
      <vt:lpstr>'售价比较法-商业'!商业建筑结构</vt:lpstr>
      <vt:lpstr>商业建筑结构</vt:lpstr>
      <vt:lpstr>'售价比较法-商业'!商业交易情况</vt:lpstr>
      <vt:lpstr>商业交易情况</vt:lpstr>
      <vt:lpstr>商业街名称</vt:lpstr>
      <vt:lpstr>'售价比较法-商业'!商业进深比</vt:lpstr>
      <vt:lpstr>商业进深比</vt:lpstr>
      <vt:lpstr>'售价比较法-商业'!商业类型</vt:lpstr>
      <vt:lpstr>商业类型</vt:lpstr>
      <vt:lpstr>'售价比较法-商业'!商业临街状况</vt:lpstr>
      <vt:lpstr>商业临街状况</vt:lpstr>
      <vt:lpstr>'售价比较法-商业'!商业楼层</vt:lpstr>
      <vt:lpstr>商业楼层</vt:lpstr>
      <vt:lpstr>'售价比较法-商业'!商业内部装修</vt:lpstr>
      <vt:lpstr>商业内部装修</vt:lpstr>
      <vt:lpstr>'售价比较法-商业'!商业人流量</vt:lpstr>
      <vt:lpstr>商业人流量</vt:lpstr>
      <vt:lpstr>'售价比较法-商业'!商业业态</vt:lpstr>
      <vt:lpstr>商业业态</vt:lpstr>
      <vt:lpstr>'售价比较法-商业'!商业用途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'售价比较法-办公 '!写字楼等级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win10</cp:lastModifiedBy>
  <cp:lastPrinted>2024-07-15T07:41:56Z</cp:lastPrinted>
  <dcterms:created xsi:type="dcterms:W3CDTF">2015-07-13T07:17:23Z</dcterms:created>
  <dcterms:modified xsi:type="dcterms:W3CDTF">2024-08-05T07:52:36Z</dcterms:modified>
</cp:coreProperties>
</file>