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state="hidden" r:id="rId16"/>
    <sheet name="结果表 (1修多)" sheetId="57" r:id="rId17"/>
    <sheet name="比较法-商业" sheetId="33" r:id="rId18"/>
    <sheet name="比较法案例" sheetId="65" r:id="rId19"/>
    <sheet name="成本法" sheetId="11" state="hidden" r:id="rId20"/>
    <sheet name="假设开发法" sheetId="12" state="hidden" r:id="rId21"/>
    <sheet name="收益法" sheetId="15" r:id="rId22"/>
    <sheet name="典型户型修正" sheetId="31" r:id="rId23"/>
    <sheet name="收益法-酒店模型" sheetId="63"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4">'比较法-住宅'!$A$1:$K$54,'比较法-住宅'!$A$57:$M$131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收益法!$A$1:$F$43,收益法!$H$3:$M$43,收益法!$A$47:$F$72,收益法!$I$47:$N$66,收益法!$O$42,收益法!$O$43:$R$73</definedName>
    <definedName name="_xlnm.Print_Area" localSheetId="12">'数据-取费表'!$A$1:$F$51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3" i="33" l="1"/>
  <c r="D7" i="64"/>
  <c r="H20" i="1"/>
  <c r="E4" i="64"/>
  <c r="C13" i="4"/>
  <c r="I3" i="64"/>
  <c r="I2" i="64"/>
  <c r="C6" i="64" l="1"/>
  <c r="C5" i="64"/>
  <c r="B28" i="31" l="1"/>
  <c r="D14" i="57"/>
  <c r="G20" i="1" l="1"/>
  <c r="E5" i="1"/>
  <c r="B4" i="64"/>
  <c r="C12" i="4"/>
  <c r="G2" i="64"/>
  <c r="G3" i="64" s="1"/>
  <c r="D2" i="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62" i="15"/>
  <c r="F36" i="15"/>
  <c r="F65" i="15" s="1"/>
  <c r="F13" i="15"/>
  <c r="F37" i="15"/>
  <c r="F66" i="15" s="1"/>
  <c r="F38" i="15"/>
  <c r="F67" i="15" s="1"/>
  <c r="M6" i="15"/>
  <c r="M8" i="15"/>
  <c r="M9" i="15"/>
  <c r="F6" i="15"/>
  <c r="G7" i="15" s="1"/>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7" i="31" s="1"/>
  <c r="M28" i="31" s="1"/>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s="1"/>
  <c r="G117" i="33" s="1"/>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6" i="11" s="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E2" i="21"/>
  <c r="E2" i="33"/>
  <c r="F6" i="61"/>
  <c r="C20" i="9"/>
  <c r="F3" i="61"/>
  <c r="D20" i="9"/>
  <c r="E2" i="34"/>
  <c r="E2" i="36"/>
  <c r="D6" i="61"/>
  <c r="D4" i="61"/>
  <c r="D19" i="9"/>
  <c r="F5" i="61"/>
  <c r="F4" i="61"/>
  <c r="C19" i="9"/>
  <c r="D7" i="61"/>
  <c r="E2" i="37"/>
  <c r="H23" i="31"/>
  <c r="E2" i="35"/>
  <c r="D5" i="61"/>
  <c r="F7" i="61"/>
  <c r="E2" i="11"/>
  <c r="U39" i="33" l="1"/>
  <c r="J39" i="33"/>
  <c r="F39" i="33"/>
  <c r="C58" i="33"/>
  <c r="D58" i="33" s="1"/>
  <c r="E58" i="33" s="1"/>
  <c r="F58" i="33" s="1"/>
  <c r="G58" i="33" s="1"/>
  <c r="H58" i="33" s="1"/>
  <c r="I58" i="33" s="1"/>
  <c r="J58" i="33" s="1"/>
  <c r="K58" i="33" s="1"/>
  <c r="L58" i="33" s="1"/>
  <c r="M58" i="33" s="1"/>
  <c r="N58" i="33" s="1"/>
  <c r="O58" i="33" s="1"/>
  <c r="I7" i="33"/>
  <c r="G7" i="33"/>
  <c r="E7" i="33"/>
  <c r="C7" i="11"/>
  <c r="C5" i="11" s="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W39" i="33" l="1"/>
  <c r="AC39" i="33"/>
  <c r="AA39" i="33"/>
  <c r="S39" i="33"/>
  <c r="D10" i="48"/>
  <c r="C3" i="4"/>
  <c r="B4" i="55" s="1"/>
  <c r="B53" i="60" s="1"/>
  <c r="C33" i="15"/>
  <c r="C32" i="15"/>
  <c r="C31" i="15" s="1"/>
  <c r="C16" i="59"/>
  <c r="T17" i="59"/>
  <c r="F69" i="39"/>
  <c r="C7" i="43"/>
  <c r="S9" i="59"/>
  <c r="B8" i="59"/>
  <c r="U9" i="59"/>
  <c r="E8" i="59"/>
  <c r="V9" i="59"/>
  <c r="F8" i="59"/>
  <c r="C18" i="15"/>
  <c r="C16" i="15"/>
  <c r="C19" i="15" s="1"/>
  <c r="C20" i="15" s="1"/>
  <c r="C26" i="15" s="1"/>
  <c r="J7" i="35"/>
  <c r="C30" i="11"/>
  <c r="C48" i="11"/>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C27" i="12"/>
  <c r="C25" i="12" s="1"/>
  <c r="C26" i="12"/>
  <c r="D25" i="12" s="1"/>
  <c r="C23" i="15"/>
  <c r="C24" i="15"/>
  <c r="C43" i="11"/>
  <c r="C23" i="11"/>
  <c r="C44" i="11"/>
  <c r="D41" i="11" s="1"/>
  <c r="C25" i="11"/>
  <c r="C42" i="11"/>
  <c r="C26" i="11"/>
  <c r="D22" i="11" s="1"/>
  <c r="C24" i="11"/>
  <c r="C61" i="15"/>
  <c r="C67" i="15"/>
  <c r="C38" i="15"/>
  <c r="B3" i="33" l="1"/>
  <c r="F5" i="59"/>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C20" i="57"/>
  <c r="C19" i="57"/>
  <c r="C103" i="57" l="1"/>
  <c r="C104" i="57"/>
  <c r="D11" i="59"/>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Q68" i="15"/>
  <c r="J16" i="15"/>
  <c r="J25" i="15" s="1"/>
  <c r="C56" i="11"/>
  <c r="C57" i="11" s="1"/>
  <c r="B2" i="11"/>
  <c r="B3" i="11"/>
  <c r="C30" i="15" l="1"/>
  <c r="C39" i="15" s="1"/>
  <c r="J38" i="15" s="1"/>
  <c r="J39" i="15" s="1"/>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Q67" i="15" l="1"/>
  <c r="Q66" i="15" s="1"/>
  <c r="C40" i="15"/>
  <c r="L52" i="15" s="1"/>
  <c r="Q65" i="15" s="1"/>
  <c r="C6" i="59"/>
  <c r="D7" i="59"/>
  <c r="L62" i="40"/>
  <c r="K64" i="40"/>
  <c r="E52" i="21"/>
  <c r="F52" i="21" s="1"/>
  <c r="E53" i="21"/>
  <c r="F53" i="21" s="1"/>
  <c r="C48" i="21"/>
  <c r="C49" i="21"/>
  <c r="B2" i="21" s="1"/>
  <c r="B3" i="21" s="1"/>
  <c r="J7" i="39"/>
  <c r="H7" i="39"/>
  <c r="F7" i="39"/>
  <c r="L59" i="34"/>
  <c r="J41" i="15"/>
  <c r="J42" i="15" s="1"/>
  <c r="C43" i="15"/>
  <c r="Q45" i="15"/>
  <c r="Q51" i="15" s="1"/>
  <c r="Q63" i="15" l="1"/>
  <c r="Q54" i="15"/>
  <c r="C47" i="15"/>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c r="D19" i="57"/>
  <c r="G20" i="57" l="1"/>
  <c r="R27" i="31" s="1"/>
  <c r="D104" i="57"/>
  <c r="G19" i="57"/>
  <c r="D22" i="57"/>
  <c r="D103"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3" i="57" l="1"/>
  <c r="T27" i="31"/>
  <c r="S27" i="31"/>
  <c r="R28" i="31"/>
  <c r="C105" i="57"/>
  <c r="C106" i="57"/>
  <c r="AC7" i="40"/>
  <c r="V42" i="40" s="1"/>
  <c r="I42" i="40" s="1"/>
  <c r="I46" i="40" s="1"/>
  <c r="J46" i="40" s="1"/>
  <c r="W7" i="40"/>
  <c r="S7" i="40"/>
  <c r="AA7" i="40"/>
  <c r="R42" i="40" s="1"/>
  <c r="R43" i="40" s="1"/>
  <c r="AB7" i="40"/>
  <c r="T42" i="40" s="1"/>
  <c r="G42" i="40" s="1"/>
  <c r="G46" i="40" s="1"/>
  <c r="H46" i="40" s="1"/>
  <c r="U7" i="40"/>
  <c r="S28" i="31" l="1"/>
  <c r="S25" i="31" s="1"/>
  <c r="T28" i="31"/>
  <c r="T25" i="31" s="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F4" i="52"/>
  <c r="B40" i="60" s="1"/>
  <c r="G4" i="52"/>
  <c r="B41" i="60" s="1"/>
  <c r="D5" i="52"/>
  <c r="B39" i="60" s="1"/>
  <c r="E4" i="52"/>
  <c r="B38" i="60" s="1"/>
  <c r="F5" i="52"/>
  <c r="B42" i="60" s="1"/>
  <c r="N49" i="9"/>
  <c r="M63" i="9"/>
  <c r="N63" i="9" s="1"/>
  <c r="N69" i="9" s="1"/>
  <c r="O69" i="9" s="1"/>
  <c r="D110" i="57" l="1"/>
  <c r="H126" i="57"/>
  <c r="H5" i="52" s="1"/>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G121" i="9"/>
  <c r="F121" i="9"/>
  <c r="F122" i="9" s="1"/>
  <c r="E121" i="9"/>
  <c r="D121" i="9" s="1"/>
  <c r="D122" i="9" s="1"/>
  <c r="I121" i="9"/>
  <c r="H121" i="9" s="1"/>
  <c r="D106" i="9" s="1"/>
  <c r="D112" i="9" s="1"/>
  <c r="D113" i="9" l="1"/>
  <c r="I111" i="9" s="1"/>
  <c r="D126" i="9" s="1"/>
  <c r="D117" i="9"/>
  <c r="I115" i="9" s="1"/>
  <c r="D30" i="50"/>
  <c r="D9" i="50"/>
  <c r="B21" i="60" s="1"/>
  <c r="I112" i="57"/>
  <c r="D47" i="57"/>
  <c r="N50" i="57"/>
  <c r="D28" i="50"/>
  <c r="D29" i="50" s="1"/>
  <c r="D7" i="50"/>
  <c r="D116" i="57"/>
  <c r="D117" i="57" s="1"/>
  <c r="D121" i="57"/>
  <c r="D14" i="62"/>
  <c r="D26" i="62" s="1"/>
  <c r="H122" i="9"/>
  <c r="C103" i="9"/>
  <c r="I102" i="9"/>
  <c r="I103" i="9"/>
  <c r="C104" i="9"/>
  <c r="D107" i="9"/>
  <c r="I117" i="57" l="1"/>
  <c r="D23" i="50" s="1"/>
  <c r="B34" i="60" s="1"/>
  <c r="D44" i="50"/>
  <c r="I113" i="57"/>
  <c r="D38" i="50"/>
  <c r="B62" i="60" s="1"/>
  <c r="B19" i="60"/>
  <c r="D8" i="50"/>
  <c r="B22" i="60" s="1"/>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D8" i="52" s="1"/>
  <c r="D36" i="50"/>
  <c r="D37" i="50" s="1"/>
  <c r="D15" i="50"/>
  <c r="I110" i="9"/>
  <c r="D125" i="9" s="1"/>
  <c r="N48" i="9"/>
  <c r="D45" i="9"/>
  <c r="F14" i="62"/>
  <c r="E14" i="62"/>
  <c r="B5" i="62"/>
  <c r="G14" i="62" l="1"/>
  <c r="B6" i="62" s="1"/>
  <c r="C6" i="62" s="1"/>
  <c r="B29" i="60"/>
  <c r="D16" i="50"/>
  <c r="B30" i="60" s="1"/>
  <c r="C98" i="57"/>
  <c r="C82" i="57"/>
  <c r="E82" i="57" s="1"/>
  <c r="E83" i="57" s="1"/>
  <c r="D130" i="57"/>
  <c r="D17" i="50"/>
  <c r="C5" i="62"/>
  <c r="D5" i="62"/>
  <c r="C72" i="9"/>
  <c r="D53" i="9"/>
  <c r="D48" i="9" s="1"/>
  <c r="N52" i="9" s="1"/>
  <c r="O57" i="9" s="1"/>
  <c r="C64" i="9"/>
  <c r="C63" i="9" s="1"/>
  <c r="C67" i="9" s="1"/>
  <c r="C68" i="9" s="1"/>
  <c r="D54" i="9" s="1"/>
  <c r="C93" i="9"/>
  <c r="C86" i="9" s="1"/>
  <c r="D52" i="9"/>
  <c r="C78" i="9"/>
  <c r="C73" i="9" s="1"/>
  <c r="C85" i="9"/>
  <c r="D6" i="62"/>
  <c r="C83" i="57" l="1"/>
  <c r="C95" i="9"/>
  <c r="C96" i="9" s="1"/>
  <c r="E96" i="9" s="1"/>
  <c r="E97" i="9" s="1"/>
  <c r="D10" i="52"/>
  <c r="D9" i="52"/>
  <c r="E98" i="57"/>
  <c r="E99" i="57" s="1"/>
  <c r="C99" i="57"/>
  <c r="D60" i="57" s="1"/>
  <c r="D58" i="57" s="1"/>
  <c r="N56" i="57" s="1"/>
  <c r="O59" i="57" s="1"/>
  <c r="Q57" i="9"/>
  <c r="O58" i="9"/>
  <c r="O59" i="9"/>
  <c r="C79" i="9"/>
  <c r="C97" i="9" l="1"/>
  <c r="D58" i="9" s="1"/>
  <c r="O61" i="57"/>
  <c r="O60" i="57"/>
  <c r="Q59" i="57"/>
  <c r="C80" i="9"/>
  <c r="E80" i="9" s="1"/>
  <c r="E81" i="9" s="1"/>
  <c r="C81" i="9"/>
  <c r="O61" i="9"/>
  <c r="O60" i="9"/>
  <c r="O63" i="57" l="1"/>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sony</author>
    <author>崔锴</author>
    <author>USER</author>
  </authors>
  <commentList>
    <comment ref="F31" authorId="0">
      <text>
        <r>
          <rPr>
            <b/>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<sst xmlns="http://schemas.openxmlformats.org/spreadsheetml/2006/main" count="7023" uniqueCount="3106">
  <si>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</si>
  <si>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</si>
  <si>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</si>
  <si>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</si>
  <si>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</si>
  <si>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</si>
  <si>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</si>
  <si>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</si>
  <si>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</si>
  <si>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</si>
  <si>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</si>
  <si>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</si>
  <si>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</si>
  <si>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</si>
  <si>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</si>
  <si>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</si>
  <si>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</si>
  <si>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</si>
  <si>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</si>
  <si>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</si>
  <si>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</si>
  <si>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</si>
  <si>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</si>
  <si>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</si>
  <si>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</si>
  <si>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</si>
  <si>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</si>
  <si>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</si>
  <si>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</si>
  <si>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</si>
  <si>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</si>
  <si>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</si>
  <si>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</si>
  <si>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</si>
  <si>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</si>
  <si>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</si>
  <si>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</si>
  <si>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</si>
  <si>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</si>
  <si>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</si>
  <si>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</si>
  <si>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</si>
  <si>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</si>
  <si>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</si>
  <si>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</si>
  <si>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</si>
  <si>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</si>
  <si>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</si>
  <si>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</si>
  <si>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</si>
  <si>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</si>
  <si>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</si>
  <si>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</si>
  <si>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</si>
  <si>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</si>
  <si>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</si>
  <si>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</si>
  <si>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</si>
  <si>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</si>
  <si>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</si>
  <si>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</si>
  <si>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</si>
  <si>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</si>
  <si>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</si>
  <si>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</si>
  <si>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</si>
  <si>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</si>
  <si>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</si>
  <si>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</si>
  <si>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</si>
  <si>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</si>
  <si>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</si>
  <si>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</si>
  <si>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</si>
  <si>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</si>
  <si>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</si>
  <si>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</si>
  <si>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</si>
  <si>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</si>
  <si>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</si>
  <si>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</si>
  <si>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</si>
  <si>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</si>
  <si>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</si>
  <si>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</si>
  <si>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</si>
  <si>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</si>
  <si>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</si>
  <si>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</si>
  <si>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</si>
  <si>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</si>
  <si>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</si>
  <si>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</si>
  <si>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</si>
  <si>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</si>
  <si>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</si>
  <si>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</si>
  <si>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</si>
  <si>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</si>
  <si>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</si>
  <si>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</si>
  <si>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</si>
  <si>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</si>
  <si>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</si>
  <si>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</si>
  <si>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</si>
  <si>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</si>
  <si>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</si>
  <si>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</si>
  <si>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</si>
  <si>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</si>
  <si>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</si>
  <si>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</si>
  <si>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</si>
  <si>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</si>
  <si>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</si>
  <si>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</si>
  <si>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</si>
  <si>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</si>
  <si>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</si>
  <si>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</si>
  <si>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</si>
  <si>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</si>
  <si>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</si>
  <si>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</si>
  <si>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</si>
  <si>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</si>
  <si>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</si>
  <si>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</si>
  <si>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</si>
  <si>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</si>
  <si>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</si>
  <si>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</si>
  <si>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</si>
  <si>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</si>
  <si>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</si>
  <si>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</si>
  <si>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</si>
  <si>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</si>
  <si>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</si>
  <si>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</si>
  <si>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</si>
  <si>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</si>
  <si>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</si>
  <si>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</si>
  <si>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</si>
  <si>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</si>
  <si>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</si>
  <si>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</si>
  <si>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</si>
  <si>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</si>
  <si>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</si>
  <si>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</si>
  <si>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</si>
  <si>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</si>
  <si>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</si>
  <si>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</si>
  <si>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</si>
  <si>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</si>
  <si>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</si>
  <si>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</si>
  <si>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</si>
  <si>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</si>
  <si>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</si>
  <si>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</si>
  <si>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</si>
  <si>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</si>
  <si>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</si>
  <si>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</si>
  <si>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</si>
  <si>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</si>
  <si>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</si>
  <si>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</si>
  <si>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</si>
  <si>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</si>
  <si>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</si>
  <si>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</si>
  <si>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</si>
  <si>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</si>
  <si>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</si>
  <si>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</si>
  <si>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</si>
  <si>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</si>
  <si>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</si>
  <si>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</si>
  <si>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</si>
  <si>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</si>
  <si>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</si>
  <si>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</si>
  <si>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</si>
  <si>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</si>
  <si>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</si>
  <si>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</si>
  <si>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</si>
  <si>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</si>
  <si>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</si>
  <si>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</si>
  <si>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</si>
  <si>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</si>
  <si>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</si>
  <si>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</si>
  <si>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</si>
  <si>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</si>
  <si>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</si>
  <si>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</si>
  <si>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</si>
  <si>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</si>
  <si>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</si>
  <si>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</si>
  <si>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</si>
  <si>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</si>
  <si>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</si>
  <si>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</si>
  <si>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</si>
  <si>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</si>
  <si>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</si>
  <si>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</si>
  <si>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</si>
  <si>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</si>
  <si>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</si>
  <si>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</si>
  <si>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</si>
  <si>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</si>
  <si>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</si>
  <si>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</si>
  <si>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</si>
  <si>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</si>
  <si>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</si>
  <si>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</si>
  <si>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</si>
  <si>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</si>
  <si>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</si>
  <si>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</si>
  <si>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</si>
  <si>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</si>
  <si>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</si>
  <si>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</si>
  <si>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</si>
  <si>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</si>
  <si>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</si>
  <si>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</si>
  <si>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</si>
  <si>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</si>
  <si>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</si>
  <si>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</si>
  <si>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</si>
  <si>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</si>
  <si>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</si>
  <si>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</si>
  <si>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</si>
  <si>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</si>
  <si>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</si>
  <si>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</si>
  <si>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</si>
  <si>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</si>
  <si>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</si>
  <si>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</si>
  <si>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</si>
  <si>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</si>
  <si>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</si>
  <si>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</si>
  <si>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</si>
  <si>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</si>
  <si>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</si>
  <si>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</si>
  <si>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</si>
  <si>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</si>
  <si>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</si>
  <si>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</si>
  <si>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</si>
  <si>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</si>
  <si>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</si>
  <si>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</si>
  <si>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</si>
  <si>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</si>
  <si>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</si>
  <si>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</si>
  <si>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</si>
  <si>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</si>
  <si>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</si>
  <si>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</si>
  <si>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</si>
  <si>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</si>
  <si>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</si>
  <si>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</si>
  <si>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</si>
  <si>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</si>
  <si>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</si>
  <si>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</si>
  <si>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</si>
  <si>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</si>
  <si>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</si>
  <si>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</si>
  <si>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</si>
  <si>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</si>
  <si>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</si>
  <si>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</si>
  <si>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</si>
  <si>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</si>
  <si>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</si>
  <si>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</si>
  <si>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</si>
  <si>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</si>
  <si>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</si>
  <si>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</si>
  <si>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</si>
  <si>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</si>
  <si>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</si>
  <si>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</si>
  <si>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</si>
  <si>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</si>
  <si>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</si>
  <si>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</si>
  <si>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</si>
  <si>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</si>
  <si>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</si>
  <si>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</si>
  <si>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</si>
  <si>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</si>
  <si>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</si>
  <si>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</si>
  <si>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</si>
  <si>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</si>
  <si>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</si>
  <si>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</si>
  <si>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</si>
  <si>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</si>
  <si>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</si>
  <si>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</si>
  <si>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</si>
  <si>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</si>
  <si>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</si>
  <si>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</si>
  <si>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</si>
  <si>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</si>
  <si>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</si>
  <si>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</si>
  <si>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</si>
  <si>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</si>
  <si>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</si>
  <si>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</si>
  <si>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</si>
  <si>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</si>
  <si>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</si>
  <si>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</si>
  <si>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</si>
  <si>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</si>
  <si>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</si>
  <si>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</si>
  <si>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</si>
  <si>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</si>
  <si>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</si>
  <si>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</si>
  <si>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</si>
  <si>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</si>
  <si>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</si>
  <si>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</si>
  <si>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</si>
  <si>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</si>
  <si>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</si>
  <si>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</si>
  <si>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</si>
  <si>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</si>
  <si>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</si>
  <si>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</si>
  <si>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</si>
  <si>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</si>
  <si>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</si>
  <si>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</si>
  <si>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</si>
  <si>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</si>
  <si>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</si>
  <si>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</si>
  <si>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</si>
  <si>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</si>
  <si>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</si>
  <si>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</si>
  <si>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</si>
  <si>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</si>
  <si>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</si>
  <si>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</si>
  <si>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</si>
  <si>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</si>
  <si>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</si>
  <si>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</si>
  <si>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</si>
  <si>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</si>
  <si>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</si>
  <si>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</si>
  <si>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</si>
  <si>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</si>
  <si>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</si>
  <si>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</si>
  <si>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</si>
  <si>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</si>
  <si>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</si>
  <si>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</si>
  <si>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</si>
  <si>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</si>
  <si>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</si>
  <si>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</si>
  <si>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</si>
  <si>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</si>
  <si>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</si>
  <si>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</si>
  <si>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</si>
  <si>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</si>
  <si>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</si>
  <si>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</si>
  <si>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</si>
  <si>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</si>
  <si>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</si>
  <si>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</si>
  <si>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</si>
  <si>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</si>
  <si>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</si>
  <si>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</si>
  <si>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</si>
  <si>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</si>
  <si>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</si>
  <si>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</si>
  <si>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</si>
  <si>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</si>
  <si>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</si>
  <si>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</si>
  <si>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</si>
  <si>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</si>
  <si>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</si>
  <si>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</si>
  <si>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</si>
  <si>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</si>
  <si>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</si>
  <si>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</si>
  <si>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</si>
  <si>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</si>
  <si>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</si>
  <si>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</si>
  <si>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</si>
  <si>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</si>
  <si>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</si>
  <si>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</si>
  <si>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</si>
  <si>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</si>
  <si>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</si>
  <si>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</si>
  <si>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</si>
  <si>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</si>
  <si>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</si>
  <si>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</si>
  <si>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</si>
  <si>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</si>
  <si>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</si>
  <si>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</si>
  <si>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</si>
  <si>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</si>
  <si>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</si>
  <si>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</si>
  <si>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</si>
  <si>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</si>
  <si>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</si>
  <si>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</si>
  <si>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</si>
  <si>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</si>
  <si>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</si>
  <si>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</si>
  <si>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</si>
  <si>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</si>
  <si>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</si>
  <si>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</si>
  <si>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</si>
  <si>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</si>
  <si>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</si>
  <si>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</si>
  <si>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</si>
  <si>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</si>
  <si>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</si>
  <si>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</si>
  <si>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</si>
  <si>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</si>
  <si>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</si>
  <si>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</si>
  <si>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</si>
  <si>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</si>
  <si>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</si>
  <si>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</si>
  <si>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</si>
  <si>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</si>
  <si>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</si>
  <si>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</si>
  <si>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</si>
  <si>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</si>
  <si>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</si>
  <si>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</si>
  <si>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</si>
  <si>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</si>
  <si>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</si>
  <si>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</si>
  <si>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</si>
  <si>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</si>
  <si>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</si>
  <si>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</si>
  <si>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</si>
  <si>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</si>
  <si>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</si>
  <si>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</si>
  <si>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</si>
  <si>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</si>
  <si>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</si>
  <si>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</si>
  <si>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</si>
  <si>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</si>
  <si>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</si>
  <si>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</si>
  <si>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</si>
  <si>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</si>
  <si>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</si>
  <si>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</si>
  <si>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</si>
  <si>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</si>
  <si>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</si>
  <si>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</si>
  <si>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</si>
  <si>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</si>
  <si>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</si>
  <si>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</si>
  <si>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</si>
  <si>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</si>
  <si>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</si>
  <si>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</si>
  <si>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</si>
  <si>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</si>
  <si>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</si>
  <si>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</si>
  <si>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</si>
  <si>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</si>
  <si>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</si>
  <si>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</si>
  <si>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</si>
  <si>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</si>
  <si>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</si>
  <si>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</si>
  <si>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</si>
  <si>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</si>
  <si>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</si>
  <si>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</si>
  <si>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</si>
  <si>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</si>
  <si>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</si>
  <si>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</si>
  <si>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</si>
  <si>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</si>
  <si>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</si>
  <si>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</si>
  <si>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</si>
  <si>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</si>
  <si>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</si>
  <si>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</si>
  <si>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</si>
  <si>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</si>
  <si>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</si>
  <si>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</si>
  <si>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</si>
  <si>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</si>
  <si>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</si>
  <si>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</si>
  <si>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</si>
  <si>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</si>
  <si>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</si>
  <si>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</si>
  <si>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</si>
  <si>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</si>
  <si>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</si>
  <si>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</si>
  <si>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</si>
  <si>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</si>
  <si>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</si>
  <si>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</si>
  <si>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</si>
  <si>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</si>
  <si>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</si>
  <si>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</si>
  <si>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</si>
  <si>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</si>
  <si>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</si>
  <si>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</si>
  <si>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</si>
  <si>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</si>
  <si>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</si>
  <si>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</si>
  <si>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</si>
  <si>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</si>
  <si>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</si>
  <si>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</si>
  <si>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</si>
  <si>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</si>
  <si>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</si>
  <si>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</si>
  <si>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</si>
  <si>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</si>
  <si>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</si>
  <si>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</si>
  <si>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</si>
  <si>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</si>
  <si>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</si>
  <si>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</si>
  <si>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</si>
  <si>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</si>
  <si>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</si>
  <si>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</si>
  <si>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</si>
  <si>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</si>
  <si>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</si>
  <si>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</si>
  <si>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</si>
  <si>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</si>
  <si>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</si>
  <si>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</si>
  <si>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</si>
  <si>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</si>
  <si>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</si>
  <si>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</si>
  <si>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</si>
  <si>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</si>
  <si>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</si>
  <si>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</si>
  <si>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</si>
  <si>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</si>
  <si>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</si>
  <si>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</si>
  <si>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</si>
  <si>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</si>
  <si>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</si>
  <si>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</si>
  <si>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</si>
  <si>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</si>
  <si>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</si>
  <si>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</si>
  <si>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</si>
  <si>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</si>
  <si>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</si>
  <si>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</si>
  <si>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</si>
  <si>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</si>
  <si>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</si>
  <si>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</si>
  <si>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</si>
  <si>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</si>
  <si>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</si>
  <si>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</si>
  <si>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</si>
  <si>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</si>
  <si>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</si>
  <si>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</si>
  <si>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</si>
  <si>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</si>
  <si>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</si>
  <si>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</si>
  <si>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</si>
  <si>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</si>
  <si>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</si>
  <si>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</si>
  <si>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</si>
  <si>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</si>
  <si>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</si>
  <si>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</si>
  <si>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</si>
  <si>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</si>
  <si>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</si>
  <si>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</si>
  <si>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</si>
  <si>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</si>
  <si>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</si>
  <si>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</si>
  <si>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</si>
  <si>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</si>
  <si>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</si>
  <si>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</si>
  <si>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</si>
  <si>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</si>
  <si>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</si>
  <si>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</si>
  <si>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</si>
  <si>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</si>
  <si>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</si>
  <si>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</si>
  <si>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</si>
  <si>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</si>
  <si>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</si>
  <si>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</si>
  <si>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</si>
  <si>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</si>
  <si>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</si>
  <si>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</si>
  <si>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</si>
  <si>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</si>
  <si>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</si>
  <si>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</si>
  <si>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</si>
  <si>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</si>
  <si>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</si>
  <si>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</si>
  <si>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</si>
  <si>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</si>
  <si>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</si>
  <si>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</si>
  <si>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</si>
  <si>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</si>
  <si>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</si>
  <si>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</si>
  <si>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</si>
  <si>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</si>
  <si>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</si>
  <si>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</si>
  <si>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</si>
  <si>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</si>
  <si>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</si>
  <si>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</si>
  <si>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</si>
  <si>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</si>
  <si>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</si>
  <si>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</si>
  <si>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</si>
  <si>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</si>
  <si>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</si>
  <si>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</si>
  <si>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</si>
  <si>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</si>
  <si>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</si>
  <si>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</si>
  <si>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</si>
  <si>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</si>
  <si>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</si>
  <si>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</si>
  <si>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</si>
  <si>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</si>
  <si>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</si>
  <si>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</si>
  <si>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</si>
  <si>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</si>
  <si>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</si>
  <si>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</si>
  <si>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</si>
  <si>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</si>
  <si>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</si>
  <si>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</si>
  <si>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</si>
  <si>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</si>
  <si>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</si>
  <si>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</si>
  <si>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</si>
  <si>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</si>
  <si>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</si>
  <si>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</si>
  <si>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</si>
  <si>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</si>
  <si>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</si>
  <si>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</si>
  <si>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</si>
  <si>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</si>
  <si>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</si>
  <si>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</si>
  <si>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</si>
  <si>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</si>
  <si>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</si>
  <si>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</si>
  <si>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</si>
  <si>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</si>
  <si>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</si>
  <si>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</si>
  <si>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</si>
  <si>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</si>
  <si>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</si>
  <si>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</si>
  <si>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</si>
  <si>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</si>
  <si>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</si>
  <si>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</si>
  <si>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</si>
  <si>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</si>
  <si>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</si>
  <si>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</si>
  <si>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</si>
  <si>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</si>
  <si>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</si>
  <si>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</si>
  <si>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</si>
  <si>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</si>
  <si>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</si>
  <si>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</si>
  <si>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</si>
  <si>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</si>
  <si>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</si>
  <si>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</si>
  <si>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</si>
  <si>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</si>
  <si>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</si>
  <si>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</si>
  <si>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</si>
  <si>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</si>
  <si>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</si>
  <si>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</si>
  <si>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</si>
  <si>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</si>
  <si>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</si>
  <si>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</si>
  <si>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</si>
  <si>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</si>
  <si>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</si>
  <si>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</si>
  <si>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</si>
  <si>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</si>
  <si>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</si>
  <si>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</si>
  <si>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</si>
  <si>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</si>
  <si>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</si>
  <si>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</si>
  <si>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</si>
  <si>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</si>
  <si>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</si>
  <si>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</si>
  <si>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</si>
  <si>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</si>
  <si>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</si>
  <si>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</si>
  <si>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</si>
  <si>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</si>
  <si>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</si>
  <si>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</si>
  <si>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</si>
  <si>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</si>
  <si>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</si>
  <si>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</si>
  <si>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</si>
  <si>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</si>
  <si>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</si>
  <si>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</si>
  <si>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</si>
  <si>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</si>
  <si>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</si>
  <si>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</si>
  <si>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</si>
  <si>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</si>
  <si>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</si>
  <si>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</si>
  <si>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</si>
  <si>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</si>
  <si>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</si>
  <si>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</si>
  <si>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</si>
  <si>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</si>
  <si>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</si>
  <si>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</si>
  <si>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</si>
  <si>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</si>
  <si>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</si>
  <si>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</si>
  <si>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</si>
  <si>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</si>
  <si>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</si>
  <si>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</si>
  <si>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</si>
  <si>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</si>
  <si>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</si>
  <si>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</si>
  <si>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</si>
  <si>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</si>
  <si>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</si>
  <si>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</si>
  <si>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</si>
  <si>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</si>
  <si>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</si>
  <si>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</si>
  <si>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</si>
  <si>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</si>
  <si>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</si>
  <si>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</si>
  <si>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</si>
  <si>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</si>
  <si>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</si>
  <si>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</si>
  <si>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</si>
  <si>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</si>
  <si>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</si>
  <si>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</si>
  <si>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</si>
  <si>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</si>
  <si>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</si>
  <si>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</si>
  <si>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</si>
  <si>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</si>
  <si>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</si>
  <si>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</si>
  <si>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</si>
  <si>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</si>
  <si>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</si>
  <si>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</si>
  <si>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</si>
  <si>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</si>
  <si>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</si>
  <si>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</si>
  <si>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</si>
  <si>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</si>
  <si>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</si>
  <si>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</si>
  <si>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</si>
  <si>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</si>
  <si>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</si>
  <si>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</si>
  <si>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</si>
  <si>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</si>
  <si>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</si>
  <si>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</si>
  <si>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</si>
  <si>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</si>
  <si>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</si>
  <si>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</si>
  <si>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</si>
  <si>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</si>
  <si>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</si>
  <si>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</si>
  <si>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</si>
  <si>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</si>
  <si>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</si>
  <si>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</si>
  <si>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</si>
  <si>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</si>
  <si>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</si>
  <si>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</si>
  <si>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</si>
  <si>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</si>
  <si>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</si>
  <si>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</si>
  <si>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</si>
  <si>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</si>
  <si>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</si>
  <si>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</si>
  <si>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</si>
  <si>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</si>
  <si>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</si>
  <si>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</si>
  <si>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</si>
  <si>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</si>
  <si>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</si>
  <si>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</si>
  <si>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</si>
  <si>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</si>
  <si>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</si>
  <si>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</si>
  <si>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</si>
  <si>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</si>
  <si>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</si>
  <si>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</si>
  <si>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</si>
  <si>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</si>
  <si>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</si>
  <si>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</si>
  <si>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</si>
  <si>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</si>
  <si>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</si>
  <si>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</si>
  <si>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</si>
  <si>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</si>
  <si>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</si>
  <si>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</si>
  <si>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</si>
  <si>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</si>
  <si>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</si>
  <si>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</si>
  <si>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</si>
  <si>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</si>
  <si>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</si>
  <si>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</si>
  <si>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</si>
  <si>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</si>
  <si>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</si>
  <si>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</si>
  <si>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</si>
  <si>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</si>
  <si>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</si>
  <si>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</si>
  <si>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</si>
  <si>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</si>
  <si>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</si>
  <si>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</si>
  <si>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</si>
  <si>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</si>
  <si>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</si>
  <si>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</si>
  <si>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</si>
  <si>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</si>
  <si>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</si>
  <si>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</si>
  <si>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</si>
  <si>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</si>
  <si>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</si>
  <si>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</si>
  <si>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</si>
  <si>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</si>
  <si>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</si>
  <si>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</si>
  <si>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</si>
  <si>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</si>
  <si>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</si>
  <si>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</si>
  <si>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</si>
  <si>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</si>
  <si>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</si>
  <si>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</si>
  <si>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</si>
  <si>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</si>
  <si>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</si>
  <si>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</si>
  <si>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</si>
  <si>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</si>
  <si>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</si>
  <si>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</si>
  <si>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</si>
  <si>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</si>
  <si>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</si>
  <si>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</si>
  <si>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</si>
  <si>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</si>
  <si>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</si>
  <si>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</si>
  <si>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</si>
  <si>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</si>
  <si>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</si>
  <si>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</si>
  <si>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</si>
  <si>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</si>
  <si>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</si>
  <si>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</si>
  <si>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</si>
  <si>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</si>
  <si>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</si>
  <si>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</si>
  <si>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</si>
  <si>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</si>
  <si>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</si>
  <si>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</si>
  <si>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</si>
  <si>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</si>
  <si>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</si>
  <si>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</si>
  <si>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</si>
  <si>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</si>
  <si>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</si>
  <si>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</si>
  <si>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</si>
  <si>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</si>
  <si>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</si>
  <si>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</si>
  <si>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</si>
  <si>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</si>
  <si>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</si>
  <si>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</si>
  <si>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</si>
  <si>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</si>
  <si>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</si>
  <si>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</si>
  <si>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</si>
  <si>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</si>
  <si>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</si>
  <si>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</si>
  <si>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</si>
  <si>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</si>
  <si>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</si>
  <si>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</si>
  <si>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</si>
  <si>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</si>
  <si>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</si>
  <si>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</si>
  <si>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</si>
  <si>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</si>
  <si>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</si>
  <si>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</si>
  <si>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</si>
  <si>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</si>
  <si>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</si>
  <si>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</si>
  <si>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</si>
  <si>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</si>
  <si>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</si>
  <si>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</si>
  <si>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</si>
  <si>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</si>
  <si>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</si>
  <si>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</si>
  <si>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</si>
  <si>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</si>
  <si>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</si>
  <si>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</si>
  <si>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</si>
  <si>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</si>
  <si>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</si>
  <si>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</si>
  <si>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</si>
  <si>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</si>
  <si>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</si>
  <si>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</si>
  <si>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</si>
  <si>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</si>
  <si>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</si>
  <si>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</si>
  <si>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</si>
  <si>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</si>
  <si>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</si>
  <si>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</si>
  <si>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</si>
  <si>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</si>
  <si>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</si>
  <si>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</si>
  <si>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</si>
  <si>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</si>
  <si>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</si>
  <si>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</si>
  <si>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</si>
  <si>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</si>
  <si>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</si>
  <si>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</si>
  <si>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</si>
  <si>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</si>
  <si>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</si>
  <si>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</si>
  <si>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</si>
  <si>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</si>
  <si>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</si>
  <si>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</si>
  <si>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</si>
  <si>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</si>
  <si>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</si>
  <si>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</si>
  <si>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</si>
  <si>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</si>
  <si>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</si>
  <si>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</si>
  <si>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</si>
  <si>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</si>
  <si>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</si>
  <si>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</si>
  <si>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</si>
  <si>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</si>
  <si>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</si>
  <si>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</si>
  <si>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</si>
  <si>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</si>
  <si>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</si>
  <si>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</si>
  <si>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</si>
  <si>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</si>
  <si>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</si>
  <si>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</si>
  <si>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</si>
  <si>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</si>
  <si>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</si>
  <si>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</si>
  <si>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</si>
  <si>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</si>
  <si>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</si>
  <si>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</si>
  <si>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</si>
  <si>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</si>
  <si>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</si>
  <si>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</si>
  <si>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</si>
  <si>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</si>
  <si>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</si>
  <si>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</si>
  <si>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</si>
  <si>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</si>
  <si>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</si>
  <si>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</si>
  <si>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</si>
  <si>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</si>
  <si>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</si>
  <si>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</si>
  <si>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</si>
  <si>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</si>
  <si>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</si>
  <si>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</si>
  <si>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</si>
  <si>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</si>
  <si>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</si>
  <si>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</si>
  <si>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</si>
  <si>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</si>
  <si>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</si>
  <si>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</si>
  <si>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</si>
  <si>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</si>
  <si>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</si>
  <si>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</si>
  <si>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</si>
  <si>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</si>
  <si>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</si>
  <si>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</si>
  <si>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</si>
  <si>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</si>
  <si>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</si>
  <si>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</si>
  <si>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</si>
  <si>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</si>
  <si>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</si>
  <si>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</si>
  <si>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</si>
  <si>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</si>
  <si>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</si>
  <si>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</si>
  <si>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</si>
  <si>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</si>
  <si>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</si>
  <si>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</si>
  <si>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</si>
  <si>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</si>
  <si>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</si>
  <si>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</si>
  <si>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</si>
  <si>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</si>
  <si>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</si>
  <si>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</si>
  <si>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</si>
  <si>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</si>
  <si>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</si>
  <si>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</si>
  <si>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</si>
  <si>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</si>
  <si>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</si>
  <si>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</si>
  <si>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</si>
  <si>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</si>
  <si>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</si>
  <si>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</si>
  <si>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</si>
  <si>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</si>
  <si>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</si>
  <si>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</si>
  <si>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</si>
  <si>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</si>
  <si>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</si>
  <si>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</si>
  <si>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</si>
  <si>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</si>
  <si>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</si>
  <si>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</si>
  <si>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</si>
  <si>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</si>
  <si>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</si>
  <si>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</si>
  <si>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</si>
  <si>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</si>
  <si>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</si>
  <si>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</si>
  <si>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</si>
  <si>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</si>
  <si>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</si>
  <si>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</si>
  <si>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</si>
  <si>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</si>
  <si>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</si>
  <si>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</si>
  <si>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</si>
  <si>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</si>
  <si>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</si>
  <si>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</si>
  <si>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</si>
  <si>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</si>
  <si>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</si>
  <si>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</si>
  <si>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</si>
  <si>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</si>
  <si>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</si>
  <si>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</si>
  <si>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</si>
  <si>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</si>
  <si>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</si>
  <si>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</si>
  <si>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</si>
  <si>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</si>
  <si>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</si>
  <si>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</si>
  <si>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</si>
  <si>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</si>
  <si>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</si>
  <si>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</si>
  <si>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</si>
  <si>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</si>
  <si>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</si>
  <si>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</si>
  <si>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</si>
  <si>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</si>
  <si>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</si>
  <si>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</si>
  <si>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</si>
  <si>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</si>
  <si>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</si>
  <si>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</si>
  <si>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</si>
  <si>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</si>
  <si>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</si>
  <si>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</si>
  <si>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</si>
  <si>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</si>
  <si>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</si>
  <si>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</si>
  <si>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</si>
  <si>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</si>
  <si>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</si>
  <si>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</si>
  <si>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</si>
  <si>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</si>
  <si>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</si>
  <si>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</si>
  <si>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</si>
  <si>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</si>
  <si>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</si>
  <si>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</si>
  <si>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</si>
  <si>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</si>
  <si>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</si>
  <si>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</si>
  <si>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</si>
  <si>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</si>
  <si>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</si>
  <si>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</si>
  <si>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</si>
  <si>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</si>
  <si>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</si>
  <si>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</si>
  <si>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</si>
  <si>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</si>
  <si>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</si>
  <si>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</si>
  <si>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</si>
  <si>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</si>
  <si>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</si>
  <si>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</si>
  <si>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</si>
  <si>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</si>
  <si>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</si>
  <si>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</si>
  <si>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</si>
  <si>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</si>
  <si>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</si>
  <si>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</si>
  <si>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</si>
  <si>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</si>
  <si>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</si>
  <si>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</si>
  <si>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</si>
  <si>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</si>
  <si>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</si>
  <si>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</si>
  <si>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</si>
  <si>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</si>
  <si>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</si>
  <si>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</si>
  <si>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</si>
  <si>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</si>
  <si>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</si>
  <si>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</si>
  <si>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</si>
  <si>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</si>
  <si>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</si>
  <si>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</si>
  <si>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</si>
  <si>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</si>
  <si>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</si>
  <si>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</si>
  <si>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</si>
  <si>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</si>
  <si>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</si>
  <si>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</si>
  <si>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</si>
  <si>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</si>
  <si>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</si>
  <si>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</si>
  <si>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</si>
  <si>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</si>
  <si>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</si>
  <si>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</si>
  <si>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</si>
  <si>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</si>
  <si>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</si>
  <si>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</si>
  <si>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</si>
  <si>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</si>
  <si>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</si>
  <si>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</si>
  <si>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</si>
  <si>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</si>
  <si>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</si>
  <si>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</si>
  <si>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</si>
  <si>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</si>
  <si>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</si>
  <si>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</si>
  <si>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</si>
  <si>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</si>
  <si>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</si>
  <si>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</si>
  <si>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</si>
  <si>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</si>
  <si>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</si>
  <si>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</si>
  <si>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</si>
  <si>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</si>
  <si>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</si>
  <si>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</si>
  <si>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</si>
  <si>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</si>
  <si>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</si>
  <si>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</si>
  <si>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</si>
  <si>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</si>
  <si>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</si>
  <si>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</si>
  <si>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</si>
  <si>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</si>
  <si>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</si>
  <si>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</si>
  <si>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</si>
  <si>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</si>
  <si>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</si>
  <si>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</si>
  <si>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</si>
  <si>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</si>
  <si>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</si>
  <si>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</si>
  <si>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</si>
  <si>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</si>
  <si>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</si>
  <si>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</si>
  <si>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</si>
  <si>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</si>
  <si>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</si>
  <si>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</si>
  <si>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</si>
  <si>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</si>
  <si>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</si>
  <si>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</si>
  <si>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</si>
  <si>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</si>
  <si>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</si>
  <si>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</si>
  <si>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</si>
  <si>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</si>
  <si>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</si>
  <si>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</si>
  <si>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</si>
  <si>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</si>
  <si>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</si>
  <si>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</si>
  <si>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</si>
  <si>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</si>
  <si>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</si>
  <si>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</si>
  <si>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</si>
  <si>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</si>
  <si>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</si>
  <si>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</si>
  <si>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</si>
  <si>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</si>
  <si>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</si>
  <si>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</si>
  <si>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</si>
  <si>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</si>
  <si>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</si>
  <si>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</si>
  <si>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</si>
  <si>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</si>
  <si>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</si>
  <si>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</si>
  <si>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</si>
  <si>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</si>
  <si>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</si>
  <si>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</si>
  <si>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</si>
  <si>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</si>
  <si>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</si>
  <si>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</si>
  <si>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</si>
  <si>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</si>
  <si>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</si>
  <si>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</si>
  <si>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</si>
  <si>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</si>
  <si>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</si>
  <si>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</si>
  <si>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</si>
  <si>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</si>
  <si>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</si>
  <si>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</si>
  <si>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</si>
  <si>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</si>
  <si>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</si>
  <si>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</si>
  <si>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</si>
  <si>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</si>
  <si>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</si>
  <si>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</si>
  <si>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</si>
  <si>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</si>
  <si>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</si>
  <si>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</si>
  <si>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</si>
  <si>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</si>
  <si>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</si>
  <si>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</si>
  <si>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</si>
  <si>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</si>
  <si>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</si>
  <si>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</si>
  <si>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</si>
  <si>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</si>
  <si>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</si>
  <si>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</si>
  <si>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</si>
  <si>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</si>
  <si>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</si>
  <si>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</si>
  <si>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</si>
  <si>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</si>
  <si>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</si>
  <si>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</si>
  <si>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</si>
  <si>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</si>
  <si>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</si>
  <si>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</si>
  <si>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</si>
  <si>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</si>
  <si>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</si>
  <si>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</si>
  <si>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</si>
  <si>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</si>
  <si>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</si>
  <si>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</si>
  <si>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</si>
  <si>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</si>
  <si>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</si>
  <si>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</si>
  <si>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</si>
  <si>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</si>
  <si>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</si>
  <si>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</si>
  <si>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</si>
  <si>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</si>
  <si>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</si>
  <si>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</si>
  <si>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</si>
  <si>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</si>
  <si>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</si>
  <si>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</si>
  <si>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</si>
  <si>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</si>
  <si>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</si>
  <si>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</si>
  <si>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</si>
  <si>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</si>
  <si>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</si>
  <si>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</si>
  <si>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</si>
  <si>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</si>
  <si>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</si>
  <si>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</si>
  <si>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</si>
  <si>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</si>
  <si>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</si>
  <si>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</si>
  <si>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</si>
  <si>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</si>
  <si>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</si>
  <si>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</si>
  <si>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</si>
  <si>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</si>
  <si>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</si>
  <si>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</si>
  <si>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</si>
  <si>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</si>
  <si>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</si>
  <si>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</si>
  <si>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</si>
  <si>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</si>
  <si>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</si>
  <si>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</si>
  <si>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</si>
  <si>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</si>
  <si>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</si>
  <si>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</si>
  <si>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</si>
  <si>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</si>
  <si>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</si>
  <si>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</si>
  <si>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</si>
  <si>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</si>
  <si>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</si>
  <si>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</si>
  <si>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</si>
  <si>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</si>
  <si>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</si>
  <si>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</si>
  <si>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</si>
  <si>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</si>
  <si>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</si>
  <si>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</si>
  <si>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</si>
  <si>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</si>
  <si>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</si>
  <si>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</si>
  <si>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</si>
  <si>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</si>
  <si>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</si>
  <si>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</si>
  <si>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</si>
  <si>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</si>
  <si>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</si>
  <si>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</si>
  <si>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</si>
  <si>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</si>
  <si>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</si>
  <si>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</si>
  <si>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</si>
  <si>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</si>
  <si>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</si>
  <si>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</si>
  <si>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</si>
  <si>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</si>
  <si>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</si>
  <si>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</si>
  <si>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</si>
  <si>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</si>
  <si>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</si>
  <si>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</si>
  <si>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</si>
  <si>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</si>
  <si>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</si>
  <si>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</si>
  <si>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</si>
  <si>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</si>
  <si>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</si>
  <si>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</si>
  <si>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</si>
  <si>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</si>
  <si>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</si>
  <si>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</si>
  <si>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</si>
  <si>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</si>
  <si>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</si>
  <si>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</si>
  <si>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</si>
  <si>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</si>
  <si>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</si>
  <si>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</si>
  <si>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</si>
  <si>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</si>
  <si>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</si>
  <si>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</si>
  <si>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</si>
  <si>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</si>
  <si>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</si>
  <si>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</si>
  <si>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</si>
  <si>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</si>
  <si>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</si>
  <si>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</si>
  <si>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</si>
  <si>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</si>
  <si>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</si>
  <si>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</si>
  <si>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</si>
  <si>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</si>
  <si>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</si>
  <si>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</si>
  <si>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</si>
  <si>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</si>
  <si>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</si>
  <si>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</si>
  <si>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</si>
  <si>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</si>
  <si>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</si>
  <si>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</si>
  <si>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</si>
  <si>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</si>
  <si>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</si>
  <si>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</si>
  <si>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</si>
  <si>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</si>
  <si>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</si>
  <si>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</si>
  <si>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</si>
  <si>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</si>
  <si>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</si>
  <si>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</si>
  <si>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</si>
  <si>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</si>
  <si>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</si>
  <si>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</si>
  <si>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</si>
  <si>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</si>
  <si>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</si>
  <si>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</si>
  <si>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</si>
  <si>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</si>
  <si>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</si>
  <si>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</si>
  <si>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</si>
  <si>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</si>
  <si>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</si>
  <si>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</si>
  <si>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</si>
  <si>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</si>
  <si>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</si>
  <si>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</si>
  <si>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</si>
  <si>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</si>
  <si>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</si>
  <si>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</si>
  <si>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</si>
  <si>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</si>
  <si>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</si>
  <si>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</si>
  <si>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</si>
  <si>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</si>
  <si>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</si>
  <si>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</si>
  <si>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</si>
  <si>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</si>
  <si>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</si>
  <si>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</si>
  <si>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</si>
  <si>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</si>
  <si>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</si>
  <si>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</si>
  <si>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</si>
  <si>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</si>
  <si>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</si>
  <si>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</si>
  <si>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</si>
  <si>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</si>
  <si>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</si>
  <si>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</si>
  <si>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</si>
  <si>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</si>
  <si>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</si>
  <si>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</si>
  <si>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</si>
  <si>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</si>
  <si>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</si>
  <si>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</si>
  <si>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</si>
  <si>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</si>
  <si>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</si>
  <si>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</si>
  <si>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</si>
  <si>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</si>
  <si>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</si>
  <si>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</si>
  <si>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</si>
  <si>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</si>
  <si>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</si>
  <si>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</si>
  <si>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</si>
  <si>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</si>
  <si>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</si>
  <si>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</si>
  <si>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</si>
  <si>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</si>
  <si>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</si>
  <si>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</si>
  <si>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</si>
  <si>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</si>
  <si>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</si>
  <si>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</si>
  <si>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</si>
  <si>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</si>
  <si>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</si>
  <si>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</si>
  <si>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</si>
  <si>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</si>
  <si>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</si>
  <si>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</si>
  <si>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</si>
  <si>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</si>
  <si>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</si>
  <si>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</si>
  <si>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</si>
  <si>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</si>
  <si>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</si>
  <si>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</si>
  <si>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</si>
  <si>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</si>
  <si>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</si>
  <si>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</si>
  <si>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</si>
  <si>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</si>
  <si>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</si>
  <si>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</si>
  <si>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</si>
  <si>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</si>
  <si>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</si>
  <si>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</si>
  <si>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</si>
  <si>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</si>
  <si>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</si>
  <si>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</si>
  <si>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</si>
  <si>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</si>
  <si>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</si>
  <si>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</si>
  <si>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</si>
  <si>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</si>
  <si>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</si>
  <si>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</si>
  <si>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</si>
  <si>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</si>
  <si>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</si>
  <si>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</si>
  <si>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</si>
  <si>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</si>
  <si>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</si>
  <si>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</si>
  <si>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</si>
  <si>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</si>
  <si>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</si>
  <si>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</si>
  <si>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</si>
  <si>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</si>
  <si>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</si>
  <si>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</si>
  <si>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</si>
  <si>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</si>
  <si>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</si>
  <si>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</si>
  <si>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</si>
  <si>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</si>
  <si>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</si>
  <si>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</si>
  <si>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</si>
  <si>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</si>
  <si>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</si>
  <si>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</si>
  <si>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</si>
  <si>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</si>
  <si>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</si>
  <si>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</si>
  <si>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</si>
  <si>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</si>
  <si>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</si>
  <si>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</si>
  <si>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</si>
  <si>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</si>
  <si>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</si>
  <si>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</si>
  <si>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</si>
  <si>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</si>
  <si>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</si>
  <si>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</si>
  <si>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</si>
  <si>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</si>
  <si>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</si>
  <si>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</si>
  <si>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</si>
  <si>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</si>
  <si>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</si>
  <si>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</si>
  <si>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</si>
  <si>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</si>
  <si>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</si>
  <si>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</si>
  <si>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</si>
  <si>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</si>
  <si>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</si>
  <si>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</si>
  <si>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</si>
  <si>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</si>
  <si>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</si>
  <si>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</si>
  <si>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</si>
  <si>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</si>
  <si>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</si>
  <si>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</si>
  <si>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</si>
  <si>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</si>
  <si>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</si>
  <si>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</si>
  <si>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</si>
  <si>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</si>
  <si>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</si>
  <si>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</si>
  <si>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</si>
  <si>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</si>
  <si>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</si>
  <si>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</si>
  <si>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</si>
  <si>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</si>
  <si>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</si>
  <si>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</si>
  <si>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</si>
  <si>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</si>
  <si>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</si>
  <si>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</si>
  <si>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</si>
  <si>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</si>
  <si>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</si>
  <si>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</si>
  <si>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</si>
  <si>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</si>
  <si>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</si>
  <si>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</si>
  <si>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</si>
  <si>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</si>
  <si>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</si>
  <si>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</si>
  <si>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</si>
  <si>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</si>
  <si>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</si>
  <si>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</si>
  <si>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</si>
  <si>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</si>
  <si>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</si>
  <si>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</si>
  <si>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</si>
  <si>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</si>
  <si>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</si>
  <si>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</si>
  <si>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</si>
  <si>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</si>
  <si>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</si>
  <si>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</si>
  <si>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</si>
  <si>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</si>
  <si>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</si>
  <si>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</si>
  <si>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</si>
  <si>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</si>
  <si>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</si>
  <si>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</si>
  <si>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</si>
  <si>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</si>
  <si>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</si>
  <si>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</si>
  <si>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</si>
  <si>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</si>
  <si>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</si>
  <si>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</si>
  <si>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</si>
  <si>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</si>
  <si>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</si>
  <si>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</si>
  <si>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</si>
  <si>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</si>
  <si>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</si>
  <si>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</si>
  <si>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</si>
  <si>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</si>
  <si>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</si>
  <si>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</si>
  <si>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</si>
  <si>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</si>
  <si>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</si>
  <si>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</si>
  <si>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</si>
  <si>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</si>
  <si>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</si>
  <si>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</si>
  <si>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</si>
  <si>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</si>
  <si>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</si>
  <si>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</si>
  <si>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</si>
  <si>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</si>
  <si>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</si>
  <si>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</si>
  <si>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</si>
  <si>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</si>
  <si>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</si>
  <si>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</si>
  <si>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</si>
  <si>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</si>
  <si>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</si>
  <si>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</si>
  <si>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</si>
  <si>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</si>
  <si>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</si>
  <si>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</si>
  <si>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</si>
  <si>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</si>
  <si>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</si>
  <si>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</si>
  <si>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</si>
  <si>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</si>
  <si>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</si>
  <si>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</si>
  <si>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</si>
  <si>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</si>
  <si>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</si>
  <si>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</si>
  <si>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</si>
  <si>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</si>
  <si>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</si>
  <si>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</si>
  <si>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</si>
  <si>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</si>
  <si>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</si>
  <si>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</si>
  <si>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</si>
  <si>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</si>
  <si>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</si>
  <si>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</si>
  <si>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</si>
  <si>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</si>
  <si>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</si>
  <si>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</si>
  <si>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</si>
  <si>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</si>
  <si>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</si>
  <si>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</si>
  <si>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</si>
  <si>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</si>
  <si>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</si>
  <si>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</si>
  <si>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</si>
  <si>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</si>
  <si>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</si>
  <si>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</si>
  <si>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</si>
  <si>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</si>
  <si>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</si>
  <si>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</si>
  <si>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</si>
  <si>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</si>
  <si>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</si>
  <si>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</si>
  <si>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</si>
  <si>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</si>
  <si>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</si>
  <si>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</si>
  <si>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</si>
  <si>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</si>
  <si>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</si>
  <si>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</si>
  <si>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</si>
  <si>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</si>
  <si>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</si>
  <si>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</si>
  <si>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</si>
  <si>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</si>
  <si>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</si>
  <si>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</si>
  <si>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</si>
  <si>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</si>
  <si>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</si>
  <si>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</si>
  <si>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</si>
  <si>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</si>
  <si>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</si>
  <si>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</si>
  <si>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</si>
  <si>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</si>
  <si>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</si>
  <si>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</si>
  <si>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</si>
  <si>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</si>
  <si>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</si>
  <si>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</si>
  <si>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</si>
  <si>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</si>
  <si>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</si>
  <si>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</si>
  <si>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</si>
  <si>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</si>
  <si>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</si>
  <si>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</si>
  <si>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</si>
  <si>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</si>
  <si>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</si>
  <si>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</si>
  <si>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</si>
  <si>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</si>
  <si>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</si>
  <si>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</si>
  <si>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</si>
  <si>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</si>
  <si>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</si>
  <si>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</si>
  <si>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</si>
  <si>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</si>
  <si>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</si>
  <si>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</si>
  <si>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</si>
  <si>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</si>
  <si>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</si>
  <si>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</si>
  <si>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</si>
  <si>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</si>
  <si>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</si>
  <si>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</si>
  <si>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</si>
  <si>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</si>
  <si>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</si>
  <si>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</si>
  <si>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</si>
  <si>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</si>
  <si>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</si>
  <si>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</si>
  <si>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</si>
  <si>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</si>
  <si>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</si>
  <si>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</si>
  <si>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</si>
  <si>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</si>
  <si>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</si>
  <si>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</si>
  <si>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</si>
  <si>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</si>
  <si>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</si>
  <si>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</si>
  <si>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</si>
  <si>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</si>
  <si>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</si>
  <si>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</si>
  <si>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</si>
  <si>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</si>
  <si>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</si>
  <si>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</si>
  <si>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</si>
  <si>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</si>
  <si>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</si>
  <si>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</si>
  <si>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</si>
  <si>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</si>
  <si>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</si>
  <si>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</si>
  <si>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</si>
  <si>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</si>
  <si>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</si>
  <si>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</si>
  <si>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</si>
  <si>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</si>
  <si>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</si>
  <si>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</si>
  <si>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</si>
  <si>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</si>
  <si>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</si>
  <si>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</si>
  <si>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</si>
  <si>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</si>
  <si>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</si>
  <si>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</si>
  <si>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</si>
  <si>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</si>
  <si>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</si>
  <si>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</si>
  <si>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</si>
  <si>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</si>
  <si>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</si>
  <si>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</si>
  <si>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</si>
  <si>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</si>
  <si>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</si>
  <si>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</si>
  <si>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</si>
  <si>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</si>
  <si>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</si>
  <si>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</si>
  <si>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</si>
  <si>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</si>
  <si>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</si>
  <si>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</si>
  <si>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</si>
  <si>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</si>
  <si>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</si>
  <si>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</si>
  <si>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</si>
  <si>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</si>
  <si>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</si>
  <si>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</si>
  <si>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</si>
  <si>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</si>
  <si>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</si>
  <si>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</si>
  <si>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</si>
  <si>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</si>
  <si>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</si>
  <si>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</si>
  <si>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</si>
  <si>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</si>
  <si>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</si>
  <si>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</si>
  <si>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</si>
  <si>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</si>
  <si>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</si>
  <si>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</si>
  <si>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</si>
  <si>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</si>
  <si>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</si>
  <si>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</si>
  <si>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</si>
  <si>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</si>
  <si>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</si>
  <si>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</si>
  <si>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</si>
  <si>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</si>
  <si>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</si>
  <si>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</si>
  <si>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</si>
  <si>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</si>
  <si>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</si>
  <si>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</si>
  <si>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</si>
  <si>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</si>
  <si>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</si>
  <si>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</si>
  <si>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</si>
  <si>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</si>
  <si>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</si>
  <si>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</si>
  <si>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</si>
  <si>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</si>
  <si>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</si>
  <si>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</si>
  <si>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</si>
  <si>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</si>
  <si>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</si>
  <si>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</si>
  <si>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</si>
  <si>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</si>
  <si>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</si>
  <si>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</si>
  <si>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</si>
  <si>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</si>
  <si>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</si>
  <si>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</si>
  <si>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</si>
  <si>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</si>
  <si>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</si>
  <si>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</si>
  <si>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</si>
  <si>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</si>
  <si>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</si>
  <si>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</si>
  <si>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</si>
  <si>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</si>
  <si>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</si>
  <si>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</si>
  <si>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</si>
  <si>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</si>
  <si>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</si>
  <si>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</si>
  <si>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</si>
  <si>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</si>
  <si>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</si>
  <si>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</si>
  <si>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</si>
  <si>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</si>
  <si>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</si>
  <si>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</si>
  <si>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</si>
  <si>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</si>
  <si>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</si>
  <si>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</si>
  <si>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</si>
  <si>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</si>
  <si>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</si>
  <si>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</si>
  <si>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</si>
  <si>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</si>
  <si>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</si>
  <si>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</si>
  <si>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</si>
  <si>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</si>
  <si>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</si>
  <si>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</si>
  <si>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</si>
  <si>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</si>
  <si>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</si>
  <si>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</si>
  <si>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</si>
  <si>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</si>
  <si>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</si>
  <si>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</si>
  <si>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</si>
  <si>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</si>
  <si>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</si>
  <si>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</si>
  <si>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</si>
  <si>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</si>
  <si>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</si>
  <si>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</si>
  <si>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</si>
  <si>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</si>
  <si>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</si>
  <si>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</si>
  <si>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</si>
  <si>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</si>
  <si>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</si>
  <si>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</si>
  <si>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</si>
  <si>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</si>
  <si>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</si>
  <si>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</si>
  <si>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</si>
  <si>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</si>
  <si>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</si>
  <si>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</si>
  <si>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</si>
  <si>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</si>
  <si>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</si>
  <si>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</si>
  <si>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</si>
  <si>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</si>
  <si>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</si>
  <si>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</si>
  <si>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</si>
  <si>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</si>
  <si>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</si>
  <si>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</si>
  <si>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</si>
  <si>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</si>
  <si>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</si>
  <si>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</si>
  <si>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</si>
  <si>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</si>
  <si>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</si>
  <si>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</si>
  <si>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</si>
  <si>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</si>
  <si>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</si>
  <si>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</si>
  <si>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</si>
  <si>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</si>
  <si>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</si>
  <si>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</si>
  <si>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</si>
  <si>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</si>
  <si>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</si>
  <si>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</si>
  <si>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</si>
  <si>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</si>
  <si>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</si>
  <si>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</si>
  <si>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</si>
  <si>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</si>
  <si>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</si>
  <si>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</si>
  <si>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</si>
  <si>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</si>
  <si>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</si>
  <si>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</si>
  <si>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</si>
  <si>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</si>
  <si>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</si>
  <si>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</si>
  <si>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</si>
  <si>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</si>
  <si>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</si>
  <si>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</si>
  <si>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</si>
  <si>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</si>
  <si>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</si>
  <si>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</si>
  <si>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</si>
  <si>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</si>
  <si>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</si>
  <si>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</si>
  <si>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</si>
  <si>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</si>
  <si>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</si>
  <si>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</si>
  <si>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</si>
  <si>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</si>
  <si>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</si>
  <si>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</si>
  <si>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</si>
  <si>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</si>
  <si>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</si>
  <si>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</si>
  <si>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</si>
  <si>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</si>
  <si>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</si>
  <si>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</si>
  <si>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</si>
  <si>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</si>
  <si>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</si>
  <si>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</si>
  <si>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</si>
  <si>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</si>
  <si>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</si>
  <si>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</si>
  <si>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</si>
  <si>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</si>
  <si>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</si>
  <si>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</si>
  <si>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</si>
  <si>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</si>
  <si>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</si>
  <si>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</si>
  <si>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</si>
  <si>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</si>
  <si>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</si>
  <si>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</si>
  <si>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</si>
  <si>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</si>
  <si>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</si>
  <si>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</si>
  <si>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</si>
  <si>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</si>
  <si>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</si>
  <si>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</si>
  <si>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</si>
  <si>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</si>
  <si>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</si>
  <si>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</si>
  <si>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</si>
  <si>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</si>
  <si>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</si>
  <si>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</si>
  <si>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</si>
  <si>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</si>
  <si>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</si>
  <si>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</si>
  <si>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</si>
  <si>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</si>
  <si>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</si>
  <si>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</si>
  <si>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</si>
  <si>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</si>
  <si>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</si>
  <si>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</si>
  <si>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</si>
  <si>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</si>
  <si>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</si>
  <si>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</si>
  <si>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</si>
  <si>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</si>
  <si>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</si>
  <si>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</si>
  <si>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</si>
  <si>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</si>
  <si>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</si>
  <si>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</si>
  <si>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</si>
  <si>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</si>
  <si>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</si>
  <si>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</si>
  <si>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</si>
  <si>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</si>
  <si>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</si>
  <si>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</si>
  <si>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</si>
  <si>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</si>
  <si>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</si>
  <si>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</si>
  <si>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</si>
  <si>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</si>
  <si>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</si>
  <si>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</si>
  <si>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</si>
  <si>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</si>
  <si>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</si>
  <si>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</si>
  <si>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</si>
  <si>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</si>
  <si>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</si>
  <si>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</si>
  <si>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</si>
  <si>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</si>
  <si>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</si>
  <si>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</si>
  <si>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</si>
  <si>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</si>
  <si>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</si>
  <si>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</si>
  <si>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</si>
  <si>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</si>
  <si>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</si>
  <si>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</si>
  <si>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</si>
  <si>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</si>
  <si>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</si>
  <si>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</si>
  <si>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</si>
  <si>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</si>
  <si>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</si>
  <si>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</si>
  <si>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</si>
  <si>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</si>
  <si>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</si>
  <si>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</si>
  <si>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</si>
  <si>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</si>
  <si>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</si>
  <si>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</si>
  <si>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</si>
  <si>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</si>
  <si>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</si>
  <si>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</si>
  <si>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</si>
  <si>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</si>
  <si>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</si>
  <si>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</si>
  <si>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</si>
  <si>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</si>
  <si>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</si>
  <si>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</si>
  <si>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</si>
  <si>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</si>
  <si>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</si>
  <si>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</si>
  <si>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</si>
  <si>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</si>
  <si>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</si>
  <si>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</si>
  <si>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</si>
  <si>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</si>
  <si>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</si>
  <si>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</si>
  <si>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</si>
  <si>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</si>
  <si>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</si>
  <si>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</si>
  <si>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</si>
  <si>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</si>
  <si>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</si>
  <si>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</si>
  <si>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</si>
  <si>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</si>
  <si>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</si>
  <si>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</si>
  <si>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</si>
  <si>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</si>
  <si>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</si>
  <si>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</si>
  <si>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</si>
  <si>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</si>
  <si>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</si>
  <si>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</si>
  <si>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</si>
  <si>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</si>
  <si>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</si>
  <si>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</si>
  <si>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</si>
  <si>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</si>
  <si>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</si>
  <si>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</si>
  <si>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</si>
  <si>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</si>
  <si>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</si>
  <si>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</si>
  <si>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</si>
  <si>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</si>
  <si>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</si>
  <si>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</si>
  <si>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</si>
  <si>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</si>
  <si>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</si>
  <si>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</si>
  <si>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</si>
  <si>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</si>
  <si>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</si>
  <si>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</si>
  <si>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</si>
  <si>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</si>
  <si>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</si>
  <si>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</si>
  <si>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</si>
  <si>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</si>
  <si>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</si>
  <si>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</si>
  <si>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</si>
  <si>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</si>
  <si>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</si>
  <si>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</si>
  <si>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</si>
  <si>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</si>
  <si>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</si>
  <si>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</si>
  <si>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</si>
  <si>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</si>
  <si>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</si>
  <si>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</si>
  <si>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</si>
  <si>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</si>
  <si>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</si>
  <si>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</si>
  <si>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</si>
  <si>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</si>
  <si>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</si>
  <si>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</si>
  <si>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</si>
  <si>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</si>
  <si>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</si>
  <si>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</si>
  <si>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</si>
  <si>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</si>
  <si>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</si>
  <si>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</si>
  <si>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</si>
  <si>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</si>
  <si>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</si>
  <si>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</si>
  <si>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</si>
  <si>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</si>
  <si>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</si>
  <si>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</si>
  <si>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</si>
  <si>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</si>
  <si>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</si>
  <si>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</si>
  <si>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</si>
  <si>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</si>
  <si>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</si>
  <si>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</si>
  <si>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</si>
  <si>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</si>
  <si>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</si>
  <si>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</si>
  <si>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</si>
  <si>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</si>
  <si>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</si>
  <si>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</si>
  <si>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</si>
  <si>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</si>
  <si>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</si>
  <si>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</si>
  <si>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</si>
  <si>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</si>
  <si>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</si>
  <si>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</si>
  <si>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</si>
  <si>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</si>
  <si>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</si>
  <si>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</si>
  <si>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</si>
  <si>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</si>
  <si>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</si>
  <si>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</si>
  <si>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</si>
  <si>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</si>
  <si>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</si>
  <si>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</si>
  <si>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</si>
  <si>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</si>
  <si>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</si>
  <si>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</si>
  <si>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</si>
  <si>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</si>
  <si>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</si>
  <si>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</si>
  <si>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</si>
  <si>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</si>
  <si>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</si>
  <si>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</si>
  <si>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</si>
  <si>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</si>
  <si>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</si>
  <si>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</si>
  <si>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</si>
  <si>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</si>
  <si>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</si>
  <si>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</si>
  <si>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</si>
  <si>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</si>
  <si>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</si>
  <si>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</si>
  <si>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</si>
  <si>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</si>
  <si>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</si>
  <si>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</si>
  <si>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</si>
  <si>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</si>
  <si>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</si>
  <si>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</si>
  <si>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</si>
  <si>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</si>
  <si>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</si>
  <si>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</si>
  <si>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</si>
  <si>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</si>
  <si>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</si>
  <si>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</si>
  <si>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</si>
  <si>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</si>
  <si>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</si>
  <si>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</si>
  <si>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</si>
  <si>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</si>
  <si>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</si>
  <si>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</si>
  <si>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</si>
  <si>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</si>
  <si>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</si>
  <si>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</si>
  <si>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</si>
  <si>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</si>
  <si>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</si>
  <si>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</si>
  <si>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</si>
  <si>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</si>
  <si>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</si>
  <si>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</si>
  <si>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</si>
  <si>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</si>
  <si>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</si>
  <si>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</si>
  <si>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</si>
  <si>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</si>
  <si>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</si>
  <si>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</si>
  <si>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</si>
  <si>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</si>
  <si>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</si>
  <si>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</si>
  <si>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</si>
  <si>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</si>
  <si>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</si>
  <si>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</si>
  <si>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</si>
  <si>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</si>
  <si>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</si>
  <si>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</si>
  <si>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</si>
  <si>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</si>
  <si>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</si>
  <si>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</si>
  <si>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</si>
  <si>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</si>
  <si>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</si>
  <si>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</si>
  <si>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</si>
  <si>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</si>
  <si>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</si>
  <si>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</si>
  <si>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</si>
  <si>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</si>
  <si>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</si>
  <si>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</si>
  <si>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</si>
  <si>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</si>
  <si>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</si>
  <si>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</si>
  <si>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</si>
  <si>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</si>
  <si>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</si>
  <si>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</si>
  <si>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</si>
  <si>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</si>
  <si>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</si>
  <si>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</si>
  <si>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</si>
  <si>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</si>
  <si>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</si>
  <si>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</si>
  <si>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</si>
  <si>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</si>
  <si>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</si>
  <si>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</si>
  <si>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</si>
  <si>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</si>
  <si>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</si>
  <si>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</si>
  <si>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</si>
  <si>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</si>
  <si>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</si>
  <si>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</si>
  <si>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</si>
  <si>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</si>
  <si>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</si>
  <si>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</si>
  <si>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</si>
  <si>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</si>
  <si>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</si>
  <si>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</si>
  <si>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</si>
  <si>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</si>
  <si>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</si>
  <si>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</si>
  <si>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</si>
  <si>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</si>
  <si>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</si>
  <si>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</si>
  <si>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</si>
  <si>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</si>
  <si>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</si>
  <si>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</si>
  <si>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</si>
  <si>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</si>
  <si>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</si>
  <si>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</si>
  <si>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</si>
  <si>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</si>
  <si>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</si>
  <si>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</si>
  <si>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</si>
  <si>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</si>
  <si>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</si>
  <si>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</si>
  <si>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</si>
  <si>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</si>
  <si>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</si>
  <si>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</si>
  <si>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</si>
  <si>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</si>
  <si>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</si>
  <si>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</si>
  <si>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</si>
  <si>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</si>
  <si>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</si>
  <si>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</si>
  <si>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</si>
  <si>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</si>
  <si>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</si>
  <si>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</si>
  <si>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</si>
  <si>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</si>
  <si>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</si>
  <si>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</si>
  <si>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</si>
  <si>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</si>
  <si>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</si>
  <si>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</si>
  <si>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</si>
  <si>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</si>
  <si>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</si>
  <si>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</si>
  <si>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</si>
  <si>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</si>
  <si>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</si>
  <si>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</si>
  <si>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</si>
  <si>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</si>
  <si>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</si>
  <si>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</si>
  <si>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</si>
  <si>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</si>
  <si>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</si>
  <si>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</si>
  <si>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</si>
  <si>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</si>
  <si>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</si>
  <si>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</si>
  <si>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</si>
  <si>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</si>
  <si>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</si>
  <si>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</si>
  <si>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</si>
  <si>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</si>
  <si>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</si>
  <si>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</si>
  <si>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</si>
  <si>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</si>
  <si>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</si>
  <si>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</si>
  <si>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</si>
  <si>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</si>
  <si>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</si>
  <si>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</si>
  <si>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</si>
  <si>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</si>
  <si>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</si>
  <si>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</si>
  <si>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</si>
  <si>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</si>
  <si>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</si>
  <si>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</si>
  <si>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</si>
  <si>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</si>
  <si>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</si>
  <si>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</si>
  <si>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</si>
  <si>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</si>
  <si>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</si>
  <si>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</si>
  <si>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</si>
  <si>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</si>
  <si>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</si>
  <si>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</si>
  <si>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</si>
  <si>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</si>
  <si>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</si>
  <si>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</si>
  <si>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</si>
  <si>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</si>
  <si>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</si>
  <si>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</si>
  <si>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</si>
  <si>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</si>
  <si>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</si>
  <si>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</si>
  <si>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</si>
  <si>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</si>
  <si>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</si>
  <si>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</si>
  <si>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</si>
  <si>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</si>
  <si>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</si>
  <si>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</si>
  <si>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</si>
  <si>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</si>
  <si>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</si>
  <si>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</si>
  <si>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</si>
  <si>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</si>
  <si>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</si>
  <si>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</si>
  <si>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</si>
  <si>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</si>
  <si>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</si>
  <si>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</si>
  <si>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</si>
  <si>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</si>
  <si>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</si>
  <si>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</si>
  <si>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</si>
  <si>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</si>
  <si>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</si>
  <si>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</si>
  <si>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</si>
  <si>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</si>
  <si>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</si>
  <si>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</si>
  <si>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</si>
  <si>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</si>
  <si>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</si>
  <si>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</si>
  <si>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</si>
  <si>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</si>
  <si>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</si>
  <si>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</si>
  <si>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</si>
  <si>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</si>
  <si>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</si>
  <si>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</si>
  <si>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</si>
  <si>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</si>
  <si>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</si>
  <si>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</si>
  <si>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</si>
  <si>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</si>
  <si>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</si>
  <si>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</si>
  <si>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</si>
  <si>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</si>
  <si>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</si>
  <si>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</si>
  <si>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</si>
  <si>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</si>
  <si>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</si>
  <si>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</si>
  <si>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</si>
  <si>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</si>
  <si>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</si>
  <si>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</si>
  <si>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</si>
  <si>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</si>
  <si>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</si>
  <si>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</si>
  <si>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</si>
  <si>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</si>
  <si>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</si>
  <si>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</si>
  <si>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</si>
  <si>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</si>
  <si>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</si>
  <si>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</si>
  <si>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</si>
  <si>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</si>
  <si>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</si>
  <si>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</si>
  <si>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</si>
  <si>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</si>
  <si>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</si>
  <si>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</si>
  <si>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</si>
  <si>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</si>
  <si>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</si>
  <si>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</si>
  <si>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</si>
  <si>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</si>
  <si>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</si>
  <si>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</si>
  <si>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</si>
  <si>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</si>
  <si>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</si>
  <si>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</si>
  <si>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</si>
  <si>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</si>
  <si>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</si>
  <si>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</si>
  <si>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</si>
  <si>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</si>
  <si>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</si>
  <si>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</si>
  <si>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</si>
  <si>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</si>
  <si>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</si>
  <si>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</si>
  <si>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</si>
  <si>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</si>
  <si>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</si>
  <si>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</si>
  <si>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</si>
  <si>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</si>
  <si>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</si>
  <si>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</si>
  <si>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</si>
  <si>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</si>
  <si>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</si>
  <si>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</si>
  <si>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</si>
  <si>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</si>
  <si>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</si>
  <si>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</si>
  <si>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</si>
  <si>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</si>
  <si>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</si>
  <si>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</si>
  <si>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</si>
  <si>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建筑面积</t>
    <phoneticPr fontId="146" type="noConversion"/>
  </si>
  <si>
    <t>套内建筑面积</t>
    <phoneticPr fontId="146" type="noConversion"/>
  </si>
  <si>
    <t>土地面积</t>
    <phoneticPr fontId="146" type="noConversion"/>
  </si>
  <si>
    <t>土地终止日期</t>
    <phoneticPr fontId="146" type="noConversion"/>
  </si>
  <si>
    <t>万元</t>
  </si>
  <si>
    <t>楼面单价</t>
  </si>
  <si>
    <t>是</t>
  </si>
  <si>
    <t>商业</t>
  </si>
  <si>
    <t>无租约</t>
  </si>
  <si>
    <t>利息：取LPR加浮动点数</t>
  </si>
  <si>
    <t>设定收益年期(n)</t>
  </si>
  <si>
    <t>钢混</t>
  </si>
  <si>
    <t>非生产用房</t>
  </si>
  <si>
    <t>否</t>
  </si>
  <si>
    <t>仅计算典型户型</t>
  </si>
  <si>
    <t>比较法-商业</t>
  </si>
  <si>
    <t>收益法</t>
  </si>
  <si>
    <r>
      <t>1</t>
    </r>
    <r>
      <rPr>
        <sz val="10"/>
        <color indexed="8"/>
        <rFont val="宋体"/>
        <family val="3"/>
        <charset val="134"/>
      </rPr>
      <t>层</t>
    </r>
    <phoneticPr fontId="20" type="noConversion"/>
  </si>
  <si>
    <r>
      <t>2</t>
    </r>
    <r>
      <rPr>
        <sz val="10"/>
        <color indexed="8"/>
        <rFont val="宋体"/>
        <family val="3"/>
        <charset val="134"/>
      </rPr>
      <t>层</t>
    </r>
    <phoneticPr fontId="20" type="noConversion"/>
  </si>
  <si>
    <r>
      <t>3</t>
    </r>
    <r>
      <rPr>
        <sz val="10"/>
        <color indexed="8"/>
        <rFont val="宋体"/>
        <family val="3"/>
        <charset val="134"/>
      </rPr>
      <t>层</t>
    </r>
    <phoneticPr fontId="20" type="noConversion"/>
  </si>
  <si>
    <t>1层</t>
  </si>
  <si>
    <t>3层</t>
  </si>
  <si>
    <t>估价对象1（结果表1修多）</t>
  </si>
  <si>
    <t>个人</t>
    <phoneticPr fontId="146" type="noConversion"/>
  </si>
  <si>
    <t>普通</t>
    <phoneticPr fontId="146" type="noConversion"/>
  </si>
  <si>
    <t>超高层高</t>
  </si>
  <si>
    <t>超高层高</t>
    <phoneticPr fontId="146" type="noConversion"/>
  </si>
  <si>
    <t>个人所得税</t>
    <phoneticPr fontId="146" type="noConversion"/>
  </si>
  <si>
    <t>房产税</t>
    <phoneticPr fontId="146" type="noConversion"/>
  </si>
  <si>
    <t>增值税</t>
    <phoneticPr fontId="146" type="noConversion"/>
  </si>
  <si>
    <t>其他：</t>
  </si>
  <si>
    <r>
      <rPr>
        <sz val="10"/>
        <color indexed="8"/>
        <rFont val="宋体"/>
        <family val="3"/>
        <charset val="134"/>
      </rPr>
      <t>年租金收入</t>
    </r>
    <r>
      <rPr>
        <sz val="10"/>
        <color indexed="8"/>
        <rFont val="Arial"/>
        <family val="2"/>
      </rPr>
      <t>×</t>
    </r>
    <r>
      <rPr>
        <sz val="10"/>
        <color indexed="8"/>
        <rFont val="宋体"/>
        <family val="3"/>
        <charset val="134"/>
      </rPr>
      <t>费率</t>
    </r>
    <phoneticPr fontId="4" type="noConversion"/>
  </si>
  <si>
    <t>层高</t>
    <phoneticPr fontId="20" type="noConversion"/>
  </si>
  <si>
    <t>超高层高</t>
    <phoneticPr fontId="20" type="noConversion"/>
  </si>
  <si>
    <t>标准层高</t>
  </si>
  <si>
    <t>标准层高</t>
    <phoneticPr fontId="20" type="noConversion"/>
  </si>
  <si>
    <t>年租金</t>
    <phoneticPr fontId="146" type="noConversion"/>
  </si>
  <si>
    <t>单价</t>
    <phoneticPr fontId="146" type="noConversion"/>
  </si>
  <si>
    <t>不含税费、不含物业</t>
    <phoneticPr fontId="146" type="noConversion"/>
  </si>
  <si>
    <t>较好</t>
    <phoneticPr fontId="20" type="noConversion"/>
  </si>
  <si>
    <t>六通</t>
  </si>
  <si>
    <t>六通</t>
    <phoneticPr fontId="20" type="noConversion"/>
  </si>
  <si>
    <t>一般</t>
    <phoneticPr fontId="20" type="noConversion"/>
  </si>
  <si>
    <t>商业</t>
    <phoneticPr fontId="25" type="noConversion"/>
  </si>
  <si>
    <t>华盛沁园</t>
    <phoneticPr fontId="4" type="noConversion"/>
  </si>
  <si>
    <t>20-30（含）</t>
  </si>
  <si>
    <t>多面临街</t>
    <phoneticPr fontId="25" type="noConversion"/>
  </si>
  <si>
    <t>双面临街</t>
    <phoneticPr fontId="25" type="noConversion"/>
  </si>
  <si>
    <t>单面临街</t>
  </si>
  <si>
    <t>单面临街</t>
    <phoneticPr fontId="25" type="noConversion"/>
  </si>
  <si>
    <t>大</t>
  </si>
  <si>
    <t>大</t>
    <phoneticPr fontId="25" type="noConversion"/>
  </si>
  <si>
    <t>较大</t>
  </si>
  <si>
    <t>较大</t>
    <phoneticPr fontId="25" type="noConversion"/>
  </si>
  <si>
    <t>一般</t>
    <phoneticPr fontId="25" type="noConversion"/>
  </si>
  <si>
    <t>较小</t>
    <phoneticPr fontId="25" type="noConversion"/>
  </si>
  <si>
    <t>小</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</si>
  <si>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</si>
  <si>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</si>
  <si>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3</t>
    </r>
    <r>
      <rPr>
        <sz val="11"/>
        <color indexed="8"/>
        <rFont val="宋体"/>
        <family val="3"/>
        <charset val="134"/>
      </rPr>
      <t>层</t>
    </r>
    <phoneticPr fontId="25" type="noConversion"/>
  </si>
  <si>
    <t>商业街</t>
    <phoneticPr fontId="25" type="noConversion"/>
  </si>
  <si>
    <t>商业综合体</t>
    <phoneticPr fontId="25" type="noConversion"/>
  </si>
  <si>
    <t>住宅配套</t>
  </si>
  <si>
    <t>住宅配套</t>
    <phoneticPr fontId="25" type="noConversion"/>
  </si>
  <si>
    <t>钢混</t>
    <phoneticPr fontId="25" type="noConversion"/>
  </si>
  <si>
    <t>精装修</t>
    <phoneticPr fontId="25" type="noConversion"/>
  </si>
  <si>
    <t>六通</t>
    <phoneticPr fontId="25" type="noConversion"/>
  </si>
  <si>
    <t>五通</t>
    <phoneticPr fontId="25" type="noConversion"/>
  </si>
  <si>
    <t>可餐饮</t>
  </si>
  <si>
    <t>可餐饮</t>
    <phoneticPr fontId="25" type="noConversion"/>
  </si>
  <si>
    <t>不可餐饮</t>
    <phoneticPr fontId="25" type="noConversion"/>
  </si>
  <si>
    <t>超高</t>
  </si>
  <si>
    <t>超高</t>
    <phoneticPr fontId="25" type="noConversion"/>
  </si>
  <si>
    <t>标准</t>
  </si>
  <si>
    <t>标准</t>
    <phoneticPr fontId="25" type="noConversion"/>
  </si>
  <si>
    <t>普通装修</t>
  </si>
  <si>
    <t>普通装修</t>
    <phoneticPr fontId="25" type="noConversion"/>
  </si>
  <si>
    <t>简单装修</t>
    <phoneticPr fontId="25" type="noConversion"/>
  </si>
  <si>
    <t>毛坯</t>
    <phoneticPr fontId="25" type="noConversion"/>
  </si>
  <si>
    <t>道路等级</t>
    <phoneticPr fontId="25" type="noConversion"/>
  </si>
  <si>
    <t>主干道</t>
    <phoneticPr fontId="25" type="noConversion"/>
  </si>
  <si>
    <t>次干道</t>
    <phoneticPr fontId="25" type="noConversion"/>
  </si>
  <si>
    <t>支路</t>
    <phoneticPr fontId="25" type="noConversion"/>
  </si>
  <si>
    <t>曙光西路</t>
    <phoneticPr fontId="4" type="noConversion"/>
  </si>
  <si>
    <t>金海湾公馆</t>
    <phoneticPr fontId="4" type="noConversion"/>
  </si>
  <si>
    <t>30-40（含）</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</si>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</sst>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0" fontId="42" fillId="20" borderId="1" xfId="0" applyFont="1" applyFill="1" applyBorder="1" applyAlignment="1" applyProtection="1">
      <alignment vertical="center" wrapText="1"/>
      <protection locked="0"/>
    </xf>
    <xf numFmtId="9" fontId="0" fillId="0" borderId="0" xfId="0" applyNumberFormat="1">
      <alignment vertical="center"/>
    </xf>
    <xf numFmtId="181" fontId="0" fillId="0" borderId="0" xfId="0" applyNumberFormat="1">
      <alignment vertical="center"/>
    </xf>
    <xf numFmtId="9" fontId="93" fillId="0" borderId="0" xfId="0" applyNumberFormat="1" applyFont="1">
      <alignment vertical="center"/>
    </xf>
    <xf numFmtId="0" fontId="255" fillId="5" borderId="1" xfId="0" applyFont="1" applyFill="1" applyBorder="1" applyAlignment="1" applyProtection="1">
      <alignment horizontal="left" vertical="center" wrapText="1"/>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2" fontId="53" fillId="8" borderId="0" xfId="0" applyNumberFormat="1" applyFont="1" applyFill="1" applyAlignment="1" applyProtection="1">
      <alignment vertical="center"/>
    </xf>
    <xf numFmtId="49" fontId="48" fillId="0" borderId="31" xfId="0" applyNumberFormat="1" applyFont="1" applyFill="1" applyBorder="1" applyAlignment="1" applyProtection="1">
      <alignment horizontal="left" vertical="center" wrapText="1"/>
      <protection locked="0"/>
    </xf>
    <xf numFmtId="49" fontId="16" fillId="0" borderId="6" xfId="0" applyNumberFormat="1" applyFont="1" applyFill="1" applyBorder="1" applyAlignment="1" applyProtection="1">
      <alignment horizontal="left" vertical="center" wrapText="1"/>
      <protection locked="0"/>
    </xf>
    <xf numFmtId="49" fontId="48" fillId="0" borderId="6" xfId="0" applyNumberFormat="1" applyFont="1" applyFill="1" applyBorder="1" applyAlignment="1" applyProtection="1">
      <alignment horizontal="left" vertical="center" wrapText="1"/>
      <protection locked="0"/>
    </xf>
    <xf numFmtId="0" fontId="16" fillId="0" borderId="6" xfId="0" applyFont="1" applyBorder="1" applyAlignment="1" applyProtection="1">
      <alignment horizontal="left" vertical="center" wrapText="1"/>
      <protection locked="0"/>
    </xf>
    <xf numFmtId="0" fontId="16"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82" fontId="0" fillId="0" borderId="0" xfId="0" applyNumberFormat="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65005</xdr:rowOff>
    </xdr:to>
    <xdr:pic>
      <xdr:nvPicPr>
        <xdr:cNvPr id="3" name="图片 2">
          <a:extLst>
            <a:ext uri="{FF2B5EF4-FFF2-40B4-BE49-F238E27FC236}">
              <a16:creationId xmlns:a16="http://schemas.microsoft.com/office/drawing/2014/main" xmlns="" id="{346D6531-49CA-A3D3-2E2B-CFE9E3E101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522705"/>
        </a:xfrm>
        <a:prstGeom prst="rect">
          <a:avLst/>
        </a:prstGeom>
      </xdr:spPr>
    </xdr:pic>
    <xdr:clientData/>
  </xdr:twoCellAnchor>
  <xdr:twoCellAnchor editAs="oneCell">
    <xdr:from>
      <xdr:col>0</xdr:col>
      <xdr:colOff>0</xdr:colOff>
      <xdr:row>27</xdr:row>
      <xdr:rowOff>0</xdr:rowOff>
    </xdr:from>
    <xdr:to>
      <xdr:col>11</xdr:col>
      <xdr:colOff>228600</xdr:colOff>
      <xdr:row>50</xdr:row>
      <xdr:rowOff>156920</xdr:rowOff>
    </xdr:to>
    <xdr:pic>
      <xdr:nvPicPr>
        <xdr:cNvPr id="5" name="图片 4">
          <a:extLst>
            <a:ext uri="{FF2B5EF4-FFF2-40B4-BE49-F238E27FC236}">
              <a16:creationId xmlns:a16="http://schemas.microsoft.com/office/drawing/2014/main" xmlns="" id="{5A416255-1C8D-7839-55DE-494079B625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629150"/>
          <a:ext cx="7772400" cy="4100270"/>
        </a:xfrm>
        <a:prstGeom prst="rect">
          <a:avLst/>
        </a:prstGeom>
      </xdr:spPr>
    </xdr:pic>
    <xdr:clientData/>
  </xdr:twoCellAnchor>
  <xdr:twoCellAnchor editAs="oneCell">
    <xdr:from>
      <xdr:col>0</xdr:col>
      <xdr:colOff>0</xdr:colOff>
      <xdr:row>52</xdr:row>
      <xdr:rowOff>0</xdr:rowOff>
    </xdr:from>
    <xdr:to>
      <xdr:col>11</xdr:col>
      <xdr:colOff>228600</xdr:colOff>
      <xdr:row>76</xdr:row>
      <xdr:rowOff>168852</xdr:rowOff>
    </xdr:to>
    <xdr:pic>
      <xdr:nvPicPr>
        <xdr:cNvPr id="7" name="图片 6">
          <a:extLst>
            <a:ext uri="{FF2B5EF4-FFF2-40B4-BE49-F238E27FC236}">
              <a16:creationId xmlns:a16="http://schemas.microsoft.com/office/drawing/2014/main" xmlns="" id="{C83E6067-DAB7-055C-944F-DA08D085A2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283652"/>
        </a:xfrm>
        <a:prstGeom prst="rect">
          <a:avLst/>
        </a:prstGeom>
      </xdr:spPr>
    </xdr:pic>
    <xdr:clientData/>
  </xdr:twoCellAnchor>
  <xdr:twoCellAnchor editAs="oneCell">
    <xdr:from>
      <xdr:col>0</xdr:col>
      <xdr:colOff>0</xdr:colOff>
      <xdr:row>78</xdr:row>
      <xdr:rowOff>0</xdr:rowOff>
    </xdr:from>
    <xdr:to>
      <xdr:col>11</xdr:col>
      <xdr:colOff>228600</xdr:colOff>
      <xdr:row>101</xdr:row>
      <xdr:rowOff>29736</xdr:rowOff>
    </xdr:to>
    <xdr:pic>
      <xdr:nvPicPr>
        <xdr:cNvPr id="9" name="图片 8">
          <a:extLst>
            <a:ext uri="{FF2B5EF4-FFF2-40B4-BE49-F238E27FC236}">
              <a16:creationId xmlns:a16="http://schemas.microsoft.com/office/drawing/2014/main" xmlns="" id="{EB1BCBD4-B9BF-C711-F085-FB30BB5903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373100"/>
          <a:ext cx="7772400" cy="3973086"/>
        </a:xfrm>
        <a:prstGeom prst="rect">
          <a:avLst/>
        </a:prstGeom>
      </xdr:spPr>
    </xdr:pic>
    <xdr:clientData/>
  </xdr:twoCellAnchor>
  <xdr:twoCellAnchor editAs="oneCell">
    <xdr:from>
      <xdr:col>0</xdr:col>
      <xdr:colOff>0</xdr:colOff>
      <xdr:row>102</xdr:row>
      <xdr:rowOff>0</xdr:rowOff>
    </xdr:from>
    <xdr:to>
      <xdr:col>11</xdr:col>
      <xdr:colOff>228600</xdr:colOff>
      <xdr:row>128</xdr:row>
      <xdr:rowOff>54051</xdr:rowOff>
    </xdr:to>
    <xdr:pic>
      <xdr:nvPicPr>
        <xdr:cNvPr id="13" name="图片 12">
          <a:extLst>
            <a:ext uri="{FF2B5EF4-FFF2-40B4-BE49-F238E27FC236}">
              <a16:creationId xmlns:a16="http://schemas.microsoft.com/office/drawing/2014/main" xmlns="" id="{0E95C71F-E2A9-35FC-01F1-24BA172139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7487900"/>
          <a:ext cx="7772400" cy="4511751"/>
        </a:xfrm>
        <a:prstGeom prst="rect">
          <a:avLst/>
        </a:prstGeom>
      </xdr:spPr>
    </xdr:pic>
    <xdr:clientData/>
  </xdr:twoCellAnchor>
  <xdr:twoCellAnchor editAs="oneCell">
    <xdr:from>
      <xdr:col>0</xdr:col>
      <xdr:colOff>0</xdr:colOff>
      <xdr:row>129</xdr:row>
      <xdr:rowOff>0</xdr:rowOff>
    </xdr:from>
    <xdr:to>
      <xdr:col>11</xdr:col>
      <xdr:colOff>228600</xdr:colOff>
      <xdr:row>152</xdr:row>
      <xdr:rowOff>160287</xdr:rowOff>
    </xdr:to>
    <xdr:pic>
      <xdr:nvPicPr>
        <xdr:cNvPr id="15" name="图片 14">
          <a:extLst>
            <a:ext uri="{FF2B5EF4-FFF2-40B4-BE49-F238E27FC236}">
              <a16:creationId xmlns:a16="http://schemas.microsoft.com/office/drawing/2014/main" xmlns="" id="{BED193AD-02CE-9FB2-8CDB-E1D7C89FD7C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2117050"/>
          <a:ext cx="7772400" cy="4103637"/>
        </a:xfrm>
        <a:prstGeom prst="rect">
          <a:avLst/>
        </a:prstGeom>
      </xdr:spPr>
    </xdr:pic>
    <xdr:clientData/>
  </xdr:twoCellAnchor>
  <xdr:twoCellAnchor editAs="oneCell">
    <xdr:from>
      <xdr:col>12</xdr:col>
      <xdr:colOff>0</xdr:colOff>
      <xdr:row>1</xdr:row>
      <xdr:rowOff>0</xdr:rowOff>
    </xdr:from>
    <xdr:to>
      <xdr:col>22</xdr:col>
      <xdr:colOff>95250</xdr:colOff>
      <xdr:row>29</xdr:row>
      <xdr:rowOff>142875</xdr:rowOff>
    </xdr:to>
    <xdr:pic>
      <xdr:nvPicPr>
        <xdr:cNvPr id="17" name="图片 16">
          <a:extLst>
            <a:ext uri="{FF2B5EF4-FFF2-40B4-BE49-F238E27FC236}">
              <a16:creationId xmlns:a16="http://schemas.microsoft.com/office/drawing/2014/main" xmlns="" id="{D9B17530-6F70-6E09-AC98-8FBE00149A1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229600" y="171450"/>
          <a:ext cx="6953250" cy="4943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受您的委托，我公司对房地产进行了预评估。</v>
      </c>
    </row>
    <row r="7" spans="1:2">
      <c r="A7" s="1139" t="s">
        <v>862</v>
      </c>
      <c r="B7" s="1126" t="str">
        <f>'预评函-1'!A6</f>
        <v>估价对象为房地产，为所有。根据《》[]，估价对象建筑面积为829.41平方米。根据《》[]，估价对象（分摊）出让国有建设用地使用权面积为30.71平方米。估价对象用途为。</v>
      </c>
    </row>
    <row r="8" spans="1:2">
      <c r="A8" s="1139" t="s">
        <v>863</v>
      </c>
      <c r="B8" s="1126" t="str">
        <f>'预评函-1'!A8</f>
        <v>为估价委托人了解估价对象房地产市场价值提供参考依据。</v>
      </c>
    </row>
    <row r="9" spans="1:2">
      <c r="A9" s="1139" t="s">
        <v>864</v>
      </c>
      <c r="B9" s="1126" t="str">
        <f>'预评函-1'!A10</f>
        <v>2022年8月3日（评估专业人员实地查勘之日）</v>
      </c>
    </row>
    <row r="10" spans="1:2">
      <c r="A10" s="1139" t="s">
        <v>865</v>
      </c>
      <c r="B10" s="1126" t="str">
        <f>'预评函-1'!A13</f>
        <v>本次估价的“房地产价值”是指在正常市场情况下，在价值时点2022年8月3日，估价对象规划用途为，假定未设立法定优先受偿款下的房地产市场价值。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房地产</v>
      </c>
    </row>
    <row r="18" spans="1:2">
      <c r="A18" s="1139" t="s">
        <v>873</v>
      </c>
      <c r="B18" s="1126">
        <f>'预评函-2（1）'!C6</f>
        <v>829.41000000000008</v>
      </c>
    </row>
    <row r="19" spans="1:2">
      <c r="A19" s="1139" t="s">
        <v>874</v>
      </c>
      <c r="B19" s="1126">
        <f ca="1">'预评函-2（1）'!D7</f>
        <v>567</v>
      </c>
    </row>
    <row r="20" spans="1:2">
      <c r="A20" s="1139" t="s">
        <v>912</v>
      </c>
      <c r="B20" s="1126" t="str">
        <f>'预评函-2（1）'!C7</f>
        <v>总价（万元）</v>
      </c>
    </row>
    <row r="21" spans="1:2">
      <c r="A21" s="1139" t="s">
        <v>875</v>
      </c>
      <c r="B21" s="1126">
        <f ca="1">'预评函-2（1）'!D9</f>
        <v>6836</v>
      </c>
    </row>
    <row r="22" spans="1:2">
      <c r="A22" s="1139" t="s">
        <v>876</v>
      </c>
      <c r="B22" s="1126" t="str">
        <f ca="1">'预评函-2（1）'!D8</f>
        <v>伍佰陆拾柒万元整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567</v>
      </c>
    </row>
    <row r="30" spans="1:2">
      <c r="A30" s="1139" t="s">
        <v>882</v>
      </c>
      <c r="B30" s="1126" t="str">
        <f ca="1">'预评函-2（1）'!D16</f>
        <v>伍佰陆拾柒万元整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30.71</v>
      </c>
    </row>
    <row r="37" spans="1:2">
      <c r="A37" s="1139" t="s">
        <v>889</v>
      </c>
      <c r="B37" s="1126">
        <f>'预评函-2（2）'!D4</f>
        <v>0</v>
      </c>
    </row>
    <row r="38" spans="1:2">
      <c r="A38" s="1139" t="s">
        <v>890</v>
      </c>
      <c r="B38" s="1126">
        <f>'预评函-2（2）'!E4</f>
        <v>0</v>
      </c>
    </row>
    <row r="39" spans="1:2">
      <c r="A39" s="1139" t="s">
        <v>891</v>
      </c>
      <c r="B39" s="1126" t="str">
        <f>'预评函-2（2）'!D5</f>
        <v>零元整</v>
      </c>
    </row>
    <row r="40" spans="1:2">
      <c r="A40" s="1139" t="s">
        <v>892</v>
      </c>
      <c r="B40" s="1126">
        <f>'预评函-2（2）'!F4</f>
        <v>0</v>
      </c>
    </row>
    <row r="41" spans="1:2">
      <c r="A41" s="1139" t="s">
        <v>893</v>
      </c>
      <c r="B41" s="1126">
        <f>'预评函-2（2）'!G4</f>
        <v>0</v>
      </c>
    </row>
    <row r="42" spans="1:2" s="1136" customFormat="1" ht="16.2" thickBot="1">
      <c r="A42" s="1140" t="s">
        <v>894</v>
      </c>
      <c r="B42" s="1128" t="str">
        <f>'预评函-2（2）'!F5</f>
        <v>零元整</v>
      </c>
    </row>
    <row r="43" spans="1:2" ht="16.2"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6.2" thickBot="1">
      <c r="A55" s="1140" t="s">
        <v>906</v>
      </c>
      <c r="B55" s="1128">
        <f ca="1">'预评函-3'!B5</f>
        <v>1120070131</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6836</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2" sqref="B2"/>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8" thickBot="1">
      <c r="A1" s="2508" t="s">
        <v>1288</v>
      </c>
      <c r="B1" s="2509" t="str">
        <f>IF(B6="北京市","北京市",C6)&amp;IF(E12="房屋所有权证",B29,E29)&amp;D5&amp;"预评估"</f>
        <v>预评估</v>
      </c>
      <c r="C1" s="781"/>
      <c r="D1" s="781"/>
      <c r="E1" s="781"/>
      <c r="F1" s="1354" t="s">
        <v>1289</v>
      </c>
      <c r="G1" s="1120"/>
      <c r="I1" s="2836" t="str">
        <f>IF(B6="北京市","北京市",C6)&amp;IF(E12="房屋所有权证",B29,E29)&amp;"房地产"</f>
        <v>房地产</v>
      </c>
      <c r="J1" s="758"/>
      <c r="K1" s="2838"/>
      <c r="L1" s="2838"/>
      <c r="M1" s="2838"/>
      <c r="N1" s="758"/>
      <c r="O1" s="758"/>
      <c r="P1" s="758"/>
      <c r="Q1" s="758"/>
    </row>
    <row r="2" spans="1:17" ht="13.8" thickTop="1">
      <c r="A2" s="1355" t="s">
        <v>1290</v>
      </c>
      <c r="B2" s="2510">
        <v>44776</v>
      </c>
      <c r="C2" s="2808" t="s">
        <v>1291</v>
      </c>
      <c r="D2" s="2510">
        <f>B2</f>
        <v>44776</v>
      </c>
      <c r="E2" s="782"/>
      <c r="F2" s="782"/>
      <c r="G2" s="1121"/>
      <c r="H2" s="2820"/>
    </row>
    <row r="3" spans="1:17" ht="13.8" thickBot="1">
      <c r="A3" s="2511" t="s">
        <v>1292</v>
      </c>
      <c r="B3" s="2512" t="s">
        <v>3104</v>
      </c>
      <c r="C3" s="2513">
        <f ca="1">SUMIF(注册房地产估价师,B3,估价师及机构信息!B3:B16)</f>
        <v>0</v>
      </c>
      <c r="D3" s="2512" t="s">
        <v>3105</v>
      </c>
      <c r="E3" s="2514">
        <f ca="1">SUMIF(注册房地产估价师,D3,估价师及机构信息!B3:B16)</f>
        <v>1120070131</v>
      </c>
      <c r="F3" s="783"/>
      <c r="G3" s="1122"/>
      <c r="H3" s="2820"/>
    </row>
    <row r="4" spans="1:17" ht="13.5" customHeight="1" thickTop="1">
      <c r="A4" s="1355" t="s">
        <v>1293</v>
      </c>
      <c r="B4" s="1356" t="s">
        <v>2477</v>
      </c>
      <c r="C4" s="2809" t="s">
        <v>1294</v>
      </c>
      <c r="D4" s="1357"/>
      <c r="E4" s="782"/>
      <c r="F4" s="782"/>
      <c r="G4" s="1121"/>
    </row>
    <row r="5" spans="1:17" ht="24">
      <c r="A5" s="1358" t="s">
        <v>1295</v>
      </c>
      <c r="B5" s="1359" t="s">
        <v>2478</v>
      </c>
      <c r="C5" s="2810" t="s">
        <v>1296</v>
      </c>
      <c r="D5" s="1361"/>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3322" t="s">
        <v>3048</v>
      </c>
      <c r="C6" s="2515"/>
      <c r="D6" s="2516" t="s">
        <v>1299</v>
      </c>
      <c r="E6" s="769"/>
      <c r="F6" s="769"/>
      <c r="G6" s="788"/>
      <c r="I6" s="758" t="str">
        <f>IF(COUNTIF(B5,"*上海银行*"),"上海银行","")</f>
        <v/>
      </c>
      <c r="J6" s="758"/>
      <c r="K6" s="2838"/>
      <c r="L6" s="2838"/>
      <c r="M6" s="2838"/>
      <c r="N6" s="758"/>
      <c r="O6" s="758"/>
      <c r="P6" s="758"/>
      <c r="Q6" s="758"/>
    </row>
    <row r="7" spans="1:17" ht="13.8" thickBot="1">
      <c r="A7" s="2813" t="s">
        <v>1300</v>
      </c>
      <c r="B7" s="2517" t="s">
        <v>3017</v>
      </c>
      <c r="C7" s="1453" t="str">
        <f>IF(B7="自然人","姓名","名称")</f>
        <v>姓名</v>
      </c>
      <c r="D7" s="1366"/>
      <c r="E7" s="783"/>
      <c r="F7" s="783"/>
      <c r="G7" s="1122"/>
    </row>
    <row r="8" spans="1:17" ht="13.8" thickTop="1">
      <c r="A8" s="3405" t="s">
        <v>1301</v>
      </c>
      <c r="B8" s="1367" t="s">
        <v>1302</v>
      </c>
      <c r="C8" s="3417"/>
      <c r="D8" s="3418"/>
      <c r="E8" s="2518" t="s">
        <v>1303</v>
      </c>
      <c r="F8" s="2519" t="s">
        <v>1304</v>
      </c>
      <c r="G8" s="2520">
        <f>C6</f>
        <v>0</v>
      </c>
    </row>
    <row r="9" spans="1:17">
      <c r="A9" s="3405"/>
      <c r="B9" s="259" t="s">
        <v>1305</v>
      </c>
      <c r="C9" s="1359"/>
      <c r="D9" s="1368"/>
      <c r="E9" s="2814" t="s">
        <v>1306</v>
      </c>
      <c r="F9" s="2521"/>
      <c r="G9" s="2522"/>
    </row>
    <row r="10" spans="1:17" ht="13.8" thickBot="1">
      <c r="A10" s="3405"/>
      <c r="B10" s="259" t="s">
        <v>1307</v>
      </c>
      <c r="C10" s="3419"/>
      <c r="D10" s="3420"/>
      <c r="E10" s="2815" t="s">
        <v>1308</v>
      </c>
      <c r="F10" s="2523"/>
      <c r="G10" s="2524"/>
    </row>
    <row r="11" spans="1:17" ht="13.8" thickBot="1">
      <c r="A11" s="3405"/>
      <c r="B11" s="1370" t="s">
        <v>1309</v>
      </c>
      <c r="C11" s="3421"/>
      <c r="D11" s="3422"/>
      <c r="E11" s="769"/>
      <c r="F11" s="769"/>
      <c r="G11" s="788"/>
    </row>
    <row r="12" spans="1:17" ht="13.8" thickBot="1">
      <c r="A12" s="3408" t="s">
        <v>2583</v>
      </c>
      <c r="B12" s="2816" t="s">
        <v>1310</v>
      </c>
      <c r="C12" s="766">
        <f>信息!B4</f>
        <v>829.41000000000008</v>
      </c>
      <c r="D12" s="1371" t="s">
        <v>1311</v>
      </c>
      <c r="E12" s="1372"/>
      <c r="F12" s="1373"/>
      <c r="G12" s="788"/>
    </row>
    <row r="13" spans="1:17" ht="21" customHeight="1" thickBot="1">
      <c r="A13" s="3409"/>
      <c r="B13" s="2817" t="s">
        <v>1312</v>
      </c>
      <c r="C13" s="767">
        <f>信息!E2+信息!E3</f>
        <v>30.71</v>
      </c>
      <c r="D13" s="1374" t="s">
        <v>1313</v>
      </c>
      <c r="E13" s="1375"/>
      <c r="F13" s="769"/>
      <c r="G13" s="788"/>
      <c r="I13" s="3394"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8" thickBot="1">
      <c r="A14" s="2525"/>
      <c r="B14" s="2831" t="s">
        <v>2584</v>
      </c>
      <c r="C14" s="2526"/>
      <c r="D14" s="769"/>
      <c r="E14" s="769"/>
      <c r="F14" s="769"/>
      <c r="G14" s="788"/>
      <c r="I14" s="3394"/>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8" thickBot="1">
      <c r="A15" s="2527"/>
      <c r="B15" s="2818" t="s">
        <v>1315</v>
      </c>
      <c r="C15" s="784"/>
      <c r="D15" s="783"/>
      <c r="E15" s="783"/>
      <c r="F15" s="783"/>
      <c r="G15" s="1122"/>
      <c r="I15" s="3394"/>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2"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23" t="s">
        <v>1320</v>
      </c>
      <c r="C17" s="3424"/>
      <c r="D17" s="3425" t="s">
        <v>1321</v>
      </c>
      <c r="E17" s="3426"/>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2"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4" t="s">
        <v>2582</v>
      </c>
      <c r="B24" s="3404"/>
      <c r="C24" s="3404"/>
      <c r="D24" s="3404"/>
      <c r="E24" s="3404"/>
      <c r="F24" s="3404"/>
      <c r="G24" s="3404"/>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4" thickTop="1" thickBot="1">
      <c r="A25" s="786" t="s">
        <v>1330</v>
      </c>
      <c r="B25" s="769"/>
      <c r="C25" s="769"/>
      <c r="D25" s="769"/>
      <c r="E25" s="769"/>
      <c r="F25" s="769"/>
      <c r="G25" s="1246"/>
      <c r="K25" s="2821"/>
    </row>
    <row r="26" spans="1:66" s="794" customFormat="1" ht="13.8"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8"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11" t="s">
        <v>1334</v>
      </c>
      <c r="D28" s="3412"/>
      <c r="E28" s="759"/>
      <c r="F28" s="761" t="s">
        <v>1334</v>
      </c>
      <c r="G28" s="759"/>
      <c r="K28" s="2821"/>
    </row>
    <row r="29" spans="1:66">
      <c r="A29" s="762" t="s">
        <v>1335</v>
      </c>
      <c r="B29" s="756"/>
      <c r="C29" s="3413" t="s">
        <v>1336</v>
      </c>
      <c r="D29" s="3414"/>
      <c r="E29" s="756"/>
      <c r="F29" s="762" t="s">
        <v>1336</v>
      </c>
      <c r="G29" s="756"/>
      <c r="K29" s="2821"/>
    </row>
    <row r="30" spans="1:66">
      <c r="A30" s="762" t="s">
        <v>1337</v>
      </c>
      <c r="B30" s="756"/>
      <c r="C30" s="3413" t="s">
        <v>1337</v>
      </c>
      <c r="D30" s="3414"/>
      <c r="E30" s="756"/>
      <c r="F30" s="762" t="s">
        <v>1338</v>
      </c>
      <c r="G30" s="756"/>
      <c r="K30" s="2821"/>
    </row>
    <row r="31" spans="1:66">
      <c r="A31" s="762" t="s">
        <v>1339</v>
      </c>
      <c r="B31" s="756"/>
      <c r="C31" s="3401" t="s">
        <v>1340</v>
      </c>
      <c r="D31" s="769"/>
      <c r="E31" s="2544" t="str">
        <f>E32&amp;" "&amp;E33&amp;" "&amp;E34&amp;" "&amp;E35</f>
        <v xml:space="preserve">   </v>
      </c>
      <c r="F31" s="762" t="s">
        <v>1341</v>
      </c>
      <c r="G31" s="756"/>
    </row>
    <row r="32" spans="1:66">
      <c r="A32" s="762" t="s">
        <v>1342</v>
      </c>
      <c r="B32" s="756"/>
      <c r="C32" s="3402"/>
      <c r="D32" s="259" t="s">
        <v>1343</v>
      </c>
      <c r="E32" s="756"/>
      <c r="F32" s="762" t="s">
        <v>1344</v>
      </c>
      <c r="G32" s="756"/>
    </row>
    <row r="33" spans="1:7" ht="24.6" thickBot="1">
      <c r="A33" s="763" t="s">
        <v>1345</v>
      </c>
      <c r="B33" s="760"/>
      <c r="C33" s="3402"/>
      <c r="D33" s="259" t="s">
        <v>1346</v>
      </c>
      <c r="E33" s="756"/>
      <c r="F33" s="762" t="s">
        <v>1347</v>
      </c>
      <c r="G33" s="756"/>
    </row>
    <row r="34" spans="1:7">
      <c r="A34" s="761" t="s">
        <v>1348</v>
      </c>
      <c r="B34" s="759"/>
      <c r="C34" s="3402"/>
      <c r="D34" s="259" t="s">
        <v>1349</v>
      </c>
      <c r="E34" s="756"/>
      <c r="F34" s="762" t="s">
        <v>1350</v>
      </c>
      <c r="G34" s="756"/>
    </row>
    <row r="35" spans="1:7" ht="13.8" thickBot="1">
      <c r="A35" s="762" t="s">
        <v>1351</v>
      </c>
      <c r="B35" s="756"/>
      <c r="C35" s="3403"/>
      <c r="D35" s="259" t="s">
        <v>1352</v>
      </c>
      <c r="E35" s="756"/>
      <c r="F35" s="763" t="s">
        <v>1353</v>
      </c>
      <c r="G35" s="2545"/>
    </row>
    <row r="36" spans="1:7">
      <c r="A36" s="762" t="s">
        <v>1310</v>
      </c>
      <c r="B36" s="756"/>
      <c r="C36" s="3413" t="s">
        <v>1354</v>
      </c>
      <c r="D36" s="3414"/>
      <c r="E36" s="756"/>
      <c r="F36" s="2546" t="s">
        <v>1355</v>
      </c>
      <c r="G36" s="759"/>
    </row>
    <row r="37" spans="1:7" ht="24.6" thickBot="1">
      <c r="A37" s="762" t="s">
        <v>1356</v>
      </c>
      <c r="B37" s="756"/>
      <c r="C37" s="3415" t="s">
        <v>1357</v>
      </c>
      <c r="D37" s="3416"/>
      <c r="E37" s="760"/>
      <c r="F37" s="1391" t="s">
        <v>1358</v>
      </c>
      <c r="G37" s="756"/>
    </row>
    <row r="38" spans="1:7" ht="13.8" thickBot="1">
      <c r="A38" s="762" t="s">
        <v>1359</v>
      </c>
      <c r="B38" s="756"/>
      <c r="C38" s="3399" t="s">
        <v>1360</v>
      </c>
      <c r="D38" s="1371" t="s">
        <v>1344</v>
      </c>
      <c r="E38" s="759"/>
      <c r="F38" s="763" t="s">
        <v>1361</v>
      </c>
      <c r="G38" s="760"/>
    </row>
    <row r="39" spans="1:7">
      <c r="A39" s="762" t="s">
        <v>1362</v>
      </c>
      <c r="B39" s="756"/>
      <c r="C39" s="3406"/>
      <c r="D39" s="259" t="s">
        <v>1351</v>
      </c>
      <c r="E39" s="756"/>
      <c r="F39" s="761" t="s">
        <v>1363</v>
      </c>
      <c r="G39" s="759"/>
    </row>
    <row r="40" spans="1:7">
      <c r="A40" s="762" t="s">
        <v>1364</v>
      </c>
      <c r="B40" s="756"/>
      <c r="C40" s="3406" t="s">
        <v>1365</v>
      </c>
      <c r="D40" s="259" t="s">
        <v>1310</v>
      </c>
      <c r="E40" s="756"/>
      <c r="F40" s="762" t="s">
        <v>1366</v>
      </c>
      <c r="G40" s="756"/>
    </row>
    <row r="41" spans="1:7" ht="24.75" customHeight="1" thickBot="1">
      <c r="A41" s="763" t="s">
        <v>1367</v>
      </c>
      <c r="B41" s="760"/>
      <c r="C41" s="3407"/>
      <c r="D41" s="1374" t="s">
        <v>1312</v>
      </c>
      <c r="E41" s="760"/>
      <c r="F41" s="763" t="s">
        <v>1368</v>
      </c>
      <c r="G41" s="760"/>
    </row>
    <row r="42" spans="1:7" ht="24">
      <c r="A42" s="764" t="s">
        <v>1369</v>
      </c>
      <c r="B42" s="2547"/>
      <c r="C42" s="3395" t="s">
        <v>1369</v>
      </c>
      <c r="D42" s="3396"/>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8" thickBot="1">
      <c r="A49" s="763" t="s">
        <v>1372</v>
      </c>
      <c r="B49" s="760"/>
      <c r="C49" s="3397" t="s">
        <v>1372</v>
      </c>
      <c r="D49" s="3398"/>
      <c r="E49" s="778"/>
      <c r="F49" s="763" t="s">
        <v>1373</v>
      </c>
      <c r="G49" s="760"/>
    </row>
    <row r="50" spans="1:66">
      <c r="A50" s="762" t="s">
        <v>1374</v>
      </c>
      <c r="B50" s="777"/>
      <c r="C50" s="3399" t="s">
        <v>1375</v>
      </c>
      <c r="D50" s="3400"/>
      <c r="E50" s="2549"/>
      <c r="F50" s="795"/>
      <c r="G50" s="796"/>
    </row>
    <row r="51" spans="1:66" ht="13.8" thickBot="1">
      <c r="A51" s="762" t="s">
        <v>1376</v>
      </c>
      <c r="B51" s="777"/>
      <c r="C51" s="3407" t="s">
        <v>1377</v>
      </c>
      <c r="D51" s="3410"/>
      <c r="E51" s="760"/>
      <c r="F51" s="769"/>
      <c r="G51" s="788"/>
    </row>
    <row r="52" spans="1:66">
      <c r="A52" s="762" t="s">
        <v>1355</v>
      </c>
      <c r="B52" s="756"/>
      <c r="C52" s="769"/>
      <c r="D52" s="769"/>
      <c r="E52" s="769"/>
      <c r="F52" s="769"/>
      <c r="G52" s="788"/>
    </row>
    <row r="53" spans="1:66" ht="24.6"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J27" sqref="J27"/>
    </sheetView>
  </sheetViews>
  <sheetFormatPr defaultRowHeight="14.4"/>
  <cols>
    <col min="2" max="2" width="11" bestFit="1" customWidth="1"/>
    <col min="6" max="6" width="11.6640625" bestFit="1" customWidth="1"/>
  </cols>
  <sheetData>
    <row r="1" spans="1:10">
      <c r="B1" s="1269" t="s">
        <v>3018</v>
      </c>
      <c r="C1" s="1269" t="s">
        <v>3019</v>
      </c>
      <c r="E1" s="1269" t="s">
        <v>3020</v>
      </c>
      <c r="F1" s="1269" t="s">
        <v>3021</v>
      </c>
      <c r="H1" s="1269" t="s">
        <v>3054</v>
      </c>
      <c r="I1" s="1269" t="s">
        <v>3055</v>
      </c>
    </row>
    <row r="2" spans="1:10">
      <c r="A2">
        <v>301</v>
      </c>
      <c r="B2">
        <v>689.45</v>
      </c>
      <c r="C2">
        <v>604.25</v>
      </c>
      <c r="D2" s="1269" t="s">
        <v>3042</v>
      </c>
      <c r="E2">
        <v>25.53</v>
      </c>
      <c r="F2" s="3321">
        <v>54414</v>
      </c>
      <c r="G2">
        <f>B2/E2</f>
        <v>27.005483744614178</v>
      </c>
      <c r="H2">
        <v>120</v>
      </c>
      <c r="I2">
        <f>ROUND(H2/4620/365*10000,2)</f>
        <v>0.71</v>
      </c>
      <c r="J2" s="1269" t="s">
        <v>3056</v>
      </c>
    </row>
    <row r="3" spans="1:10">
      <c r="A3">
        <v>101</v>
      </c>
      <c r="B3">
        <v>139.96</v>
      </c>
      <c r="C3">
        <v>127.07</v>
      </c>
      <c r="D3" s="1269" t="s">
        <v>3044</v>
      </c>
      <c r="E3">
        <v>5.18</v>
      </c>
      <c r="G3">
        <f>G2</f>
        <v>27.005483744614178</v>
      </c>
      <c r="H3">
        <v>8</v>
      </c>
      <c r="I3">
        <f>ROUND(H3/B3/365*10000,2)</f>
        <v>1.57</v>
      </c>
      <c r="J3" s="1269" t="s">
        <v>3056</v>
      </c>
    </row>
    <row r="4" spans="1:10">
      <c r="B4">
        <f>B2+B3</f>
        <v>829.41000000000008</v>
      </c>
      <c r="E4">
        <f>SUM(E2:E3)</f>
        <v>30.71</v>
      </c>
    </row>
    <row r="5" spans="1:10">
      <c r="C5">
        <f>1*B3</f>
        <v>139.96</v>
      </c>
      <c r="D5">
        <v>140</v>
      </c>
    </row>
    <row r="6" spans="1:10">
      <c r="C6">
        <f>0.58*B2</f>
        <v>399.88099999999997</v>
      </c>
      <c r="D6">
        <v>400</v>
      </c>
    </row>
    <row r="7" spans="1:10">
      <c r="D7">
        <f>D5+D6</f>
        <v>540</v>
      </c>
    </row>
    <row r="9" spans="1:10">
      <c r="B9" s="1269" t="s">
        <v>3045</v>
      </c>
      <c r="C9" s="1269" t="s">
        <v>3046</v>
      </c>
      <c r="D9" s="1269" t="s">
        <v>3047</v>
      </c>
    </row>
    <row r="10" spans="1:10">
      <c r="A10" s="1269" t="s">
        <v>3041</v>
      </c>
      <c r="B10" s="3324">
        <v>5.0000000000000001E-3</v>
      </c>
      <c r="C10" s="3323">
        <v>0.06</v>
      </c>
      <c r="D10" s="3325">
        <v>0.05</v>
      </c>
    </row>
    <row r="11" spans="1:10">
      <c r="A11" s="1269"/>
      <c r="B11" s="3323"/>
      <c r="C11" s="1269"/>
      <c r="D11" s="3323"/>
      <c r="E11" s="1269"/>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27" t="s">
        <v>0</v>
      </c>
      <c r="B1" s="3427" t="s">
        <v>2</v>
      </c>
      <c r="C1" s="3427" t="s">
        <v>3</v>
      </c>
      <c r="D1" s="3428" t="s">
        <v>67</v>
      </c>
      <c r="E1" s="3428" t="s">
        <v>68</v>
      </c>
      <c r="F1" s="3428"/>
      <c r="G1" s="3428"/>
      <c r="H1" s="3428"/>
      <c r="I1" s="3428"/>
      <c r="J1" s="3428"/>
      <c r="K1" s="3428"/>
      <c r="L1" s="3428"/>
      <c r="M1" s="3428"/>
    </row>
    <row r="2" spans="1:13" ht="27" customHeight="1">
      <c r="A2" s="3427"/>
      <c r="B2" s="3427"/>
      <c r="C2" s="3427"/>
      <c r="D2" s="3428"/>
      <c r="E2" s="3428" t="s">
        <v>51</v>
      </c>
      <c r="F2" s="3428" t="s">
        <v>52</v>
      </c>
      <c r="G2" s="3428"/>
      <c r="H2" s="3428"/>
      <c r="I2" s="3428"/>
      <c r="J2" s="3428" t="s">
        <v>53</v>
      </c>
      <c r="K2" s="3428"/>
      <c r="L2" s="3428"/>
      <c r="M2" s="3428"/>
    </row>
    <row r="3" spans="1:13" ht="46.8">
      <c r="A3" s="3427"/>
      <c r="B3" s="3427"/>
      <c r="C3" s="3427"/>
      <c r="D3" s="3428"/>
      <c r="E3" s="3428"/>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8" t="s">
        <v>69</v>
      </c>
      <c r="B9" s="3428"/>
      <c r="C9" s="34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7734375" defaultRowHeight="13.2"/>
  <cols>
    <col min="1" max="1" width="20.88671875" style="2606" customWidth="1"/>
    <col min="2" max="2" width="16.77734375" style="2551" customWidth="1"/>
    <col min="3" max="3" width="18.21875" style="2592" customWidth="1"/>
    <col min="4" max="4" width="34.109375" style="2607" customWidth="1"/>
    <col min="5" max="5" width="17.6640625" style="2607" customWidth="1"/>
    <col min="6" max="6" width="15.44140625" style="2550" customWidth="1"/>
    <col min="7" max="8" width="9.109375" style="2885" customWidth="1"/>
    <col min="9" max="9" width="15" style="2592" bestFit="1" customWidth="1"/>
    <col min="10" max="14" width="8.88671875" style="2592" customWidth="1"/>
    <col min="15" max="16" width="12.33203125" style="2592" customWidth="1"/>
    <col min="17" max="17" width="8.6640625" style="2592" customWidth="1"/>
    <col min="18" max="18" width="12.44140625" style="2592" customWidth="1"/>
    <col min="19" max="19" width="8.44140625" style="2592" customWidth="1"/>
    <col min="20" max="21" width="10.88671875" style="2592" customWidth="1"/>
    <col min="22" max="23" width="12.44140625" style="2592" customWidth="1"/>
    <col min="24" max="24" width="12.109375" style="2592" customWidth="1"/>
    <col min="25" max="25" width="7.44140625" style="2592" customWidth="1"/>
    <col min="26" max="26" width="6.33203125" style="2592" customWidth="1"/>
    <col min="27" max="32" width="6.77734375" style="2592" customWidth="1"/>
    <col min="33" max="33" width="6.44140625" style="2592" customWidth="1"/>
    <col min="34" max="36" width="7.21875" style="2592" customWidth="1"/>
    <col min="37" max="41" width="8" style="2592" customWidth="1"/>
    <col min="42" max="16384" width="13.77734375" style="2551"/>
  </cols>
  <sheetData>
    <row r="1" spans="1:41" ht="18" thickBot="1">
      <c r="A1" s="2839" t="s">
        <v>1379</v>
      </c>
      <c r="B1" s="905"/>
      <c r="D1" s="2550"/>
      <c r="E1" s="2550"/>
    </row>
    <row r="2" spans="1:41" s="2554" customFormat="1" ht="15" thickBot="1">
      <c r="A2" s="2840" t="s">
        <v>1380</v>
      </c>
      <c r="B2" s="2841">
        <f>项目基本情况!D2</f>
        <v>44776</v>
      </c>
      <c r="C2" s="1613"/>
      <c r="D2" s="3429"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3022</v>
      </c>
      <c r="C3" s="1613"/>
      <c r="D3" s="3430"/>
      <c r="E3" s="2556" t="s">
        <v>3024</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3023</v>
      </c>
      <c r="C4" s="1613"/>
      <c r="D4" s="3430"/>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 thickBot="1">
      <c r="A5" s="2557" t="s">
        <v>1384</v>
      </c>
      <c r="B5" s="2558">
        <f>项目基本情况!C12</f>
        <v>829.41000000000008</v>
      </c>
      <c r="C5" s="1613"/>
      <c r="D5" s="2842" t="s">
        <v>1385</v>
      </c>
      <c r="E5" s="2559">
        <f>信息!B3</f>
        <v>139.96</v>
      </c>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 thickBot="1">
      <c r="A6" s="2560" t="s">
        <v>1386</v>
      </c>
      <c r="B6" s="2561">
        <f>项目基本情况!C13</f>
        <v>30.71</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8"/>
      <c r="D7" s="2889"/>
      <c r="E7" s="2889"/>
      <c r="F7" s="2886"/>
      <c r="G7" s="2886"/>
      <c r="H7" s="2886"/>
    </row>
    <row r="8" spans="1:41" s="1613" customFormat="1" ht="13.8"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3025</v>
      </c>
      <c r="C10" s="1613"/>
      <c r="D10" s="2840" t="s">
        <v>1389</v>
      </c>
      <c r="E10" s="2844" t="s">
        <v>1390</v>
      </c>
      <c r="F10" s="3008" t="s">
        <v>2592</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4">
      <c r="A11" s="2845" t="s">
        <v>1391</v>
      </c>
      <c r="B11" s="2565">
        <v>40</v>
      </c>
      <c r="C11" s="1613"/>
      <c r="D11" s="2846" t="s">
        <v>1392</v>
      </c>
      <c r="E11" s="2566"/>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54414</v>
      </c>
      <c r="C12" s="1613"/>
      <c r="D12" s="2847" t="s">
        <v>1395</v>
      </c>
      <c r="E12" s="2569"/>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26.4</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4">
      <c r="A14" s="2847" t="s">
        <v>1399</v>
      </c>
      <c r="B14" s="2851">
        <f>IF(ISERROR(ROUND(POWER(1+B15,B11-B13)*(POWER(1+B15,B13)-1)/(POWER(1+B15,B11)-1),3)),0,ROUND(POWER(1+B15,B11-B13)*(POWER(1+B15,B13)-1)/(POWER(1+B15,B11)-1),3))</f>
        <v>0.84399999999999997</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4">
      <c r="A15" s="2847" t="s">
        <v>1401</v>
      </c>
      <c r="B15" s="2572">
        <v>0.05</v>
      </c>
      <c r="C15" s="2481" t="s">
        <v>2593</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1" t="s">
        <v>2594</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2591</v>
      </c>
      <c r="B17" s="3006">
        <v>7.4999999999999997E-2</v>
      </c>
      <c r="C17" s="2481" t="s">
        <v>2595</v>
      </c>
      <c r="D17" s="2843" t="s">
        <v>1406</v>
      </c>
      <c r="E17" s="2574">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2488230</v>
      </c>
      <c r="F18" s="2575">
        <f>ROUND(E5*E17*IF(B26=0,1,E20),0)</f>
        <v>419880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4.4"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v>0.83</v>
      </c>
      <c r="F20" s="905"/>
      <c r="G20" s="1613">
        <f>2022-B27</f>
        <v>10</v>
      </c>
      <c r="H20" s="1613">
        <f>5/6</f>
        <v>0.83333333333333337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4">
      <c r="A21" s="2859" t="s">
        <v>1408</v>
      </c>
      <c r="B21" s="2576">
        <v>0</v>
      </c>
      <c r="C21" s="1613"/>
      <c r="D21" s="2847" t="s">
        <v>1410</v>
      </c>
      <c r="E21" s="2579">
        <v>0.03</v>
      </c>
      <c r="F21" s="2590" t="s">
        <v>2601</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4">
      <c r="A22" s="2861" t="s">
        <v>1409</v>
      </c>
      <c r="B22" s="2578">
        <v>2</v>
      </c>
      <c r="C22" s="1613"/>
      <c r="D22" s="2847" t="s">
        <v>1412</v>
      </c>
      <c r="E22" s="2582">
        <v>0</v>
      </c>
      <c r="F22" s="2590" t="s">
        <v>2599</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4">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2602</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5" t="s">
        <v>1415</v>
      </c>
      <c r="B25" s="2866">
        <f>B21+B23</f>
        <v>2</v>
      </c>
      <c r="C25" s="1613"/>
      <c r="D25" s="2846" t="s">
        <v>1418</v>
      </c>
      <c r="E25" s="2579">
        <v>0.02</v>
      </c>
      <c r="F25" s="2590" t="s">
        <v>2600</v>
      </c>
      <c r="I25" s="2885"/>
    </row>
    <row r="26" spans="1:41" ht="15" thickBot="1">
      <c r="A26" s="2863" t="s">
        <v>1417</v>
      </c>
      <c r="B26" s="2867">
        <f>B22-B23</f>
        <v>0</v>
      </c>
      <c r="D26" s="2847" t="s">
        <v>1420</v>
      </c>
      <c r="E26" s="2582">
        <v>0.02</v>
      </c>
      <c r="F26" s="2590" t="s">
        <v>2600</v>
      </c>
      <c r="G26" s="2886"/>
      <c r="H26" s="2886"/>
      <c r="I26" s="1613"/>
      <c r="J26" s="1613"/>
      <c r="K26" s="1613"/>
      <c r="L26" s="1613"/>
      <c r="M26" s="1613"/>
      <c r="N26" s="1613"/>
    </row>
    <row r="27" spans="1:41" ht="15" thickBot="1">
      <c r="A27" s="2868" t="s">
        <v>1419</v>
      </c>
      <c r="B27" s="2584">
        <v>2012</v>
      </c>
      <c r="C27" s="1613"/>
      <c r="D27" s="3070" t="s">
        <v>3027</v>
      </c>
      <c r="E27" s="2869">
        <f ca="1">IF(D27="利息：取LPR",存贷款利率!G1,存贷款利率!G1+F27)</f>
        <v>4.2000000000000003E-2</v>
      </c>
      <c r="F27" s="3071">
        <v>5.0000000000000001E-3</v>
      </c>
      <c r="G27" s="2886"/>
      <c r="H27" s="2886"/>
      <c r="K27" s="1613"/>
      <c r="N27" s="1613"/>
    </row>
    <row r="28" spans="1:41" ht="15" thickBot="1">
      <c r="A28" s="905"/>
      <c r="B28" s="905"/>
      <c r="D28" s="2850" t="s">
        <v>1422</v>
      </c>
      <c r="E28" s="2586">
        <v>0.15</v>
      </c>
      <c r="G28" s="2886"/>
      <c r="H28" s="2886"/>
      <c r="K28" s="1613"/>
      <c r="N28" s="1613"/>
    </row>
    <row r="29" spans="1:41" ht="14.4">
      <c r="A29" s="2870" t="s">
        <v>1421</v>
      </c>
      <c r="B29" s="2585" t="s">
        <v>3026</v>
      </c>
      <c r="D29" s="2852" t="s">
        <v>1423</v>
      </c>
      <c r="E29" s="2871">
        <f>E30+E31</f>
        <v>5.5000000000000007E-2</v>
      </c>
      <c r="F29" s="1238"/>
      <c r="G29" s="2886"/>
      <c r="H29" s="2886"/>
      <c r="K29" s="1613"/>
      <c r="N29" s="1613"/>
    </row>
    <row r="30" spans="1:41" ht="14.4">
      <c r="A30" s="2847" t="str">
        <f>IF(B29="租赁期内按合同租金","合同租金","市场租金")</f>
        <v>市场租金</v>
      </c>
      <c r="B30" s="2587">
        <v>1.8</v>
      </c>
      <c r="D30" s="2854" t="s">
        <v>1425</v>
      </c>
      <c r="E30" s="2588">
        <v>0.05</v>
      </c>
      <c r="F30" s="2873">
        <f>IF(B2&lt;DATE(2016,5,1),0,E30)</f>
        <v>0.05</v>
      </c>
      <c r="G30" s="2886"/>
      <c r="H30" s="2886"/>
      <c r="K30" s="1613"/>
      <c r="N30" s="1613"/>
    </row>
    <row r="31" spans="1:41" ht="14.4">
      <c r="A31" s="2847" t="s">
        <v>1424</v>
      </c>
      <c r="B31" s="2872">
        <f ca="1">存贷款利率!I1</f>
        <v>1.4999999999999999E-2</v>
      </c>
      <c r="D31" s="2854" t="s">
        <v>1427</v>
      </c>
      <c r="E31" s="2874">
        <f>E30*(E32+E33+E34)+E35</f>
        <v>5.000000000000001E-3</v>
      </c>
      <c r="F31" s="1238"/>
      <c r="G31" s="2886"/>
      <c r="H31" s="2886"/>
      <c r="K31" s="1613"/>
      <c r="N31" s="1613"/>
    </row>
    <row r="32" spans="1:41" ht="14.4">
      <c r="A32" s="2847" t="s">
        <v>1426</v>
      </c>
      <c r="B32" s="2572">
        <v>1.4999999999999999E-2</v>
      </c>
      <c r="D32" s="2854" t="s">
        <v>1429</v>
      </c>
      <c r="E32" s="2589">
        <v>0.05</v>
      </c>
      <c r="F32" s="2590" t="s">
        <v>2487</v>
      </c>
      <c r="G32" s="2886"/>
      <c r="H32" s="2886"/>
      <c r="K32" s="1613"/>
      <c r="L32" s="1613"/>
      <c r="M32" s="1613"/>
      <c r="N32" s="1613"/>
    </row>
    <row r="33" spans="1:14" ht="14.4">
      <c r="A33" s="2847" t="s">
        <v>1428</v>
      </c>
      <c r="B33" s="2572">
        <v>0.15</v>
      </c>
      <c r="D33" s="2854" t="s">
        <v>1431</v>
      </c>
      <c r="E33" s="2588">
        <v>0.03</v>
      </c>
      <c r="F33" s="1237" t="s">
        <v>1432</v>
      </c>
      <c r="G33" s="2886"/>
      <c r="H33" s="2886"/>
      <c r="K33" s="1613"/>
      <c r="L33" s="1613"/>
      <c r="M33" s="1613"/>
      <c r="N33" s="1613"/>
    </row>
    <row r="34" spans="1:14" s="2592" customFormat="1" ht="14.4">
      <c r="A34" s="2847" t="s">
        <v>1430</v>
      </c>
      <c r="B34" s="2875">
        <f>收益法!J54</f>
        <v>26.4</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4.4">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4">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4">
      <c r="A40" s="2847" t="str">
        <f>IF(B29="租赁期内按合同租金","成新率","——")</f>
        <v>——</v>
      </c>
      <c r="B40" s="2572"/>
      <c r="D40" s="2879" t="s">
        <v>1444</v>
      </c>
      <c r="E40" s="2883">
        <f>SUMIF(D42:D51,E41,E42:E51)</f>
        <v>3</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479</v>
      </c>
      <c r="F41" s="1239" t="s">
        <v>1447</v>
      </c>
      <c r="G41" s="1700" t="s">
        <v>1448</v>
      </c>
      <c r="H41" s="2886"/>
      <c r="I41" s="1613"/>
      <c r="J41" s="1613"/>
      <c r="K41" s="1613"/>
      <c r="L41" s="1613"/>
      <c r="M41" s="1613"/>
      <c r="N41" s="1613"/>
    </row>
    <row r="42" spans="1:14" ht="14.4">
      <c r="A42" s="2846" t="s">
        <v>1445</v>
      </c>
      <c r="B42" s="2597"/>
      <c r="D42" s="2600" t="s">
        <v>1450</v>
      </c>
      <c r="E42" s="2587"/>
      <c r="F42" s="1239">
        <v>30</v>
      </c>
      <c r="G42" s="2886"/>
      <c r="H42" s="2886"/>
      <c r="I42" s="1613"/>
      <c r="J42" s="1613"/>
      <c r="K42" s="1613"/>
      <c r="L42" s="1613"/>
      <c r="M42" s="1613"/>
      <c r="N42" s="1613"/>
    </row>
    <row r="43" spans="1:14" ht="14.4">
      <c r="A43" s="2847" t="s">
        <v>1449</v>
      </c>
      <c r="B43" s="2599">
        <v>365</v>
      </c>
      <c r="D43" s="2600" t="s">
        <v>1452</v>
      </c>
      <c r="E43" s="2587"/>
      <c r="F43" s="1239">
        <v>24</v>
      </c>
      <c r="G43" s="2886"/>
      <c r="H43" s="2886"/>
      <c r="I43" s="1613"/>
      <c r="J43" s="1613"/>
      <c r="K43" s="1613"/>
      <c r="L43" s="1613"/>
      <c r="M43" s="1613"/>
      <c r="N43" s="1613"/>
    </row>
    <row r="44" spans="1:14" ht="14.4">
      <c r="A44" s="2847" t="s">
        <v>1451</v>
      </c>
      <c r="B44" s="2587"/>
      <c r="D44" s="2600" t="s">
        <v>1454</v>
      </c>
      <c r="E44" s="2587"/>
      <c r="F44" s="1239">
        <v>18</v>
      </c>
      <c r="G44" s="2592"/>
      <c r="H44" s="2592"/>
      <c r="I44" s="2886"/>
      <c r="J44" s="1613"/>
      <c r="K44" s="1613"/>
      <c r="L44" s="1613"/>
      <c r="M44" s="1613"/>
      <c r="N44" s="1613"/>
    </row>
    <row r="45" spans="1:14" ht="14.4">
      <c r="A45" s="2847" t="s">
        <v>1453</v>
      </c>
      <c r="B45" s="2601">
        <v>0.01</v>
      </c>
      <c r="C45" s="2481" t="s">
        <v>2598</v>
      </c>
      <c r="D45" s="2600" t="s">
        <v>1456</v>
      </c>
      <c r="E45" s="2587"/>
      <c r="F45" s="1239">
        <v>12</v>
      </c>
      <c r="G45" s="2592"/>
      <c r="H45" s="2592"/>
      <c r="M45" s="1613"/>
      <c r="N45" s="1613"/>
    </row>
    <row r="46" spans="1:14" ht="14.4">
      <c r="A46" s="2847" t="s">
        <v>1455</v>
      </c>
      <c r="B46" s="2602">
        <v>1E-3</v>
      </c>
      <c r="C46" s="2481" t="s">
        <v>2596</v>
      </c>
      <c r="D46" s="2600" t="s">
        <v>1218</v>
      </c>
      <c r="E46" s="2587">
        <v>3</v>
      </c>
      <c r="F46" s="1239">
        <v>3</v>
      </c>
      <c r="G46" s="2592"/>
      <c r="H46" s="2592"/>
      <c r="M46" s="1613"/>
      <c r="N46" s="1613"/>
    </row>
    <row r="47" spans="1:14" ht="15" thickBot="1">
      <c r="A47" s="2850" t="s">
        <v>1457</v>
      </c>
      <c r="B47" s="2603">
        <v>0.01</v>
      </c>
      <c r="C47" s="2481" t="s">
        <v>2597</v>
      </c>
      <c r="D47" s="2600" t="s">
        <v>1458</v>
      </c>
      <c r="E47" s="2587"/>
      <c r="F47" s="1239">
        <v>1.5</v>
      </c>
      <c r="G47" s="2592"/>
      <c r="H47" s="2592"/>
      <c r="M47" s="1613"/>
      <c r="N47" s="1613"/>
    </row>
    <row r="48" spans="1:14" ht="14.4">
      <c r="A48" s="2592"/>
      <c r="B48" s="2592"/>
      <c r="D48" s="2600" t="s">
        <v>1459</v>
      </c>
      <c r="E48" s="2587"/>
      <c r="F48" s="1239"/>
      <c r="G48" s="2592"/>
      <c r="H48" s="2592"/>
      <c r="M48" s="1613"/>
      <c r="N48" s="1613"/>
    </row>
    <row r="49" spans="1:41" ht="14.4">
      <c r="A49" s="2592"/>
      <c r="B49" s="2592"/>
      <c r="D49" s="2600" t="s">
        <v>1460</v>
      </c>
      <c r="E49" s="2587"/>
      <c r="F49" s="1239"/>
      <c r="G49" s="2592"/>
      <c r="H49" s="2592"/>
      <c r="M49" s="1613"/>
      <c r="N49" s="1613"/>
    </row>
    <row r="50" spans="1:41" ht="14.4">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3.8">
      <c r="D52" s="2886"/>
      <c r="E52" s="2886"/>
      <c r="F52" s="2886"/>
      <c r="G52" s="2886"/>
      <c r="H52" s="2886"/>
      <c r="I52" s="1613"/>
      <c r="J52" s="1613"/>
      <c r="K52" s="1613"/>
      <c r="L52" s="1613"/>
      <c r="M52" s="1613"/>
      <c r="N52" s="1613"/>
    </row>
    <row r="53" spans="1:41" s="2592" customFormat="1" ht="13.8">
      <c r="D53" s="2886"/>
      <c r="E53" s="2886"/>
      <c r="F53" s="2886"/>
      <c r="G53" s="2886"/>
      <c r="H53" s="2886"/>
      <c r="I53" s="1613"/>
      <c r="J53" s="1613"/>
      <c r="K53" s="1613"/>
      <c r="L53" s="1613"/>
      <c r="M53" s="1613"/>
      <c r="N53" s="1613"/>
    </row>
    <row r="54" spans="1:41" s="2592" customFormat="1" ht="13.8">
      <c r="D54" s="2886"/>
      <c r="E54" s="2886"/>
      <c r="F54" s="2886"/>
      <c r="G54" s="2886"/>
      <c r="H54" s="2886"/>
      <c r="I54" s="1613"/>
      <c r="J54" s="1613"/>
      <c r="K54" s="1613"/>
      <c r="L54" s="1613"/>
      <c r="M54" s="1613"/>
      <c r="N54" s="1613"/>
    </row>
    <row r="55" spans="1:41" s="2592" customFormat="1" ht="13.8">
      <c r="D55" s="2886"/>
      <c r="E55" s="2886"/>
      <c r="F55" s="2886"/>
      <c r="G55" s="2886"/>
      <c r="H55" s="2886"/>
      <c r="I55" s="1613"/>
      <c r="J55" s="1613"/>
      <c r="K55" s="1613"/>
      <c r="L55" s="1613"/>
      <c r="M55" s="1613"/>
      <c r="N55" s="1613"/>
    </row>
    <row r="56" spans="1:41" s="2592" customFormat="1" ht="13.8">
      <c r="D56" s="2886"/>
      <c r="E56" s="2886"/>
      <c r="F56" s="2886"/>
      <c r="G56" s="2886"/>
      <c r="H56" s="2886"/>
      <c r="I56" s="1613"/>
      <c r="J56" s="1613"/>
      <c r="K56" s="1613"/>
      <c r="L56" s="1613"/>
      <c r="M56" s="1613"/>
      <c r="N56" s="1613"/>
    </row>
    <row r="57" spans="1:41" s="2592" customFormat="1" ht="13.8">
      <c r="D57" s="2886"/>
      <c r="E57" s="2886"/>
      <c r="F57" s="2886"/>
      <c r="G57" s="2886"/>
      <c r="H57" s="2886"/>
      <c r="I57" s="1613"/>
      <c r="J57" s="1613"/>
      <c r="K57" s="1613"/>
      <c r="L57" s="1613"/>
      <c r="M57" s="1613"/>
      <c r="N57" s="1613"/>
    </row>
    <row r="58" spans="1:41" s="2592" customFormat="1" ht="13.8">
      <c r="D58" s="2886"/>
      <c r="E58" s="2886"/>
      <c r="F58" s="2886"/>
      <c r="G58" s="2886"/>
      <c r="H58" s="2886"/>
      <c r="I58" s="1613"/>
      <c r="J58" s="1613"/>
      <c r="K58" s="1613"/>
      <c r="L58" s="1613"/>
      <c r="M58" s="1613"/>
      <c r="N58" s="1613"/>
    </row>
    <row r="59" spans="1:41" s="2592" customFormat="1" ht="13.8">
      <c r="D59" s="2886"/>
      <c r="E59" s="2886"/>
      <c r="F59" s="2886"/>
      <c r="G59" s="2886"/>
      <c r="H59" s="2886"/>
      <c r="I59" s="1613"/>
      <c r="J59" s="1613"/>
      <c r="K59" s="1613"/>
      <c r="L59" s="1613"/>
      <c r="M59" s="2887"/>
      <c r="N59" s="1613"/>
    </row>
    <row r="60" spans="1:41" s="2592" customFormat="1" ht="13.8">
      <c r="D60" s="2886"/>
      <c r="E60" s="2886"/>
      <c r="F60" s="2886"/>
      <c r="G60" s="2886"/>
      <c r="H60" s="2886"/>
      <c r="I60" s="1613"/>
      <c r="J60" s="1613"/>
      <c r="K60" s="1613"/>
      <c r="L60" s="1613"/>
      <c r="M60" s="1613"/>
      <c r="N60" s="1613"/>
    </row>
    <row r="61" spans="1:41" s="2592" customFormat="1" ht="13.8">
      <c r="D61" s="2886"/>
      <c r="E61" s="2886"/>
      <c r="F61" s="2886"/>
      <c r="G61" s="2886"/>
      <c r="H61" s="2886"/>
      <c r="I61" s="1613"/>
      <c r="J61" s="1613"/>
      <c r="K61" s="1613"/>
      <c r="L61" s="1613"/>
      <c r="M61" s="1613"/>
      <c r="N61" s="1613"/>
    </row>
    <row r="62" spans="1:41" s="2592" customFormat="1" ht="13.8">
      <c r="D62" s="2886"/>
      <c r="E62" s="2886"/>
      <c r="F62" s="2886"/>
      <c r="G62" s="2886"/>
      <c r="H62" s="2886"/>
      <c r="I62" s="1613"/>
      <c r="J62" s="1613"/>
      <c r="K62" s="1613"/>
      <c r="L62" s="1613"/>
      <c r="M62" s="1613"/>
      <c r="N62" s="1613"/>
    </row>
    <row r="63" spans="1:41" s="2592" customFormat="1" ht="13.8">
      <c r="D63" s="2886"/>
      <c r="E63" s="2886"/>
      <c r="F63" s="2886"/>
      <c r="G63" s="2886"/>
      <c r="H63" s="2886"/>
      <c r="I63" s="1613"/>
      <c r="J63" s="1613"/>
      <c r="K63" s="1613"/>
      <c r="L63" s="1613"/>
      <c r="M63" s="1613"/>
      <c r="N63" s="1613"/>
    </row>
    <row r="64" spans="1:41" s="2592" customFormat="1" ht="13.8">
      <c r="D64" s="2886"/>
      <c r="E64" s="2886"/>
      <c r="F64" s="2886"/>
      <c r="G64" s="2886"/>
      <c r="H64" s="2886"/>
      <c r="I64" s="1613"/>
      <c r="J64" s="1613"/>
      <c r="K64" s="1613"/>
      <c r="L64" s="1613"/>
      <c r="M64" s="1613"/>
      <c r="N64" s="1613"/>
    </row>
    <row r="65" spans="1:14" s="2592" customFormat="1" ht="13.8">
      <c r="D65" s="2886"/>
      <c r="E65" s="2886"/>
      <c r="F65" s="2886"/>
      <c r="G65" s="2886"/>
      <c r="H65" s="2886"/>
      <c r="I65" s="1613"/>
      <c r="J65" s="1613"/>
      <c r="K65" s="1613"/>
      <c r="L65" s="1613"/>
      <c r="M65" s="1613"/>
      <c r="N65" s="1613"/>
    </row>
    <row r="66" spans="1:14" s="2592" customFormat="1" ht="13.8">
      <c r="D66" s="2886"/>
      <c r="E66" s="2886"/>
      <c r="F66" s="2886"/>
      <c r="G66" s="2886"/>
      <c r="H66" s="2886"/>
      <c r="I66" s="1613"/>
      <c r="J66" s="1613"/>
      <c r="K66" s="1613"/>
      <c r="L66" s="1613"/>
      <c r="M66" s="1613"/>
      <c r="N66" s="1613"/>
    </row>
    <row r="67" spans="1:14" s="2592" customFormat="1" ht="13.8">
      <c r="A67" s="2890"/>
      <c r="D67" s="2886"/>
      <c r="E67" s="2886"/>
      <c r="F67" s="2886"/>
      <c r="G67" s="2886"/>
      <c r="H67" s="2886"/>
      <c r="I67" s="1613"/>
      <c r="J67" s="1613"/>
      <c r="K67" s="1613"/>
      <c r="L67" s="1613"/>
      <c r="M67" s="1613"/>
      <c r="N67" s="1613"/>
    </row>
    <row r="68" spans="1:14" s="2592" customFormat="1" ht="13.8">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2" sqref="C12"/>
    </sheetView>
  </sheetViews>
  <sheetFormatPr defaultColWidth="9" defaultRowHeight="13.8"/>
  <cols>
    <col min="1" max="1" width="14.77734375" style="2554" customWidth="1"/>
    <col min="2" max="2" width="24.44140625" style="2567" customWidth="1"/>
    <col min="3" max="3" width="28.33203125" style="2628" customWidth="1"/>
    <col min="4" max="4" width="2.6640625" style="2628" customWidth="1"/>
    <col min="5" max="5" width="5.88671875" style="2628" customWidth="1"/>
    <col min="6" max="6" width="27" style="2567" customWidth="1"/>
    <col min="7" max="7" width="32.33203125" style="2629" customWidth="1"/>
    <col min="8" max="8" width="11.88671875" style="2625" customWidth="1"/>
    <col min="9" max="9" width="16.77734375" style="2626" customWidth="1"/>
    <col min="10" max="10" width="2.6640625" style="2625" customWidth="1"/>
    <col min="11" max="11" width="11.88671875" style="2625" customWidth="1"/>
    <col min="12" max="12" width="16.77734375" style="2626" customWidth="1"/>
    <col min="13" max="13" width="2.6640625" style="2625" customWidth="1"/>
    <col min="14" max="14" width="11.88671875" style="2625" customWidth="1"/>
    <col min="15" max="15" width="16.77734375" style="2626" customWidth="1"/>
    <col min="16" max="16" width="2.6640625" style="2625" customWidth="1"/>
    <col min="17" max="17" width="11.88671875" style="2625" customWidth="1"/>
    <col min="18" max="18" width="16.77734375" style="2627" customWidth="1"/>
    <col min="19" max="29" width="9" style="2615"/>
    <col min="30" max="16384" width="9" style="2554"/>
  </cols>
  <sheetData>
    <row r="1" spans="1:29" s="2613" customFormat="1" ht="18" thickBot="1">
      <c r="A1" s="3431" t="s">
        <v>1463</v>
      </c>
      <c r="B1" s="3432"/>
      <c r="C1" s="3432"/>
      <c r="D1" s="3432"/>
      <c r="E1" s="3432"/>
      <c r="F1" s="3432"/>
      <c r="G1" s="3432"/>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thickBot="1">
      <c r="A2" s="3015"/>
      <c r="B2" s="3016"/>
      <c r="C2" s="3017" t="s">
        <v>2603</v>
      </c>
      <c r="D2" s="3018"/>
      <c r="E2" s="3015"/>
      <c r="F2" s="3019"/>
      <c r="G2" s="3017" t="s">
        <v>2604</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4">
      <c r="A3" s="3021" t="s">
        <v>2605</v>
      </c>
      <c r="B3" s="3022" t="s">
        <v>2606</v>
      </c>
      <c r="C3" s="3331"/>
      <c r="D3" s="3023"/>
      <c r="E3" s="3024" t="s">
        <v>2605</v>
      </c>
      <c r="F3" s="3025" t="s">
        <v>2607</v>
      </c>
      <c r="G3" s="3026"/>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13.2">
      <c r="A4" s="3024"/>
      <c r="B4" s="3009" t="s">
        <v>2608</v>
      </c>
      <c r="C4" s="3332" t="s">
        <v>3057</v>
      </c>
      <c r="D4" s="3023"/>
      <c r="E4" s="3027"/>
      <c r="F4" s="3011" t="s">
        <v>2609</v>
      </c>
      <c r="G4" s="3028"/>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13.2">
      <c r="A5" s="3024"/>
      <c r="B5" s="3009" t="s">
        <v>2610</v>
      </c>
      <c r="C5" s="3333"/>
      <c r="D5" s="3023"/>
      <c r="E5" s="3027"/>
      <c r="F5" s="3009" t="s">
        <v>2611</v>
      </c>
      <c r="G5" s="3028"/>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13.2">
      <c r="A6" s="3024"/>
      <c r="B6" s="3009" t="s">
        <v>2612</v>
      </c>
      <c r="C6" s="3334" t="s">
        <v>3057</v>
      </c>
      <c r="D6" s="3023"/>
      <c r="E6" s="3027"/>
      <c r="F6" s="3009" t="s">
        <v>2613</v>
      </c>
      <c r="G6" s="3028"/>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thickBot="1">
      <c r="A7" s="3024"/>
      <c r="B7" s="3009" t="s">
        <v>2611</v>
      </c>
      <c r="C7" s="3334" t="s">
        <v>3057</v>
      </c>
      <c r="D7" s="2899"/>
      <c r="E7" s="3029"/>
      <c r="F7" s="3030" t="s">
        <v>2614</v>
      </c>
      <c r="G7" s="3031"/>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3.2">
      <c r="A8" s="3024"/>
      <c r="B8" s="3009" t="s">
        <v>2613</v>
      </c>
      <c r="C8" s="3334" t="s">
        <v>3059</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13.2">
      <c r="A9" s="3024"/>
      <c r="B9" s="3009" t="s">
        <v>2615</v>
      </c>
      <c r="C9" s="3332" t="s">
        <v>3060</v>
      </c>
      <c r="D9" s="3023"/>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thickBot="1">
      <c r="A10" s="3032"/>
      <c r="B10" s="3013" t="s">
        <v>2616</v>
      </c>
      <c r="C10" s="3335" t="s">
        <v>3057</v>
      </c>
      <c r="D10" s="3023"/>
      <c r="E10" s="3023"/>
      <c r="F10" s="2894"/>
      <c r="G10" s="2894"/>
      <c r="H10" s="1426"/>
      <c r="I10" s="3033"/>
      <c r="J10" s="3034"/>
      <c r="K10" s="1426"/>
      <c r="L10" s="3033"/>
      <c r="M10" s="3034"/>
      <c r="N10" s="1426"/>
      <c r="O10" s="3033"/>
      <c r="P10" s="3034"/>
      <c r="Q10" s="1426"/>
      <c r="R10" s="3033"/>
      <c r="S10" s="3020"/>
      <c r="T10" s="3020"/>
      <c r="U10" s="3020"/>
      <c r="V10" s="3020"/>
      <c r="W10" s="3020"/>
      <c r="X10" s="3020"/>
      <c r="Y10" s="3020"/>
      <c r="Z10" s="3020"/>
      <c r="AA10" s="3020"/>
      <c r="AB10" s="3020"/>
      <c r="AC10" s="3020"/>
    </row>
    <row r="11" spans="1:29" s="2592" customFormat="1" ht="13.2">
      <c r="A11" s="3035"/>
      <c r="B11" s="2899"/>
      <c r="C11" s="3023"/>
      <c r="D11" s="3023"/>
      <c r="E11" s="3023"/>
      <c r="F11" s="2899"/>
      <c r="G11" s="3036"/>
      <c r="H11" s="1426"/>
      <c r="I11" s="3033"/>
      <c r="J11" s="3034"/>
      <c r="K11" s="1426"/>
      <c r="L11" s="3033"/>
      <c r="M11" s="3034"/>
      <c r="N11" s="1426"/>
      <c r="O11" s="3033"/>
      <c r="P11" s="3034"/>
      <c r="Q11" s="1426"/>
      <c r="R11" s="3033"/>
      <c r="S11" s="3020"/>
      <c r="T11" s="3020"/>
      <c r="U11" s="3020"/>
      <c r="V11" s="3020"/>
      <c r="W11" s="3020"/>
      <c r="X11" s="3020"/>
      <c r="Y11" s="3020"/>
      <c r="Z11" s="3020"/>
      <c r="AA11" s="3020"/>
      <c r="AB11" s="3020"/>
      <c r="AC11" s="3020"/>
    </row>
    <row r="12" spans="1:29" s="2613" customFormat="1" ht="17.399999999999999">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8" thickBot="1">
      <c r="A13" s="2624" t="s">
        <v>1469</v>
      </c>
      <c r="B13" s="2618"/>
      <c r="C13" s="2618"/>
      <c r="D13" s="2614"/>
      <c r="E13" s="2618"/>
      <c r="F13" s="2618"/>
      <c r="G13" s="2618"/>
    </row>
    <row r="14" spans="1:29" s="2551" customFormat="1" thickBot="1">
      <c r="A14" s="3037"/>
      <c r="B14" s="3037"/>
      <c r="C14" s="3038" t="s">
        <v>2617</v>
      </c>
      <c r="D14" s="3023"/>
      <c r="E14" s="3039"/>
      <c r="F14" s="3039"/>
      <c r="G14" s="3017" t="s">
        <v>2618</v>
      </c>
      <c r="H14" s="3040"/>
      <c r="I14" s="3041"/>
      <c r="J14" s="3040"/>
      <c r="K14" s="3040"/>
      <c r="L14" s="3041"/>
      <c r="M14" s="3040"/>
      <c r="N14" s="3040"/>
      <c r="O14" s="3041"/>
      <c r="P14" s="3040"/>
      <c r="Q14" s="3040"/>
      <c r="R14" s="3042"/>
      <c r="S14" s="3020"/>
      <c r="T14" s="3020"/>
      <c r="U14" s="3020"/>
      <c r="V14" s="3020"/>
      <c r="W14" s="3020"/>
      <c r="X14" s="3020"/>
      <c r="Y14" s="3020"/>
      <c r="Z14" s="3020"/>
      <c r="AA14" s="3020"/>
      <c r="AB14" s="3020"/>
      <c r="AC14" s="3020"/>
    </row>
    <row r="15" spans="1:29" s="2551" customFormat="1" ht="24">
      <c r="A15" s="3043" t="s">
        <v>2619</v>
      </c>
      <c r="B15" s="3044" t="s">
        <v>2606</v>
      </c>
      <c r="C15" s="3045">
        <f>C3</f>
        <v>0</v>
      </c>
      <c r="D15" s="3023"/>
      <c r="E15" s="3046" t="s">
        <v>2620</v>
      </c>
      <c r="F15" s="3044" t="s">
        <v>2621</v>
      </c>
      <c r="G15" s="3047">
        <f>G3</f>
        <v>0</v>
      </c>
      <c r="H15" s="3040"/>
      <c r="I15" s="3041"/>
      <c r="J15" s="3040"/>
      <c r="K15" s="3040"/>
      <c r="L15" s="3041"/>
      <c r="M15" s="3040"/>
      <c r="N15" s="3040"/>
      <c r="O15" s="3041"/>
      <c r="P15" s="3040"/>
      <c r="Q15" s="3040"/>
      <c r="R15" s="3042"/>
      <c r="S15" s="3020"/>
      <c r="T15" s="3020"/>
      <c r="U15" s="3020"/>
      <c r="V15" s="3020"/>
      <c r="W15" s="3020"/>
      <c r="X15" s="3020"/>
      <c r="Y15" s="3020"/>
      <c r="Z15" s="3020"/>
      <c r="AA15" s="3020"/>
      <c r="AB15" s="3020"/>
      <c r="AC15" s="3020"/>
    </row>
    <row r="16" spans="1:29" s="2551" customFormat="1" ht="13.2">
      <c r="A16" s="3048"/>
      <c r="B16" s="2492" t="s">
        <v>2608</v>
      </c>
      <c r="C16" s="3049" t="str">
        <f>C4</f>
        <v>较好</v>
      </c>
      <c r="D16" s="3023"/>
      <c r="E16" s="3050"/>
      <c r="F16" s="3010" t="s">
        <v>2609</v>
      </c>
      <c r="G16" s="3051">
        <f>G4</f>
        <v>0</v>
      </c>
      <c r="H16" s="3040"/>
      <c r="I16" s="3041"/>
      <c r="J16" s="3040"/>
      <c r="K16" s="3040"/>
      <c r="L16" s="3041"/>
      <c r="M16" s="3040"/>
      <c r="N16" s="3040"/>
      <c r="O16" s="3041"/>
      <c r="P16" s="3040"/>
      <c r="Q16" s="3040"/>
      <c r="R16" s="3042"/>
      <c r="S16" s="3020"/>
      <c r="T16" s="3020"/>
      <c r="U16" s="3020"/>
      <c r="V16" s="3020"/>
      <c r="W16" s="3020"/>
      <c r="X16" s="3020"/>
      <c r="Y16" s="3020"/>
      <c r="Z16" s="3020"/>
      <c r="AA16" s="3020"/>
      <c r="AB16" s="3020"/>
      <c r="AC16" s="3020"/>
    </row>
    <row r="17" spans="1:29" s="2551" customFormat="1" ht="13.2">
      <c r="A17" s="3048"/>
      <c r="B17" s="2492" t="s">
        <v>2610</v>
      </c>
      <c r="C17" s="3049">
        <f>C5</f>
        <v>0</v>
      </c>
      <c r="D17" s="2899"/>
      <c r="E17" s="3050"/>
      <c r="F17" s="3320" t="s">
        <v>3016</v>
      </c>
      <c r="G17" s="3052"/>
      <c r="H17" s="3040"/>
      <c r="I17" s="3041"/>
      <c r="J17" s="3040"/>
      <c r="K17" s="3040"/>
      <c r="L17" s="3041"/>
      <c r="M17" s="3040"/>
      <c r="N17" s="3040"/>
      <c r="O17" s="3041"/>
      <c r="P17" s="3040"/>
      <c r="Q17" s="3040"/>
      <c r="R17" s="3042"/>
      <c r="S17" s="3020"/>
      <c r="T17" s="3020"/>
      <c r="U17" s="3020"/>
      <c r="V17" s="3020"/>
      <c r="W17" s="3020"/>
      <c r="X17" s="3020"/>
      <c r="Y17" s="3020"/>
      <c r="Z17" s="3020"/>
      <c r="AA17" s="3020"/>
      <c r="AB17" s="3020"/>
      <c r="AC17" s="3020"/>
    </row>
    <row r="18" spans="1:29" s="2551" customFormat="1" ht="13.2">
      <c r="A18" s="3048"/>
      <c r="B18" s="3010" t="s">
        <v>2612</v>
      </c>
      <c r="C18" s="3051" t="str">
        <f>C6</f>
        <v>较好</v>
      </c>
      <c r="D18" s="2899"/>
      <c r="E18" s="3050"/>
      <c r="F18" s="3010" t="s">
        <v>2614</v>
      </c>
      <c r="G18" s="3051">
        <f>G7</f>
        <v>0</v>
      </c>
      <c r="H18" s="3040"/>
      <c r="I18" s="3041"/>
      <c r="J18" s="3040"/>
      <c r="K18" s="3040"/>
      <c r="L18" s="3041"/>
      <c r="M18" s="3040"/>
      <c r="N18" s="3040"/>
      <c r="O18" s="3041"/>
      <c r="P18" s="3040"/>
      <c r="Q18" s="3040"/>
      <c r="R18" s="3042"/>
      <c r="S18" s="3020"/>
      <c r="T18" s="3020"/>
      <c r="U18" s="3020"/>
      <c r="V18" s="3020"/>
      <c r="W18" s="3020"/>
      <c r="X18" s="3020"/>
      <c r="Y18" s="3020"/>
      <c r="Z18" s="3020"/>
      <c r="AA18" s="3020"/>
      <c r="AB18" s="3020"/>
      <c r="AC18" s="3020"/>
    </row>
    <row r="19" spans="1:29" s="2551" customFormat="1" ht="24">
      <c r="A19" s="3048"/>
      <c r="B19" s="3320" t="s">
        <v>3015</v>
      </c>
      <c r="C19" s="3052"/>
      <c r="D19" s="3023"/>
      <c r="E19" s="3050"/>
      <c r="F19" s="3009" t="s">
        <v>2611</v>
      </c>
      <c r="G19" s="3051">
        <f>G5</f>
        <v>0</v>
      </c>
      <c r="H19" s="3040"/>
      <c r="I19" s="3041"/>
      <c r="J19" s="3040"/>
      <c r="K19" s="3040"/>
      <c r="L19" s="3041"/>
      <c r="M19" s="3040"/>
      <c r="N19" s="3040"/>
      <c r="O19" s="3041"/>
      <c r="P19" s="3040"/>
      <c r="Q19" s="3040"/>
      <c r="R19" s="3042"/>
      <c r="S19" s="3020"/>
      <c r="T19" s="3020"/>
      <c r="U19" s="3020"/>
      <c r="V19" s="3020"/>
      <c r="W19" s="3020"/>
      <c r="X19" s="3020"/>
      <c r="Y19" s="3020"/>
      <c r="Z19" s="3020"/>
      <c r="AA19" s="3020"/>
      <c r="AB19" s="3020"/>
      <c r="AC19" s="3020"/>
    </row>
    <row r="20" spans="1:29" s="2551" customFormat="1" ht="13.2">
      <c r="A20" s="3048"/>
      <c r="B20" s="3010" t="s">
        <v>2622</v>
      </c>
      <c r="C20" s="3049" t="str">
        <f>C9</f>
        <v>一般</v>
      </c>
      <c r="D20" s="2899"/>
      <c r="E20" s="3050"/>
      <c r="F20" s="3009" t="s">
        <v>2613</v>
      </c>
      <c r="G20" s="3051">
        <f>G6</f>
        <v>0</v>
      </c>
      <c r="H20" s="3040"/>
      <c r="I20" s="3041"/>
      <c r="J20" s="3040"/>
      <c r="K20" s="3040"/>
      <c r="L20" s="3041"/>
      <c r="M20" s="3040"/>
      <c r="N20" s="3040"/>
      <c r="O20" s="3041"/>
      <c r="P20" s="3040"/>
      <c r="Q20" s="3040"/>
      <c r="R20" s="3042"/>
      <c r="S20" s="3020"/>
      <c r="T20" s="3020"/>
      <c r="U20" s="3020"/>
      <c r="V20" s="3020"/>
      <c r="W20" s="3020"/>
      <c r="X20" s="3020"/>
      <c r="Y20" s="3020"/>
      <c r="Z20" s="3020"/>
      <c r="AA20" s="3020"/>
      <c r="AB20" s="3020"/>
      <c r="AC20" s="3020"/>
    </row>
    <row r="21" spans="1:29" s="2551" customFormat="1" ht="13.2">
      <c r="A21" s="3048"/>
      <c r="B21" s="3009" t="s">
        <v>2611</v>
      </c>
      <c r="C21" s="3051" t="str">
        <f>C7</f>
        <v>较好</v>
      </c>
      <c r="D21" s="3023"/>
      <c r="E21" s="3050"/>
      <c r="F21" s="3010" t="s">
        <v>2623</v>
      </c>
      <c r="G21" s="3053"/>
      <c r="H21" s="3040"/>
      <c r="I21" s="3041"/>
      <c r="J21" s="3040"/>
      <c r="K21" s="3040"/>
      <c r="L21" s="3041"/>
      <c r="M21" s="3040"/>
      <c r="N21" s="3040"/>
      <c r="O21" s="3041"/>
      <c r="P21" s="3040"/>
      <c r="Q21" s="3040"/>
      <c r="R21" s="3042"/>
      <c r="S21" s="3020"/>
      <c r="T21" s="3020"/>
      <c r="U21" s="3020"/>
      <c r="V21" s="3020"/>
      <c r="W21" s="3020"/>
      <c r="X21" s="3020"/>
      <c r="Y21" s="3020"/>
      <c r="Z21" s="3020"/>
      <c r="AA21" s="3020"/>
      <c r="AB21" s="3020"/>
      <c r="AC21" s="3020"/>
    </row>
    <row r="22" spans="1:29" s="2551" customFormat="1" ht="13.2">
      <c r="A22" s="3048"/>
      <c r="B22" s="3009" t="s">
        <v>2613</v>
      </c>
      <c r="C22" s="3051" t="str">
        <f>C8</f>
        <v>六通</v>
      </c>
      <c r="D22" s="3023"/>
      <c r="E22" s="3050"/>
      <c r="F22" s="3010" t="s">
        <v>2616</v>
      </c>
      <c r="G22" s="3054"/>
      <c r="H22" s="3040"/>
      <c r="I22" s="3041"/>
      <c r="J22" s="3040"/>
      <c r="K22" s="3040"/>
      <c r="L22" s="3041"/>
      <c r="M22" s="3040"/>
      <c r="N22" s="3040"/>
      <c r="O22" s="3041"/>
      <c r="P22" s="3040"/>
      <c r="Q22" s="3040"/>
      <c r="R22" s="3042"/>
      <c r="S22" s="3020"/>
      <c r="T22" s="3020"/>
      <c r="U22" s="3020"/>
      <c r="V22" s="3020"/>
      <c r="W22" s="3020"/>
      <c r="X22" s="3020"/>
      <c r="Y22" s="3020"/>
      <c r="Z22" s="3020"/>
      <c r="AA22" s="3020"/>
      <c r="AB22" s="3020"/>
      <c r="AC22" s="3020"/>
    </row>
    <row r="23" spans="1:29" s="3020" customFormat="1" thickBot="1">
      <c r="A23" s="3048"/>
      <c r="B23" s="3010" t="s">
        <v>2623</v>
      </c>
      <c r="C23" s="3053"/>
      <c r="D23" s="3040"/>
      <c r="E23" s="3055"/>
      <c r="F23" s="3012" t="s">
        <v>2624</v>
      </c>
      <c r="G23" s="3056"/>
      <c r="H23" s="3040"/>
      <c r="I23" s="3041"/>
      <c r="J23" s="3040"/>
      <c r="K23" s="3040"/>
      <c r="L23" s="3041"/>
      <c r="M23" s="3040"/>
      <c r="N23" s="3040"/>
      <c r="O23" s="3041"/>
      <c r="P23" s="3040"/>
      <c r="Q23" s="3040"/>
      <c r="R23" s="3042"/>
    </row>
    <row r="24" spans="1:29" s="3020" customFormat="1" thickBot="1">
      <c r="A24" s="3057"/>
      <c r="B24" s="3012" t="s">
        <v>2625</v>
      </c>
      <c r="C24" s="3058" t="str">
        <f>C10</f>
        <v>较好</v>
      </c>
      <c r="D24" s="3040"/>
      <c r="E24" s="3059"/>
      <c r="F24" s="3059"/>
      <c r="G24" s="3060"/>
      <c r="H24" s="3040"/>
      <c r="I24" s="3041"/>
      <c r="J24" s="3040"/>
      <c r="K24" s="3040"/>
      <c r="L24" s="3041"/>
      <c r="M24" s="3040"/>
      <c r="N24" s="3040"/>
      <c r="O24" s="3041"/>
      <c r="P24" s="3040"/>
      <c r="Q24" s="3040"/>
      <c r="R24" s="3042"/>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6"/>
  <sheetViews>
    <sheetView view="pageBreakPreview" zoomScale="80" zoomScaleNormal="100" zoomScaleSheetLayoutView="80" workbookViewId="0">
      <selection activeCell="J18" sqref="J18"/>
    </sheetView>
  </sheetViews>
  <sheetFormatPr defaultColWidth="14.6640625" defaultRowHeight="14.4"/>
  <cols>
    <col min="1" max="1" width="24.33203125" style="2501" customWidth="1"/>
    <col min="2" max="16384" width="14.6640625" style="2501"/>
  </cols>
  <sheetData>
    <row r="1" spans="1:9" ht="15.6">
      <c r="A1" s="2499" t="s">
        <v>973</v>
      </c>
      <c r="B1" s="2499">
        <f>SUM(B14:B23)</f>
        <v>829.41000000000008</v>
      </c>
      <c r="C1" s="1562"/>
      <c r="D1" s="1562"/>
      <c r="E1" s="1562"/>
      <c r="F1" s="1562"/>
      <c r="G1" s="2500"/>
    </row>
    <row r="2" spans="1:9" ht="15.6">
      <c r="A2" s="2499" t="s">
        <v>974</v>
      </c>
      <c r="B2" s="2499">
        <f>SUM(C14:C23)</f>
        <v>30.71</v>
      </c>
      <c r="C2" s="1562"/>
      <c r="D2" s="1562"/>
      <c r="E2" s="1562"/>
      <c r="F2" s="1562"/>
      <c r="G2" s="2500"/>
    </row>
    <row r="3" spans="1:9" ht="15.6">
      <c r="A3" s="2499" t="s">
        <v>975</v>
      </c>
      <c r="B3" s="2502">
        <f>项目基本情况!D2</f>
        <v>44776</v>
      </c>
      <c r="C3" s="1562"/>
      <c r="D3" s="1562"/>
      <c r="E3" s="1562"/>
      <c r="F3" s="1562"/>
      <c r="G3" s="2500"/>
    </row>
    <row r="4" spans="1:9" ht="31.2">
      <c r="A4" s="2499" t="s">
        <v>976</v>
      </c>
      <c r="B4" s="2499" t="s">
        <v>977</v>
      </c>
      <c r="C4" s="2499" t="s">
        <v>978</v>
      </c>
      <c r="D4" s="2499" t="s">
        <v>979</v>
      </c>
      <c r="E4" s="1562"/>
      <c r="F4" s="2500"/>
      <c r="G4" s="2500"/>
    </row>
    <row r="5" spans="1:9" ht="15.6">
      <c r="A5" s="2499" t="s">
        <v>980</v>
      </c>
      <c r="B5" s="2499">
        <f ca="1">SUM(D14:D23)</f>
        <v>567</v>
      </c>
      <c r="C5" s="2499">
        <f ca="1">ROUND(B5*10000/$B$1,0)</f>
        <v>6836</v>
      </c>
      <c r="D5" s="2499">
        <f ca="1">ROUND(B5*10000/$B$2,0)</f>
        <v>184630</v>
      </c>
      <c r="E5" s="1562"/>
      <c r="F5" s="2500"/>
      <c r="G5" s="2500"/>
    </row>
    <row r="6" spans="1:9" ht="15.6">
      <c r="A6" s="2499" t="s">
        <v>981</v>
      </c>
      <c r="B6" s="2499">
        <f ca="1">SUM(G14:G23)</f>
        <v>567</v>
      </c>
      <c r="C6" s="2499">
        <f t="shared" ref="C6:C8" ca="1" si="0">ROUND(B6*10000/$B$1,0)</f>
        <v>6836</v>
      </c>
      <c r="D6" s="2499">
        <f t="shared" ref="D6:D8" ca="1" si="1">ROUND(B6*10000/$B$2,0)</f>
        <v>184630</v>
      </c>
      <c r="E6" s="1562"/>
      <c r="F6" s="2500"/>
      <c r="G6" s="2500"/>
    </row>
    <row r="7" spans="1:9" ht="15.6">
      <c r="A7" s="2499" t="s">
        <v>982</v>
      </c>
      <c r="B7" s="2499">
        <f>SUM(H14:H23)</f>
        <v>0</v>
      </c>
      <c r="C7" s="2499">
        <f>ROUND(B7*10000/$B$1,0)</f>
        <v>0</v>
      </c>
      <c r="D7" s="2499">
        <f t="shared" si="1"/>
        <v>0</v>
      </c>
      <c r="E7" s="1562"/>
      <c r="F7" s="2500"/>
      <c r="G7" s="2500"/>
    </row>
    <row r="8" spans="1:9" ht="15.6">
      <c r="A8" s="2499" t="s">
        <v>983</v>
      </c>
      <c r="B8" s="2499">
        <f>SUM(I14:I23)</f>
        <v>0</v>
      </c>
      <c r="C8" s="2499">
        <f t="shared" si="0"/>
        <v>0</v>
      </c>
      <c r="D8" s="2499">
        <f t="shared" si="1"/>
        <v>0</v>
      </c>
      <c r="E8" s="1562"/>
      <c r="F8" s="2500"/>
      <c r="G8" s="2500"/>
    </row>
    <row r="9" spans="1:9" ht="15.6">
      <c r="A9" s="2499" t="s">
        <v>984</v>
      </c>
      <c r="B9" s="2503"/>
      <c r="C9" s="1562"/>
      <c r="D9" s="1562"/>
      <c r="E9" s="1562"/>
      <c r="F9" s="2500"/>
      <c r="G9" s="2500"/>
    </row>
    <row r="10" spans="1:9" ht="15.6">
      <c r="A10" s="2499" t="s">
        <v>985</v>
      </c>
      <c r="B10" s="2503"/>
      <c r="C10" s="1562"/>
      <c r="D10" s="1562"/>
      <c r="E10" s="1562"/>
      <c r="F10" s="2500"/>
      <c r="G10" s="2500"/>
    </row>
    <row r="11" spans="1:9" ht="15.6">
      <c r="A11" s="2499" t="s">
        <v>1000</v>
      </c>
      <c r="B11" s="2503"/>
      <c r="C11" s="1562"/>
      <c r="D11" s="1562"/>
      <c r="E11" s="1562"/>
      <c r="F11" s="2500"/>
      <c r="G11" s="2500"/>
    </row>
    <row r="12" spans="1:9" ht="15.6">
      <c r="A12" s="1562"/>
      <c r="B12" s="1562"/>
      <c r="C12" s="1562"/>
      <c r="D12" s="1562"/>
      <c r="E12" s="1562"/>
      <c r="F12" s="2500"/>
      <c r="G12" s="2500"/>
    </row>
    <row r="13" spans="1:9" ht="31.2">
      <c r="A13" s="2504" t="s">
        <v>999</v>
      </c>
      <c r="B13" s="2505" t="s">
        <v>973</v>
      </c>
      <c r="C13" s="2505" t="s">
        <v>974</v>
      </c>
      <c r="D13" s="2505" t="s">
        <v>986</v>
      </c>
      <c r="E13" s="2499" t="s">
        <v>978</v>
      </c>
      <c r="F13" s="2499" t="s">
        <v>979</v>
      </c>
      <c r="G13" s="2505" t="s">
        <v>987</v>
      </c>
      <c r="H13" s="2505" t="s">
        <v>988</v>
      </c>
      <c r="I13" s="2505" t="s">
        <v>989</v>
      </c>
    </row>
    <row r="14" spans="1:9" ht="15.6">
      <c r="A14" s="2804" t="s">
        <v>3040</v>
      </c>
      <c r="B14" s="2834">
        <f>项目基本情况!C12</f>
        <v>829.41000000000008</v>
      </c>
      <c r="C14" s="2834">
        <f>项目基本情况!C13</f>
        <v>30.71</v>
      </c>
      <c r="D14" s="2834">
        <f ca="1">IF('数据-取费表'!B3="万元",IF(A14="估价对象1（结果表）",结果表!H121,'结果表 (1修多)'!H125),IF(A14="估价对象1（结果表）",结果表!H121,'结果表 (1修多)'!H125)/10000)</f>
        <v>567</v>
      </c>
      <c r="E14" s="2834">
        <f ca="1">ROUND(D14*10000/B14,0)</f>
        <v>6836</v>
      </c>
      <c r="F14" s="2834">
        <f ca="1">ROUND(D14*10000/C14,0)</f>
        <v>184630</v>
      </c>
      <c r="G14" s="2834">
        <f ca="1">IF('数据-取费表'!B3="万元",IF(A14="估价对象1（结果表）",结果表!D125,'结果表 (1修多)'!D129),IF(A14="估价对象1（结果表）",结果表!D125,'结果表 (1修多)'!D129)/10000)</f>
        <v>567</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5.6">
      <c r="A15" s="2506" t="s">
        <v>990</v>
      </c>
      <c r="B15" s="2507"/>
      <c r="C15" s="2507"/>
      <c r="D15" s="2507"/>
      <c r="E15" s="2834" t="e">
        <f t="shared" ref="E15:E23" si="2">ROUND(D15*10000/B15,0)</f>
        <v>#DIV/0!</v>
      </c>
      <c r="F15" s="2834" t="e">
        <f t="shared" ref="F15:F23" si="3">ROUND(D15*10000/C15,0)</f>
        <v>#DIV/0!</v>
      </c>
      <c r="G15" s="1233"/>
      <c r="H15" s="1233"/>
      <c r="I15" s="2507"/>
    </row>
    <row r="16" spans="1:9" ht="15.6">
      <c r="A16" s="2506" t="s">
        <v>991</v>
      </c>
      <c r="B16" s="2507"/>
      <c r="C16" s="2507"/>
      <c r="D16" s="2507"/>
      <c r="E16" s="2834" t="e">
        <f t="shared" si="2"/>
        <v>#DIV/0!</v>
      </c>
      <c r="F16" s="2834" t="e">
        <f t="shared" si="3"/>
        <v>#DIV/0!</v>
      </c>
      <c r="G16" s="1233"/>
      <c r="H16" s="1233"/>
      <c r="I16" s="2507"/>
    </row>
    <row r="17" spans="1:9" ht="15.6">
      <c r="A17" s="2506" t="s">
        <v>992</v>
      </c>
      <c r="B17" s="2507"/>
      <c r="C17" s="2507"/>
      <c r="D17" s="2507"/>
      <c r="E17" s="2834" t="e">
        <f t="shared" si="2"/>
        <v>#DIV/0!</v>
      </c>
      <c r="F17" s="2834" t="e">
        <f t="shared" si="3"/>
        <v>#DIV/0!</v>
      </c>
      <c r="G17" s="1233"/>
      <c r="H17" s="1233"/>
      <c r="I17" s="2507"/>
    </row>
    <row r="18" spans="1:9" ht="15.6">
      <c r="A18" s="2506" t="s">
        <v>993</v>
      </c>
      <c r="B18" s="2507"/>
      <c r="C18" s="2507"/>
      <c r="D18" s="2507"/>
      <c r="E18" s="2834" t="e">
        <f t="shared" si="2"/>
        <v>#DIV/0!</v>
      </c>
      <c r="F18" s="2834" t="e">
        <f t="shared" si="3"/>
        <v>#DIV/0!</v>
      </c>
      <c r="G18" s="2507"/>
      <c r="H18" s="2507"/>
      <c r="I18" s="2507"/>
    </row>
    <row r="19" spans="1:9" ht="15.6">
      <c r="A19" s="2506" t="s">
        <v>994</v>
      </c>
      <c r="B19" s="2507"/>
      <c r="C19" s="2507"/>
      <c r="D19" s="2507"/>
      <c r="E19" s="2834" t="e">
        <f t="shared" si="2"/>
        <v>#DIV/0!</v>
      </c>
      <c r="F19" s="2834" t="e">
        <f t="shared" si="3"/>
        <v>#DIV/0!</v>
      </c>
      <c r="G19" s="2507"/>
      <c r="H19" s="2507"/>
      <c r="I19" s="2507"/>
    </row>
    <row r="20" spans="1:9" ht="15.6">
      <c r="A20" s="2506" t="s">
        <v>995</v>
      </c>
      <c r="B20" s="2507"/>
      <c r="C20" s="2507"/>
      <c r="D20" s="2507"/>
      <c r="E20" s="2834" t="e">
        <f t="shared" si="2"/>
        <v>#DIV/0!</v>
      </c>
      <c r="F20" s="2834" t="e">
        <f t="shared" si="3"/>
        <v>#DIV/0!</v>
      </c>
      <c r="G20" s="2507"/>
      <c r="H20" s="2507"/>
      <c r="I20" s="2507"/>
    </row>
    <row r="21" spans="1:9" ht="15.6">
      <c r="A21" s="2506" t="s">
        <v>996</v>
      </c>
      <c r="B21" s="2507"/>
      <c r="C21" s="2507"/>
      <c r="D21" s="2507"/>
      <c r="E21" s="2834" t="e">
        <f t="shared" si="2"/>
        <v>#DIV/0!</v>
      </c>
      <c r="F21" s="2834" t="e">
        <f t="shared" si="3"/>
        <v>#DIV/0!</v>
      </c>
      <c r="G21" s="2507"/>
      <c r="H21" s="2507"/>
      <c r="I21" s="2507"/>
    </row>
    <row r="22" spans="1:9" ht="15.6">
      <c r="A22" s="2506" t="s">
        <v>997</v>
      </c>
      <c r="B22" s="2507"/>
      <c r="C22" s="2507"/>
      <c r="D22" s="2507"/>
      <c r="E22" s="2834" t="e">
        <f t="shared" si="2"/>
        <v>#DIV/0!</v>
      </c>
      <c r="F22" s="2834" t="e">
        <f t="shared" si="3"/>
        <v>#DIV/0!</v>
      </c>
      <c r="G22" s="2507"/>
      <c r="H22" s="2507"/>
      <c r="I22" s="2507"/>
    </row>
    <row r="23" spans="1:9" ht="15.6">
      <c r="A23" s="2506" t="s">
        <v>998</v>
      </c>
      <c r="B23" s="2507"/>
      <c r="C23" s="2507"/>
      <c r="D23" s="2507"/>
      <c r="E23" s="2835" t="e">
        <f t="shared" si="2"/>
        <v>#DIV/0!</v>
      </c>
      <c r="F23" s="2835" t="e">
        <f t="shared" si="3"/>
        <v>#DIV/0!</v>
      </c>
      <c r="G23" s="2507"/>
      <c r="H23" s="2507"/>
      <c r="I23" s="2507"/>
    </row>
    <row r="26" spans="1:9">
      <c r="D26" s="3342">
        <f ca="1">D14*10000</f>
        <v>5670000</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42" sqref="G42"/>
    </sheetView>
  </sheetViews>
  <sheetFormatPr defaultColWidth="12.6640625" defaultRowHeight="21.75" customHeight="1"/>
  <cols>
    <col min="1" max="2" width="12.6640625" style="1390"/>
    <col min="3" max="4" width="12.6640625" style="1390" customWidth="1"/>
    <col min="5" max="9" width="12.6640625" style="1390"/>
    <col min="10" max="10" width="3.6640625" style="2760"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88" t="str">
        <f>项目基本情况!B1</f>
        <v>预评估</v>
      </c>
      <c r="B2" s="3488"/>
      <c r="C2" s="3488"/>
      <c r="D2" s="3488"/>
      <c r="E2" s="3488"/>
      <c r="F2" s="3488"/>
      <c r="G2" s="3488"/>
      <c r="H2" s="3488"/>
      <c r="I2" s="3488"/>
      <c r="J2" s="2761"/>
    </row>
    <row r="3" spans="1:15" ht="13.2">
      <c r="A3" s="3491" t="s">
        <v>1471</v>
      </c>
      <c r="B3" s="3492"/>
      <c r="C3" s="3492"/>
      <c r="D3" s="3492"/>
      <c r="E3" s="3492"/>
      <c r="F3" s="3492"/>
      <c r="G3" s="3492"/>
      <c r="H3" s="3492"/>
      <c r="I3" s="3492"/>
      <c r="J3" s="2762"/>
    </row>
    <row r="4" spans="1:15" ht="14.4">
      <c r="A4" s="2630" t="s">
        <v>1472</v>
      </c>
      <c r="B4" s="2630" t="s">
        <v>1473</v>
      </c>
      <c r="C4" s="2631"/>
      <c r="D4" s="2631"/>
      <c r="E4" s="3437" t="s">
        <v>1474</v>
      </c>
      <c r="F4" s="3475"/>
      <c r="G4" s="3475"/>
      <c r="H4" s="3475"/>
      <c r="I4" s="3476"/>
      <c r="J4" s="2763"/>
      <c r="L4" s="1389" t="str">
        <f>IF(ISNUMBER(FIND("比较法",结果表!C4)),"比较法",IF(ISNUMBER(FIND("成本法",结果表!C4)),"成本法",IF(ISNUMBER(FIND("假设开发法",结果表!C4)),"假设开发法",IF(ISNUMBER(FIND("收益法",结果表!C4)),"收益法","基准地价系数修正法"))))</f>
        <v>基准地价系数修正法</v>
      </c>
      <c r="M4" s="1389" t="str">
        <f>IF(ISNUMBER(FIND("比较法",结果表!D4)),"比较法",IF(ISNUMBER(FIND("成本法",结果表!D4)),"成本法",IF(ISNUMBER(FIND("假设开发法",结果表!D4)),"假设开发法",IF(ISNUMBER(FIND("收益法",结果表!D4)),"收益法","基准地价系数修正法"))))</f>
        <v>基准地价系数修正法</v>
      </c>
      <c r="N4" s="1389"/>
      <c r="O4" s="1389"/>
    </row>
    <row r="5" spans="1:15" ht="13.2">
      <c r="A5" s="3468" t="s">
        <v>1475</v>
      </c>
      <c r="B5" s="3468">
        <v>25</v>
      </c>
      <c r="C5" s="3477"/>
      <c r="D5" s="3490"/>
      <c r="E5" s="12" t="s">
        <v>1476</v>
      </c>
      <c r="F5" s="2017"/>
      <c r="G5" s="2017"/>
      <c r="H5" s="2017"/>
      <c r="I5" s="2012"/>
      <c r="J5" s="2763"/>
    </row>
    <row r="6" spans="1:15" ht="13.2">
      <c r="A6" s="3468"/>
      <c r="B6" s="3468"/>
      <c r="C6" s="3493"/>
      <c r="D6" s="3490"/>
      <c r="E6" s="12" t="s">
        <v>1477</v>
      </c>
      <c r="F6" s="2017"/>
      <c r="G6" s="2017"/>
      <c r="H6" s="2017"/>
      <c r="I6" s="2012"/>
      <c r="J6" s="2763"/>
    </row>
    <row r="7" spans="1:15" ht="13.2">
      <c r="A7" s="3468"/>
      <c r="B7" s="3468"/>
      <c r="C7" s="3478"/>
      <c r="D7" s="3490"/>
      <c r="E7" s="12" t="s">
        <v>1478</v>
      </c>
      <c r="F7" s="2017"/>
      <c r="G7" s="2017"/>
      <c r="H7" s="2017"/>
      <c r="I7" s="2012"/>
      <c r="J7" s="2763"/>
    </row>
    <row r="8" spans="1:15" ht="13.2">
      <c r="A8" s="3468" t="s">
        <v>1479</v>
      </c>
      <c r="B8" s="3468">
        <v>15</v>
      </c>
      <c r="C8" s="3477"/>
      <c r="D8" s="3490"/>
      <c r="E8" s="12" t="s">
        <v>1480</v>
      </c>
      <c r="F8" s="2017"/>
      <c r="G8" s="2017"/>
      <c r="H8" s="2017"/>
      <c r="I8" s="2012"/>
      <c r="J8" s="2763"/>
    </row>
    <row r="9" spans="1:15" ht="13.2">
      <c r="A9" s="3468"/>
      <c r="B9" s="3468"/>
      <c r="C9" s="3478"/>
      <c r="D9" s="3490"/>
      <c r="E9" s="12" t="s">
        <v>1481</v>
      </c>
      <c r="F9" s="2017"/>
      <c r="G9" s="2017"/>
      <c r="H9" s="2017"/>
      <c r="I9" s="2012"/>
      <c r="J9" s="2763"/>
    </row>
    <row r="10" spans="1:15" ht="13.2">
      <c r="A10" s="3468" t="s">
        <v>1482</v>
      </c>
      <c r="B10" s="3468">
        <v>15</v>
      </c>
      <c r="C10" s="3477"/>
      <c r="D10" s="3490"/>
      <c r="E10" s="12" t="s">
        <v>1483</v>
      </c>
      <c r="F10" s="2017"/>
      <c r="G10" s="2017"/>
      <c r="H10" s="2017"/>
      <c r="I10" s="2012"/>
      <c r="J10" s="2763"/>
    </row>
    <row r="11" spans="1:15" ht="13.2">
      <c r="A11" s="3468"/>
      <c r="B11" s="3468"/>
      <c r="C11" s="3478"/>
      <c r="D11" s="3490"/>
      <c r="E11" s="12" t="s">
        <v>1484</v>
      </c>
      <c r="F11" s="2017"/>
      <c r="G11" s="2017"/>
      <c r="H11" s="2017"/>
      <c r="I11" s="2012"/>
      <c r="J11" s="2763"/>
    </row>
    <row r="12" spans="1:15" ht="13.2">
      <c r="A12" s="3468" t="s">
        <v>1485</v>
      </c>
      <c r="B12" s="3468">
        <v>15</v>
      </c>
      <c r="C12" s="3477"/>
      <c r="D12" s="3490"/>
      <c r="E12" s="12" t="s">
        <v>1486</v>
      </c>
      <c r="F12" s="2017"/>
      <c r="G12" s="2017"/>
      <c r="H12" s="2017"/>
      <c r="I12" s="2012"/>
      <c r="J12" s="2763"/>
    </row>
    <row r="13" spans="1:15" ht="13.2">
      <c r="A13" s="3468"/>
      <c r="B13" s="3468"/>
      <c r="C13" s="3478"/>
      <c r="D13" s="3490"/>
      <c r="E13" s="12" t="s">
        <v>1487</v>
      </c>
      <c r="F13" s="2017"/>
      <c r="G13" s="2017"/>
      <c r="H13" s="2017"/>
      <c r="I13" s="2012"/>
      <c r="J13" s="2763"/>
    </row>
    <row r="14" spans="1:15" ht="13.2">
      <c r="A14" s="3468" t="s">
        <v>1488</v>
      </c>
      <c r="B14" s="3468">
        <v>30</v>
      </c>
      <c r="C14" s="3477"/>
      <c r="D14" s="3490"/>
      <c r="E14" s="12" t="s">
        <v>1489</v>
      </c>
      <c r="F14" s="2017"/>
      <c r="G14" s="2017"/>
      <c r="H14" s="2017"/>
      <c r="I14" s="2012"/>
      <c r="J14" s="2763"/>
    </row>
    <row r="15" spans="1:15" ht="13.2">
      <c r="A15" s="3468"/>
      <c r="B15" s="3468"/>
      <c r="C15" s="3493"/>
      <c r="D15" s="3490"/>
      <c r="E15" s="12" t="s">
        <v>1490</v>
      </c>
      <c r="F15" s="2017"/>
      <c r="G15" s="2017"/>
      <c r="H15" s="2017"/>
      <c r="I15" s="2012"/>
      <c r="J15" s="2763"/>
    </row>
    <row r="16" spans="1:15" ht="13.2">
      <c r="A16" s="3468"/>
      <c r="B16" s="3468"/>
      <c r="C16" s="3478"/>
      <c r="D16" s="3490"/>
      <c r="E16" s="12" t="s">
        <v>1491</v>
      </c>
      <c r="F16" s="2017"/>
      <c r="G16" s="2017"/>
      <c r="H16" s="2017"/>
      <c r="I16" s="2012"/>
      <c r="J16" s="2763"/>
    </row>
    <row r="17" spans="1:36" ht="14.4">
      <c r="A17" s="2632" t="s">
        <v>1492</v>
      </c>
      <c r="B17" s="2022"/>
      <c r="C17" s="2633">
        <f>SUM(C5:C16)</f>
        <v>0</v>
      </c>
      <c r="D17" s="2633">
        <f>SUM(D5:D16)</f>
        <v>0</v>
      </c>
      <c r="E17" s="2481"/>
      <c r="F17" s="2481"/>
      <c r="G17" s="2481"/>
      <c r="H17" s="2481"/>
      <c r="I17" s="2481"/>
      <c r="J17" s="2764"/>
    </row>
    <row r="18" spans="1:36" ht="30" customHeight="1" thickBot="1">
      <c r="A18" s="2634" t="s">
        <v>1493</v>
      </c>
      <c r="B18" s="2635"/>
      <c r="C18" s="2636" t="e">
        <f>ROUND(C17/SUM(C17:D17),2)</f>
        <v>#DIV/0!</v>
      </c>
      <c r="D18" s="2636" t="e">
        <f>1-C18</f>
        <v>#DIV/0!</v>
      </c>
      <c r="E18" s="3486" t="s">
        <v>2572</v>
      </c>
      <c r="F18" s="3487"/>
      <c r="G18" s="3487"/>
      <c r="H18" s="3487"/>
      <c r="I18" s="3487"/>
      <c r="J18" s="2764"/>
    </row>
    <row r="19" spans="1:36" ht="14.4">
      <c r="A19" s="2637" t="s">
        <v>1494</v>
      </c>
      <c r="B19" s="2638" t="s">
        <v>1495</v>
      </c>
      <c r="C19" s="2639" t="e">
        <f ca="1">SUMIF(INDIRECT("'"&amp;C4&amp;"'"&amp;"!A:A"),结果表!B19,INDIRECT("'"&amp;C4&amp;"'"&amp;"!B:B"))</f>
        <v>#REF!</v>
      </c>
      <c r="D19" s="2640" t="e">
        <f ca="1">SUMIF(INDIRECT("'"&amp;D4&amp;"'"&amp;"!A:A"),结果表!B19,INDIRECT("'"&amp;D4&amp;"'"&amp;"!B:B"))</f>
        <v>#REF!</v>
      </c>
      <c r="E19" s="2637" t="s">
        <v>1496</v>
      </c>
      <c r="F19" s="2638" t="s">
        <v>1495</v>
      </c>
      <c r="G19" s="2641" t="e">
        <f ca="1">ROUND(C19*$C$18+D19*$D$18,0)</f>
        <v>#REF!</v>
      </c>
      <c r="H19" s="2642" t="str">
        <f>'数据-取费表'!B3</f>
        <v>万元</v>
      </c>
      <c r="I19" s="2690"/>
      <c r="J19" s="2765"/>
    </row>
    <row r="20" spans="1:36" ht="14.4">
      <c r="A20" s="2643"/>
      <c r="B20" s="1622" t="s">
        <v>1497</v>
      </c>
      <c r="C20" s="1847" t="e">
        <f ca="1">SUMIF(INDIRECT("'"&amp;C4&amp;"'"&amp;"!A:A"),结果表!B20,INDIRECT("'"&amp;C4&amp;"'"&amp;"!B:B"))</f>
        <v>#REF!</v>
      </c>
      <c r="D20" s="1850" t="e">
        <f ca="1">SUMIF(INDIRECT("'"&amp;D4&amp;"'"&amp;"!A:A"),结果表!B20,INDIRECT("'"&amp;D4&amp;"'"&amp;"!B:B"))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t="e">
        <f ca="1">IF(C19&lt;D19,D19/C19-1,C19/D19-1)</f>
        <v>#REF!</v>
      </c>
      <c r="E22" s="905"/>
      <c r="F22" s="905"/>
      <c r="G22" s="905"/>
      <c r="H22" s="905"/>
      <c r="I22" s="905"/>
      <c r="J22" s="2764"/>
    </row>
    <row r="23" spans="1:36" ht="13.8" thickBot="1">
      <c r="A23" s="2481"/>
      <c r="B23" s="2481"/>
      <c r="C23" s="2481"/>
      <c r="D23" s="2481"/>
      <c r="E23" s="905"/>
      <c r="F23" s="905"/>
      <c r="G23" s="905"/>
      <c r="H23" s="905"/>
      <c r="I23" s="905"/>
      <c r="J23" s="2764"/>
    </row>
    <row r="24" spans="1:36" ht="21.75" customHeight="1">
      <c r="A24" s="3479" t="s">
        <v>1500</v>
      </c>
      <c r="B24" s="2638" t="s">
        <v>1495</v>
      </c>
      <c r="C24" s="2641">
        <f>D30</f>
        <v>0</v>
      </c>
      <c r="D24" s="2593"/>
      <c r="E24" s="905"/>
      <c r="F24" s="905"/>
      <c r="G24" s="905"/>
      <c r="H24" s="905"/>
      <c r="I24" s="905"/>
      <c r="J24" s="2764"/>
    </row>
    <row r="25" spans="1:36" ht="21.75" customHeight="1">
      <c r="A25" s="3496"/>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3.8">
      <c r="A27" s="2658"/>
      <c r="B27" s="2656">
        <v>0</v>
      </c>
      <c r="C27" s="2656">
        <v>0</v>
      </c>
      <c r="D27" s="2657">
        <f>ROUND(C27*B27/10000,0)</f>
        <v>0</v>
      </c>
      <c r="E27" s="905"/>
      <c r="F27" s="905"/>
      <c r="G27" s="905"/>
      <c r="H27" s="905"/>
      <c r="I27" s="905"/>
      <c r="J27" s="2764"/>
    </row>
    <row r="28" spans="1:36" ht="13.8">
      <c r="A28" s="2655"/>
      <c r="B28" s="2656"/>
      <c r="C28" s="2656"/>
      <c r="D28" s="2657">
        <f t="shared" ref="D28:D29" si="0">ROUND(C28*B28/10000,0)</f>
        <v>0</v>
      </c>
      <c r="E28" s="905"/>
      <c r="F28" s="905"/>
      <c r="G28" s="905"/>
      <c r="H28" s="905"/>
      <c r="I28" s="905"/>
      <c r="J28" s="2764"/>
    </row>
    <row r="29" spans="1:36" ht="13.8">
      <c r="A29" s="2655"/>
      <c r="B29" s="2656"/>
      <c r="C29" s="2656"/>
      <c r="D29" s="2657">
        <f t="shared" si="0"/>
        <v>0</v>
      </c>
      <c r="E29" s="905"/>
      <c r="F29" s="905"/>
      <c r="G29" s="905"/>
      <c r="H29" s="905"/>
      <c r="I29" s="905"/>
      <c r="J29" s="2764"/>
    </row>
    <row r="30" spans="1:36" ht="15" thickBot="1">
      <c r="A30" s="2692" t="s">
        <v>1505</v>
      </c>
      <c r="B30" s="2692"/>
      <c r="C30" s="2692"/>
      <c r="D30" s="2692"/>
      <c r="E30" s="2659" t="s">
        <v>2576</v>
      </c>
      <c r="F30" s="2481"/>
      <c r="G30" s="2481"/>
      <c r="H30" s="2481"/>
      <c r="I30" s="2481"/>
      <c r="J30" s="2764"/>
    </row>
    <row r="31" spans="1:36" s="2757" customFormat="1" ht="26.4"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5.6" thickTop="1" thickBot="1">
      <c r="A32" s="2745" t="s">
        <v>1506</v>
      </c>
      <c r="B32" s="2746" t="str">
        <f>'数据-取费表'!B4</f>
        <v>楼面单价</v>
      </c>
      <c r="C32" s="2747" t="e">
        <f ca="1">IF(B32="总价",G19-C24,G20-C25)</f>
        <v>#REF!</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4.4">
      <c r="A33" s="2660" t="s">
        <v>1507</v>
      </c>
      <c r="B33" s="255"/>
      <c r="C33" s="2661"/>
      <c r="D33" s="2662"/>
      <c r="E33" s="2663" t="s">
        <v>1508</v>
      </c>
      <c r="F33" s="2664" t="str">
        <f>IF(B32="楼面单价","取值（单价）","取值（总价）")</f>
        <v>取值（单价）</v>
      </c>
      <c r="G33" s="905"/>
      <c r="H33" s="905"/>
      <c r="I33" s="905"/>
      <c r="J33" s="2764"/>
    </row>
    <row r="34" spans="1:17" ht="14.4">
      <c r="A34" s="1394"/>
      <c r="B34" s="2665" t="s">
        <v>1509</v>
      </c>
      <c r="C34" s="2666" t="e">
        <f ca="1">IF(D33="自定义",F34,C32-C35)</f>
        <v>#REF!</v>
      </c>
      <c r="D34" s="2667">
        <f ca="1">IF(D33="自定义",ROUND(C34/C32,3),1-D35)</f>
        <v>0.48399999999999999</v>
      </c>
      <c r="E34" s="1363" t="s">
        <v>1510</v>
      </c>
      <c r="F34" s="2668">
        <v>2000</v>
      </c>
      <c r="G34" s="905"/>
      <c r="H34" s="905"/>
      <c r="I34" s="905"/>
      <c r="J34" s="2764"/>
    </row>
    <row r="35" spans="1:17" ht="15" thickBot="1">
      <c r="A35" s="1395"/>
      <c r="B35" s="2669" t="s">
        <v>1511</v>
      </c>
      <c r="C35" s="2670" t="e">
        <f ca="1">IF(D33="自定义",F35,ROUND(C32*D35,0))</f>
        <v>#REF!</v>
      </c>
      <c r="D35" s="2671">
        <f ca="1">IF(D33="自定义",ROUND(C35/C32,3),IF(D33="成本法成本比率",成本法!C56,IF(D33="收益法收益比率",收益法!J38,收益法!J41)))</f>
        <v>0.51600000000000001</v>
      </c>
      <c r="E35" s="2672" t="s">
        <v>1512</v>
      </c>
      <c r="F35" s="2673">
        <v>4460</v>
      </c>
      <c r="G35" s="905"/>
      <c r="H35" s="905"/>
      <c r="I35" s="905"/>
      <c r="J35" s="2764"/>
    </row>
    <row r="36" spans="1:17" ht="15" thickBot="1">
      <c r="A36" s="3479" t="s">
        <v>1513</v>
      </c>
      <c r="B36" s="1396" t="s">
        <v>1514</v>
      </c>
      <c r="C36" s="2674">
        <v>0</v>
      </c>
      <c r="D36" s="2675"/>
      <c r="E36" s="1608"/>
      <c r="F36" s="1608"/>
      <c r="G36" s="905"/>
      <c r="H36" s="905"/>
      <c r="I36" s="905"/>
      <c r="J36" s="2764"/>
    </row>
    <row r="37" spans="1:17" ht="15" thickBot="1">
      <c r="A37" s="3480"/>
      <c r="B37" s="2022" t="s">
        <v>1515</v>
      </c>
      <c r="C37" s="2676">
        <v>0</v>
      </c>
      <c r="D37" s="1239"/>
      <c r="E37" s="1239"/>
      <c r="F37" s="1608"/>
      <c r="G37" s="1239"/>
      <c r="H37" s="1239"/>
      <c r="I37" s="1239"/>
      <c r="J37" s="2768"/>
    </row>
    <row r="38" spans="1:17" ht="15" thickBot="1">
      <c r="A38" s="3481"/>
      <c r="B38" s="1397" t="s">
        <v>1516</v>
      </c>
      <c r="C38" s="2677">
        <v>0</v>
      </c>
      <c r="D38" s="2678" t="s">
        <v>1517</v>
      </c>
      <c r="E38" s="1239"/>
      <c r="F38" s="1608"/>
      <c r="G38" s="1239"/>
      <c r="H38" s="1239"/>
      <c r="I38" s="1239"/>
      <c r="J38" s="2768"/>
    </row>
    <row r="39" spans="1:17" ht="14.4">
      <c r="A39" s="2643" t="s">
        <v>1518</v>
      </c>
      <c r="B39" s="2679" t="s">
        <v>1502</v>
      </c>
      <c r="C39" s="2680" t="s">
        <v>1503</v>
      </c>
      <c r="D39" s="2680" t="s">
        <v>1519</v>
      </c>
      <c r="E39" s="2681" t="s">
        <v>1504</v>
      </c>
      <c r="F39" s="1608"/>
      <c r="G39" s="1239"/>
      <c r="H39" s="1239"/>
      <c r="I39" s="1239"/>
      <c r="J39" s="2768"/>
    </row>
    <row r="40" spans="1:17" ht="13.8">
      <c r="A40" s="2682" t="s">
        <v>1520</v>
      </c>
      <c r="B40" s="2683"/>
      <c r="C40" s="2684"/>
      <c r="D40" s="2684"/>
      <c r="E40" s="2685"/>
      <c r="F40" s="1608"/>
      <c r="G40" s="1239"/>
      <c r="H40" s="1239"/>
      <c r="I40" s="1239"/>
      <c r="J40" s="2768"/>
    </row>
    <row r="41" spans="1:17" ht="13.8">
      <c r="A41" s="2682" t="s">
        <v>1521</v>
      </c>
      <c r="B41" s="2683"/>
      <c r="C41" s="2684"/>
      <c r="D41" s="2684"/>
      <c r="E41" s="2685"/>
      <c r="F41" s="1608"/>
      <c r="G41" s="1239"/>
      <c r="H41" s="1239"/>
      <c r="I41" s="1239"/>
      <c r="J41" s="2768"/>
    </row>
    <row r="42" spans="1:17" ht="14.4" thickBot="1">
      <c r="A42" s="2686"/>
      <c r="B42" s="2687"/>
      <c r="C42" s="2688"/>
      <c r="D42" s="2688"/>
      <c r="E42" s="2673"/>
      <c r="F42" s="1608"/>
      <c r="G42" s="1239"/>
      <c r="H42" s="1239"/>
      <c r="I42" s="1239"/>
      <c r="J42" s="2768"/>
    </row>
    <row r="43" spans="1:17" ht="13.2">
      <c r="A43" s="2894"/>
      <c r="B43" s="2894"/>
      <c r="C43" s="2894"/>
      <c r="D43" s="2894"/>
      <c r="E43" s="2894"/>
      <c r="F43" s="2893"/>
      <c r="G43" s="2893"/>
      <c r="H43" s="2893"/>
      <c r="I43" s="2580"/>
      <c r="J43" s="2769"/>
    </row>
    <row r="44" spans="1:17" ht="17.399999999999999">
      <c r="A44" s="1399" t="s">
        <v>1522</v>
      </c>
      <c r="B44" s="1400"/>
      <c r="C44" s="1400"/>
      <c r="D44" s="1401"/>
      <c r="E44" s="1401"/>
      <c r="F44" s="1402"/>
      <c r="G44" s="1402"/>
      <c r="H44" s="1402"/>
      <c r="I44" s="2758" t="s">
        <v>2571</v>
      </c>
      <c r="J44" s="2770"/>
      <c r="K44" s="1403" t="s">
        <v>1523</v>
      </c>
      <c r="L44" s="1404"/>
      <c r="M44" s="1404"/>
      <c r="N44" s="1404"/>
      <c r="O44" s="1404"/>
      <c r="P44" s="1404"/>
      <c r="Q44" s="1236"/>
    </row>
    <row r="45" spans="1:17" ht="14.25" customHeight="1" thickBot="1">
      <c r="A45" s="3483" t="s">
        <v>1524</v>
      </c>
      <c r="B45" s="3484"/>
      <c r="C45" s="3443"/>
      <c r="D45" s="246" t="e">
        <f ca="1">ROUND(I102*F45,0)</f>
        <v>#REF!</v>
      </c>
      <c r="E45" s="1470" t="s">
        <v>1525</v>
      </c>
      <c r="F45" s="2479">
        <v>1</v>
      </c>
      <c r="G45" s="2480" t="s">
        <v>1526</v>
      </c>
      <c r="H45" s="905"/>
      <c r="I45" s="905"/>
      <c r="J45" s="2764"/>
      <c r="K45" s="3537" t="s">
        <v>2501</v>
      </c>
      <c r="L45" s="3537"/>
      <c r="M45" s="3537"/>
      <c r="N45" s="3537"/>
      <c r="O45" s="3537"/>
      <c r="P45" s="3537"/>
      <c r="Q45" s="1236"/>
    </row>
    <row r="46" spans="1:17" ht="14.25" customHeight="1">
      <c r="A46" s="3472" t="s">
        <v>1528</v>
      </c>
      <c r="B46" s="3473"/>
      <c r="C46" s="3473"/>
      <c r="D46" s="3473"/>
      <c r="E46" s="3473"/>
      <c r="F46" s="3473"/>
      <c r="G46" s="3474"/>
      <c r="H46" s="2896"/>
      <c r="I46" s="905"/>
      <c r="J46" s="2764"/>
      <c r="K46" s="2454">
        <v>1</v>
      </c>
      <c r="L46" s="3538" t="s">
        <v>2502</v>
      </c>
      <c r="M46" s="3538"/>
      <c r="N46" s="3539" t="str">
        <f>项目基本情况!B1</f>
        <v>预评估</v>
      </c>
      <c r="O46" s="3539"/>
      <c r="P46" s="3539"/>
      <c r="Q46" s="1236"/>
    </row>
    <row r="47" spans="1:17" ht="12" customHeight="1">
      <c r="A47" s="38" t="s">
        <v>1530</v>
      </c>
      <c r="B47" s="39"/>
      <c r="C47" s="40"/>
      <c r="D47" s="1028" t="s">
        <v>1531</v>
      </c>
      <c r="E47" s="235" t="s">
        <v>1532</v>
      </c>
      <c r="F47" s="41" t="s">
        <v>1533</v>
      </c>
      <c r="G47" s="2482" t="s">
        <v>1534</v>
      </c>
      <c r="H47" s="2896"/>
      <c r="I47" s="905"/>
      <c r="J47" s="2764"/>
      <c r="K47" s="2454">
        <v>2</v>
      </c>
      <c r="L47" s="3538" t="s">
        <v>2503</v>
      </c>
      <c r="M47" s="3538"/>
      <c r="N47" s="3540">
        <f>'数据-取费表'!B2</f>
        <v>44776</v>
      </c>
      <c r="O47" s="3540"/>
      <c r="P47" s="3540"/>
      <c r="Q47" s="1236"/>
    </row>
    <row r="48" spans="1:17" ht="26.4">
      <c r="A48" s="3482" t="s">
        <v>1536</v>
      </c>
      <c r="B48" s="3436"/>
      <c r="C48" s="3436"/>
      <c r="D48" s="12" t="e">
        <f ca="1">IF(H48="情况1",0,IF(H48="情况2",D52,IF(H48="情况3",D53,IF(H48="情况4",D54))))</f>
        <v>#REF!</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538" t="s">
        <v>2504</v>
      </c>
      <c r="M48" s="3538"/>
      <c r="N48" s="3539" t="e">
        <f ca="1">I102</f>
        <v>#REF!</v>
      </c>
      <c r="O48" s="3539"/>
      <c r="P48" s="3539"/>
      <c r="Q48" s="1236"/>
    </row>
    <row r="49" spans="1:17" ht="25.5" customHeight="1">
      <c r="A49" s="2019" t="s">
        <v>1540</v>
      </c>
      <c r="B49" s="3475" t="s">
        <v>1541</v>
      </c>
      <c r="C49" s="3475"/>
      <c r="D49" s="2486">
        <v>0</v>
      </c>
      <c r="E49" s="261" t="s">
        <v>1542</v>
      </c>
      <c r="F49" s="2487" t="s">
        <v>48</v>
      </c>
      <c r="G49" s="3532"/>
      <c r="H49" s="2488" t="s">
        <v>2578</v>
      </c>
      <c r="I49" s="2489"/>
      <c r="J49" s="2772"/>
      <c r="K49" s="2454">
        <v>4</v>
      </c>
      <c r="L49" s="3538" t="str">
        <f>IF(项目基本情况!F5="房地产抵押价值","房地产抵押价值","抵押担保权已注销时的房地产抵押价值")</f>
        <v>抵押担保权已注销时的房地产抵押价值</v>
      </c>
      <c r="M49" s="3538"/>
      <c r="N49" s="3539" t="str">
        <f>IF(项目基本情况!F5="房地产抵押价值",I110,I112)</f>
        <v>——</v>
      </c>
      <c r="O49" s="3539"/>
      <c r="P49" s="3539"/>
      <c r="Q49" s="1236"/>
    </row>
    <row r="50" spans="1:17" ht="25.5" customHeight="1">
      <c r="A50" s="2009"/>
      <c r="B50" s="3475" t="s">
        <v>1543</v>
      </c>
      <c r="C50" s="3475"/>
      <c r="D50" s="2490"/>
      <c r="E50" s="269"/>
      <c r="F50" s="2487"/>
      <c r="G50" s="3533"/>
      <c r="H50" s="2491" t="s">
        <v>2497</v>
      </c>
      <c r="I50" s="2489"/>
      <c r="J50" s="2772"/>
      <c r="K50" s="3538" t="s">
        <v>2505</v>
      </c>
      <c r="L50" s="3538"/>
      <c r="M50" s="3538"/>
      <c r="N50" s="3538"/>
      <c r="O50" s="3538"/>
      <c r="P50" s="3538"/>
      <c r="Q50" s="1236"/>
    </row>
    <row r="51" spans="1:17" ht="20.399999999999999" customHeight="1">
      <c r="A51" s="2492"/>
      <c r="B51" s="3475" t="s">
        <v>1545</v>
      </c>
      <c r="C51" s="3475"/>
      <c r="D51" s="1028"/>
      <c r="E51" s="264"/>
      <c r="F51" s="2487"/>
      <c r="G51" s="3534"/>
      <c r="H51" s="2491" t="s">
        <v>2498</v>
      </c>
      <c r="I51" s="2489"/>
      <c r="J51" s="2772"/>
      <c r="K51" s="2455" t="s">
        <v>2506</v>
      </c>
      <c r="L51" s="3538" t="s">
        <v>2507</v>
      </c>
      <c r="M51" s="3538"/>
      <c r="N51" s="2455" t="s">
        <v>2508</v>
      </c>
      <c r="O51" s="2455" t="s">
        <v>2509</v>
      </c>
      <c r="P51" s="2455" t="s">
        <v>2510</v>
      </c>
      <c r="Q51" s="1236"/>
    </row>
    <row r="52" spans="1:17" ht="24" customHeight="1">
      <c r="A52" s="2010" t="s">
        <v>1551</v>
      </c>
      <c r="B52" s="3475" t="s">
        <v>1552</v>
      </c>
      <c r="C52" s="3475"/>
      <c r="D52" s="1028" t="e">
        <f ca="1">ROUND(D45*'数据-取费表'!E29/(1+'数据-取费表'!F30),0)</f>
        <v>#REF!</v>
      </c>
      <c r="E52" s="2020" t="s">
        <v>1553</v>
      </c>
      <c r="F52" s="2493">
        <f>'数据-取费表'!E29</f>
        <v>5.5000000000000007E-2</v>
      </c>
      <c r="G52" s="2494"/>
      <c r="H52" s="905"/>
      <c r="I52" s="2897"/>
      <c r="J52" s="2772"/>
      <c r="K52" s="2454">
        <v>1</v>
      </c>
      <c r="L52" s="3505" t="s">
        <v>2511</v>
      </c>
      <c r="M52" s="3505"/>
      <c r="N52" s="2456" t="e">
        <f ca="1">D48</f>
        <v>#REF!</v>
      </c>
      <c r="O52" s="2454" t="str">
        <f>E48</f>
        <v>销售额×税（费）率</v>
      </c>
      <c r="P52" s="2457">
        <f>F48</f>
        <v>5.5000000000000007E-2</v>
      </c>
      <c r="Q52" s="1236"/>
    </row>
    <row r="53" spans="1:17" ht="12" customHeight="1">
      <c r="A53" s="2010" t="s">
        <v>1555</v>
      </c>
      <c r="B53" s="3437" t="s">
        <v>2589</v>
      </c>
      <c r="C53" s="3476"/>
      <c r="D53" s="1028" t="e">
        <f ca="1">ROUND(D45*'数据-取费表'!E29/(1+'数据-取费表'!F30),0)</f>
        <v>#REF!</v>
      </c>
      <c r="E53" s="2020" t="s">
        <v>1553</v>
      </c>
      <c r="F53" s="2493">
        <f>'数据-取费表'!E29</f>
        <v>5.5000000000000007E-2</v>
      </c>
      <c r="G53" s="2494"/>
      <c r="H53" s="905"/>
      <c r="I53" s="2897"/>
      <c r="J53" s="2772"/>
      <c r="K53" s="2454">
        <v>2</v>
      </c>
      <c r="L53" s="3505" t="s">
        <v>2512</v>
      </c>
      <c r="M53" s="3505"/>
      <c r="N53" s="2456">
        <f t="shared" ref="N53:P54" si="1">D55</f>
        <v>0</v>
      </c>
      <c r="O53" s="2454" t="str">
        <f t="shared" si="1"/>
        <v>销售额×税（费）率</v>
      </c>
      <c r="P53" s="2457" t="str">
        <f t="shared" si="1"/>
        <v>免征</v>
      </c>
      <c r="Q53" s="1236"/>
    </row>
    <row r="54" spans="1:17" ht="12" customHeight="1">
      <c r="A54" s="2010" t="s">
        <v>1557</v>
      </c>
      <c r="B54" s="3437" t="s">
        <v>2590</v>
      </c>
      <c r="C54" s="3476"/>
      <c r="D54" s="1028" t="e">
        <f ca="1">C68</f>
        <v>#REF!</v>
      </c>
      <c r="E54" s="264" t="s">
        <v>1558</v>
      </c>
      <c r="F54" s="2493">
        <f>'数据-取费表'!E29</f>
        <v>5.5000000000000007E-2</v>
      </c>
      <c r="G54" s="2494"/>
      <c r="H54" s="2898"/>
      <c r="I54" s="2897"/>
      <c r="J54" s="2772"/>
      <c r="K54" s="2454">
        <v>3</v>
      </c>
      <c r="L54" s="3505" t="s">
        <v>2513</v>
      </c>
      <c r="M54" s="3505"/>
      <c r="N54" s="2456">
        <f t="shared" si="1"/>
        <v>0</v>
      </c>
      <c r="O54" s="2454" t="str">
        <f t="shared" si="1"/>
        <v>增值额×税（费）率</v>
      </c>
      <c r="P54" s="2458" t="str">
        <f t="shared" si="1"/>
        <v>免征</v>
      </c>
      <c r="Q54" s="1236"/>
    </row>
    <row r="55" spans="1:17" ht="24" customHeight="1">
      <c r="A55" s="3435" t="s">
        <v>1560</v>
      </c>
      <c r="B55" s="3436"/>
      <c r="C55" s="3436"/>
      <c r="D55" s="12">
        <f>IF(H55="个人住宅",0,ROUND(D45*I55,0))</f>
        <v>0</v>
      </c>
      <c r="E55" s="2020" t="s">
        <v>1561</v>
      </c>
      <c r="F55" s="2493" t="str">
        <f>IF(H55="正常",I55,"免征")</f>
        <v>免征</v>
      </c>
      <c r="G55" s="2494"/>
      <c r="H55" s="2485" t="s">
        <v>2494</v>
      </c>
      <c r="I55" s="74">
        <f>'数据-取费表'!E37</f>
        <v>5.0000000000000001E-4</v>
      </c>
      <c r="J55" s="2772"/>
      <c r="K55" s="2454" t="str">
        <f>IF(H59="非个人房产","",4)</f>
        <v/>
      </c>
      <c r="L55" s="3505" t="str">
        <f>IF(H59="非个人房产","——","个人所得税")</f>
        <v>——</v>
      </c>
      <c r="M55" s="3505"/>
      <c r="N55" s="2459" t="str">
        <f>D59</f>
        <v>——</v>
      </c>
      <c r="O55" s="2460" t="str">
        <f>E59</f>
        <v>——</v>
      </c>
      <c r="P55" s="2461" t="str">
        <f>F59</f>
        <v>——</v>
      </c>
      <c r="Q55" s="1236"/>
    </row>
    <row r="56" spans="1:17" ht="25.2">
      <c r="A56" s="3435" t="s">
        <v>1563</v>
      </c>
      <c r="B56" s="3436"/>
      <c r="C56" s="3436"/>
      <c r="D56" s="12">
        <f>IF(H56="个人住宅",D57,D58)</f>
        <v>0</v>
      </c>
      <c r="E56" s="2020" t="s">
        <v>1564</v>
      </c>
      <c r="F56" s="2493" t="str">
        <f>IF(H56="正常",F58,"免征")</f>
        <v>免征</v>
      </c>
      <c r="G56" s="2495" t="s">
        <v>1565</v>
      </c>
      <c r="H56" s="2496" t="s">
        <v>2494</v>
      </c>
      <c r="I56" s="2899"/>
      <c r="J56" s="2772"/>
      <c r="K56" s="2454" t="str">
        <f>IF(项目基本情况!I6="上海银行",IF(K55="",4,K55+1),"")</f>
        <v/>
      </c>
      <c r="L56" s="3519" t="str">
        <f>IF(项目基本情况!I6="上海银行","其他处置费用","")</f>
        <v/>
      </c>
      <c r="M56" s="3520"/>
      <c r="N56" s="2456" t="str">
        <f>IF(项目基本情况!I6="上海银行",N69,"")</f>
        <v/>
      </c>
      <c r="O56" s="3519" t="str">
        <f>IF(项目基本情况!I6="上海银行","包含处置中涉及的律师、诉讼、拍卖、评估等费用","")</f>
        <v/>
      </c>
      <c r="P56" s="3531"/>
      <c r="Q56" s="1236"/>
    </row>
    <row r="57" spans="1:17" ht="13.2">
      <c r="A57" s="2010" t="s">
        <v>1540</v>
      </c>
      <c r="B57" s="3437" t="s">
        <v>1566</v>
      </c>
      <c r="C57" s="3476"/>
      <c r="D57" s="2486">
        <v>0</v>
      </c>
      <c r="E57" s="261" t="s">
        <v>1542</v>
      </c>
      <c r="F57" s="235"/>
      <c r="G57" s="2494"/>
      <c r="H57" s="2899"/>
      <c r="I57" s="2899"/>
      <c r="J57" s="2772"/>
      <c r="K57" s="3505">
        <f>IF(AND(K55="",K56=""),4,IF(项目基本情况!I6="上海银行",K56+1,K55+1))</f>
        <v>4</v>
      </c>
      <c r="L57" s="3505" t="s">
        <v>2514</v>
      </c>
      <c r="M57" s="2462" t="s">
        <v>2515</v>
      </c>
      <c r="N57" s="2463"/>
      <c r="O57" s="2464">
        <f ca="1">SUMIF(N52:N56,"&lt;9e307")</f>
        <v>0</v>
      </c>
      <c r="P57" s="2465"/>
      <c r="Q57" s="1234" t="e">
        <f ca="1">O57/N49</f>
        <v>#VALUE!</v>
      </c>
    </row>
    <row r="58" spans="1:17" ht="25.2">
      <c r="A58" s="2010" t="s">
        <v>1551</v>
      </c>
      <c r="B58" s="3437" t="s">
        <v>1569</v>
      </c>
      <c r="C58" s="3475"/>
      <c r="D58" s="12" t="e">
        <f ca="1">IF(H58="转让取得",C81,C97)</f>
        <v>#REF!</v>
      </c>
      <c r="E58" s="2020" t="s">
        <v>1564</v>
      </c>
      <c r="F58" s="235" t="s">
        <v>48</v>
      </c>
      <c r="G58" s="2494"/>
      <c r="H58" s="2496" t="s">
        <v>1570</v>
      </c>
      <c r="I58" s="2899"/>
      <c r="J58" s="2772"/>
      <c r="K58" s="3505"/>
      <c r="L58" s="3505"/>
      <c r="M58" s="2462" t="s">
        <v>2516</v>
      </c>
      <c r="N58" s="2466"/>
      <c r="O58" s="2467" t="str">
        <f ca="1">IF(H19="元",NUMBERSTRING(INT(O57),2)&amp;"元整",NUMBERSTRING(INT(O57*10000),2)&amp;"元整")</f>
        <v>零元整</v>
      </c>
      <c r="P58" s="2468"/>
      <c r="Q58" s="1236"/>
    </row>
    <row r="59" spans="1:17" ht="24.6" thickBot="1">
      <c r="A59" s="3459" t="s">
        <v>1572</v>
      </c>
      <c r="B59" s="3460"/>
      <c r="C59" s="346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2569</v>
      </c>
      <c r="H59" s="2024" t="s">
        <v>2579</v>
      </c>
      <c r="I59" s="2801" t="s">
        <v>2580</v>
      </c>
      <c r="J59" s="2772"/>
      <c r="K59" s="3503">
        <f>K57+1</f>
        <v>5</v>
      </c>
      <c r="L59" s="3505" t="s">
        <v>2517</v>
      </c>
      <c r="M59" s="2454" t="s">
        <v>2515</v>
      </c>
      <c r="N59" s="2469"/>
      <c r="O59" s="2470" t="e">
        <f ca="1">N49-O57</f>
        <v>#VALUE!</v>
      </c>
      <c r="P59" s="2471"/>
      <c r="Q59" s="1236"/>
    </row>
    <row r="60" spans="1:17" ht="12" customHeight="1">
      <c r="A60" s="1385"/>
      <c r="B60" s="1389"/>
      <c r="C60" s="1389"/>
      <c r="D60" s="1389"/>
      <c r="E60" s="770"/>
      <c r="F60" s="2900"/>
      <c r="G60" s="2900"/>
      <c r="H60" s="2901"/>
      <c r="I60" s="31"/>
      <c r="K60" s="3504"/>
      <c r="L60" s="3505"/>
      <c r="M60" s="2462" t="s">
        <v>2516</v>
      </c>
      <c r="N60" s="2466"/>
      <c r="O60" s="2467" t="e">
        <f ca="1">IF(H19="元",NUMBERSTRING(INT(O59),2)&amp;"元整",NUMBERSTRING(INT(O59*10000),2)&amp;"元整")</f>
        <v>#VALUE!</v>
      </c>
      <c r="P60" s="2468"/>
      <c r="Q60" s="1236"/>
    </row>
    <row r="61" spans="1:17" ht="13.8" thickBot="1">
      <c r="A61" s="3485" t="s">
        <v>1574</v>
      </c>
      <c r="B61" s="3485"/>
      <c r="C61" s="3485"/>
      <c r="D61" s="3485"/>
      <c r="E61" s="3485"/>
      <c r="F61" s="2900"/>
      <c r="G61" s="2900"/>
      <c r="H61" s="2902"/>
      <c r="I61" s="31"/>
      <c r="K61" s="2454">
        <f>K59+1</f>
        <v>6</v>
      </c>
      <c r="L61" s="3505" t="s">
        <v>2518</v>
      </c>
      <c r="M61" s="3505"/>
      <c r="N61" s="2472"/>
      <c r="O61" s="2473" t="e">
        <f ca="1">IF(H19="元",ROUND(O59/项目基本情况!C12,0),ROUND(O59*10000/项目基本情况!C12,0))</f>
        <v>#VALUE!</v>
      </c>
      <c r="P61" s="2474"/>
      <c r="Q61" s="1236"/>
    </row>
    <row r="62" spans="1:17" ht="13.2">
      <c r="A62" s="3494" t="s">
        <v>1576</v>
      </c>
      <c r="B62" s="3495"/>
      <c r="C62" s="1535"/>
      <c r="D62" s="1535" t="s">
        <v>1577</v>
      </c>
      <c r="E62" s="45" t="s">
        <v>1578</v>
      </c>
      <c r="F62" s="2900"/>
      <c r="G62" s="2900"/>
      <c r="H62" s="2902"/>
      <c r="I62" s="31"/>
      <c r="K62" s="2475"/>
      <c r="L62" s="2475"/>
      <c r="M62" s="2475"/>
      <c r="N62" s="2475"/>
      <c r="O62" s="2475"/>
      <c r="P62" s="2475"/>
      <c r="Q62" s="1236"/>
    </row>
    <row r="63" spans="1:17" ht="13.2">
      <c r="A63" s="46">
        <v>1</v>
      </c>
      <c r="B63" s="47" t="s">
        <v>1579</v>
      </c>
      <c r="C63" s="2703" t="e">
        <f ca="1">ROUND((C64+C65)/(1+'数据-取费表'!F30),0)</f>
        <v>#REF!</v>
      </c>
      <c r="D63" s="47"/>
      <c r="E63" s="48"/>
      <c r="F63" s="2900"/>
      <c r="G63" s="2900"/>
      <c r="H63" s="2902"/>
      <c r="I63" s="31"/>
      <c r="K63" s="3521" t="s">
        <v>2519</v>
      </c>
      <c r="L63" s="2476" t="s">
        <v>2520</v>
      </c>
      <c r="M63" s="2476" t="e">
        <f>IF(N49&gt;10000,N49*0.5%,IF(AND(N49&gt;1000,N49&lt;=10000),N49*1%,IF(AND(N49&gt;100,N49&lt;=1000),N49*3%,IF(AND(N49&gt;10,N49&lt;=100),N49*5%,N49*8%))))</f>
        <v>#VALUE!</v>
      </c>
      <c r="N63" s="2477" t="e">
        <f>ROUND(M63,1)</f>
        <v>#VALUE!</v>
      </c>
      <c r="O63" s="2475"/>
      <c r="P63" s="2475"/>
      <c r="Q63" s="1236"/>
    </row>
    <row r="64" spans="1:17" ht="13.2">
      <c r="A64" s="49" t="s">
        <v>71</v>
      </c>
      <c r="B64" s="50" t="s">
        <v>1582</v>
      </c>
      <c r="C64" s="2704" t="e">
        <f ca="1">D45</f>
        <v>#REF!</v>
      </c>
      <c r="D64" s="50" t="s">
        <v>41</v>
      </c>
      <c r="E64" s="52"/>
      <c r="F64" s="2900"/>
      <c r="G64" s="2900"/>
      <c r="H64" s="2902"/>
      <c r="I64" s="31"/>
      <c r="K64" s="3521"/>
      <c r="L64" s="2476" t="s">
        <v>2521</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2522</v>
      </c>
      <c r="P64" s="2475"/>
      <c r="Q64" s="1236"/>
    </row>
    <row r="65" spans="1:36" ht="13.2">
      <c r="A65" s="49" t="s">
        <v>72</v>
      </c>
      <c r="B65" s="50" t="s">
        <v>1585</v>
      </c>
      <c r="C65" s="2705"/>
      <c r="D65" s="50"/>
      <c r="E65" s="52"/>
      <c r="F65" s="2900"/>
      <c r="G65" s="2900"/>
      <c r="H65" s="2902"/>
      <c r="I65" s="31"/>
      <c r="K65" s="3521"/>
      <c r="L65" s="2476" t="s">
        <v>2523</v>
      </c>
      <c r="M65" s="2476" t="e">
        <f>IF(N49&gt;1000,N49*0.1%,IF(AND(N49&gt;500,N49&lt;=1000),N49*0.5%,IF(AND(N49&gt;50,N49&lt;=500),N49*1%,IF(AND(N49&gt;1,N49&lt;=50),N49*1.5%))))</f>
        <v>#VALUE!</v>
      </c>
      <c r="N65" s="2477" t="e">
        <f t="shared" si="2"/>
        <v>#VALUE!</v>
      </c>
      <c r="O65" s="2475" t="s">
        <v>2522</v>
      </c>
      <c r="P65" s="2475"/>
      <c r="Q65" s="1236"/>
    </row>
    <row r="66" spans="1:36" ht="25.2">
      <c r="A66" s="53" t="s">
        <v>47</v>
      </c>
      <c r="B66" s="54" t="s">
        <v>1587</v>
      </c>
      <c r="C66" s="2706"/>
      <c r="D66" s="54" t="s">
        <v>41</v>
      </c>
      <c r="E66" s="1244" t="s">
        <v>1588</v>
      </c>
      <c r="F66" s="2900"/>
      <c r="G66" s="2900"/>
      <c r="H66" s="2902"/>
      <c r="I66" s="31"/>
      <c r="K66" s="3521"/>
      <c r="L66" s="2476" t="s">
        <v>2524</v>
      </c>
      <c r="M66" s="2476" t="e">
        <f>N49*0.5%</f>
        <v>#VALUE!</v>
      </c>
      <c r="N66" s="2477" t="e">
        <f>IF(M66&gt;0.5,0.5,ROUND(M66,0))</f>
        <v>#VALUE!</v>
      </c>
      <c r="O66" s="2475" t="s">
        <v>2525</v>
      </c>
      <c r="P66" s="2475"/>
      <c r="Q66" s="1236"/>
    </row>
    <row r="67" spans="1:36" ht="13.2">
      <c r="A67" s="53" t="s">
        <v>42</v>
      </c>
      <c r="B67" s="54" t="s">
        <v>1591</v>
      </c>
      <c r="C67" s="2707" t="e">
        <f ca="1">C63-C66</f>
        <v>#REF!</v>
      </c>
      <c r="D67" s="50" t="s">
        <v>41</v>
      </c>
      <c r="E67" s="52"/>
      <c r="F67" s="2900"/>
      <c r="G67" s="2900"/>
      <c r="H67" s="2902"/>
      <c r="I67" s="31"/>
      <c r="K67" s="3521"/>
      <c r="L67" s="2476" t="s">
        <v>2526</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8" thickBot="1">
      <c r="A68" s="55" t="s">
        <v>46</v>
      </c>
      <c r="B68" s="56" t="s">
        <v>1593</v>
      </c>
      <c r="C68" s="2708" t="e">
        <f ca="1">IF(C67&lt;=0,0,ROUND(C67*D68,0))</f>
        <v>#REF!</v>
      </c>
      <c r="D68" s="2170">
        <f>'数据-取费表'!E29</f>
        <v>5.5000000000000007E-2</v>
      </c>
      <c r="E68" s="57"/>
      <c r="F68" s="2900"/>
      <c r="G68" s="2900"/>
      <c r="H68" s="2902"/>
      <c r="I68" s="31"/>
      <c r="K68" s="3521"/>
      <c r="L68" s="2476" t="s">
        <v>2527</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521"/>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97" t="s">
        <v>1596</v>
      </c>
      <c r="B70" s="3498"/>
      <c r="C70" s="3498"/>
      <c r="D70" s="3498"/>
      <c r="E70" s="3498"/>
      <c r="F70" s="3498"/>
      <c r="G70" s="3498"/>
      <c r="H70" s="3498"/>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94" t="s">
        <v>1576</v>
      </c>
      <c r="B71" s="3495"/>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7" t="e">
        <f ca="1">ROUND(D45/(1+'数据-取费表'!F30),0)</f>
        <v>#REF!</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7" t="e">
        <f ca="1">C74+C78</f>
        <v>#REF!</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37" t="s">
        <v>1606</v>
      </c>
      <c r="F76" s="3475"/>
      <c r="G76" s="3475"/>
      <c r="H76" s="3489"/>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t="e">
        <f ca="1">ROUND(D45*D78/(1+'数据-取费表'!F30),0)</f>
        <v>#REF!</v>
      </c>
      <c r="D78" s="2716">
        <f>'数据-取费表'!E31</f>
        <v>5.000000000000001E-3</v>
      </c>
      <c r="E78" s="3469" t="s">
        <v>1611</v>
      </c>
      <c r="F78" s="3470"/>
      <c r="G78" s="3470"/>
      <c r="H78" s="3471"/>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7" t="e">
        <f ca="1">C72-C73</f>
        <v>#REF!</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8" t="e">
        <f ca="1">ROUND(IF(C79&lt;=0,0,IF(C80&gt;=200%,C79*60%-C73*35%,IF(C80&gt;=100%,C79*50%-C73*15%,IF(C80&gt;=50%,C79*40%-C73*5%,IF(C80&lt;50%,C79*30%,0))))),0)</f>
        <v>#REF!</v>
      </c>
      <c r="D81" s="2100"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97" t="s">
        <v>1615</v>
      </c>
      <c r="B83" s="3498"/>
      <c r="C83" s="3498"/>
      <c r="D83" s="3498"/>
      <c r="E83" s="3498"/>
      <c r="F83" s="3498"/>
      <c r="G83" s="3498"/>
      <c r="H83" s="3498"/>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94" t="s">
        <v>1576</v>
      </c>
      <c r="B84" s="3495"/>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t="e">
        <f ca="1">ROUND(D45/(1+'数据-取费表'!F30),0)</f>
        <v>#REF!</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7" t="e">
        <f ca="1">IF(H88="仅含出让金",C87+C90+C91+C92+C93+C94,C87+C91+C92+C93+C94)</f>
        <v>#REF!</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0"/>
      <c r="D88" s="2716"/>
      <c r="E88" s="74" t="s">
        <v>1618</v>
      </c>
      <c r="F88" s="2014"/>
      <c r="G88" s="75" t="s">
        <v>1619</v>
      </c>
      <c r="H88" s="1416"/>
      <c r="I88" s="9"/>
      <c r="J88" s="2775"/>
      <c r="K88" s="2891" t="s">
        <v>2573</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530" t="s">
        <v>2489</v>
      </c>
      <c r="H90" s="3530"/>
      <c r="I90" s="9"/>
      <c r="J90" s="2775"/>
      <c r="K90" s="2891" t="s">
        <v>2574</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69" t="s">
        <v>1623</v>
      </c>
      <c r="F91" s="3470"/>
      <c r="G91" s="3470"/>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69" t="s">
        <v>1626</v>
      </c>
      <c r="F92" s="3470"/>
      <c r="G92" s="3470"/>
      <c r="H92" s="3471"/>
      <c r="I92" s="9"/>
      <c r="J92" s="2775"/>
      <c r="K92" s="2892" t="s">
        <v>2575</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t="e">
        <f ca="1">ROUND(D45*D93/(1+'数据-取费表'!F30),0)</f>
        <v>#REF!</v>
      </c>
      <c r="D93" s="2716">
        <f>'数据-取费表'!E31</f>
        <v>5.000000000000001E-3</v>
      </c>
      <c r="E93" s="3469" t="s">
        <v>1611</v>
      </c>
      <c r="F93" s="3470"/>
      <c r="G93" s="3470"/>
      <c r="H93" s="3471"/>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69" t="s">
        <v>1628</v>
      </c>
      <c r="F94" s="3470"/>
      <c r="G94" s="3470"/>
      <c r="H94" s="3471"/>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7" t="e">
        <f ca="1">ROUND(C85-C86,0)</f>
        <v>#REF!</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8" t="e">
        <f ca="1">ROUND(IF(C95&lt;=0,0,IF(C96&gt;=200%,C95*60%-C86*35%,IF(C96&gt;=100%,C95*50%-C86*15%,IF(C96&gt;=50%,C95*40%-C86*5%,IF(C96&lt;50%,C95*30%,0))))),0)</f>
        <v>#REF!</v>
      </c>
      <c r="D97" s="2100"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516" t="s">
        <v>1630</v>
      </c>
      <c r="B99" s="3517"/>
      <c r="C99" s="3517"/>
      <c r="D99" s="3518"/>
      <c r="E99" s="1389"/>
      <c r="F99" s="3525" t="s">
        <v>1631</v>
      </c>
      <c r="G99" s="3526"/>
      <c r="H99" s="3526"/>
      <c r="I99" s="3527"/>
      <c r="J99" s="2778"/>
    </row>
    <row r="100" spans="1:36" ht="15">
      <c r="A100" s="3528" t="s">
        <v>1632</v>
      </c>
      <c r="B100" s="3529"/>
      <c r="C100" s="1235">
        <f>C4</f>
        <v>0</v>
      </c>
      <c r="D100" s="2726">
        <f>D4</f>
        <v>0</v>
      </c>
      <c r="E100" s="1389"/>
      <c r="F100" s="3440" t="s">
        <v>2533</v>
      </c>
      <c r="G100" s="3441"/>
      <c r="H100" s="3440" t="s">
        <v>2534</v>
      </c>
      <c r="I100" s="3439"/>
      <c r="J100" s="2779"/>
    </row>
    <row r="101" spans="1:36" ht="13.2">
      <c r="A101" s="3508" t="s">
        <v>2566</v>
      </c>
      <c r="B101" s="2235" t="str">
        <f>IF(H19="元","总价（元）","总价（万元）")</f>
        <v>总价（万元）</v>
      </c>
      <c r="C101" s="1235" t="e">
        <f ca="1">C19</f>
        <v>#REF!</v>
      </c>
      <c r="D101" s="2726" t="e">
        <f ca="1">D19</f>
        <v>#REF!</v>
      </c>
      <c r="E101" s="1389"/>
      <c r="F101" s="3440" t="str">
        <f>项目基本情况!I1</f>
        <v>房地产</v>
      </c>
      <c r="G101" s="3441"/>
      <c r="H101" s="3438">
        <f>项目基本情况!C12</f>
        <v>829.41000000000008</v>
      </c>
      <c r="I101" s="3439"/>
      <c r="J101" s="2779"/>
    </row>
    <row r="102" spans="1:36" ht="13.2">
      <c r="A102" s="3508"/>
      <c r="B102" s="2235" t="s">
        <v>2567</v>
      </c>
      <c r="C102" s="2727" t="e">
        <f ca="1">C20</f>
        <v>#REF!</v>
      </c>
      <c r="D102" s="2728" t="e">
        <f ca="1">D20</f>
        <v>#REF!</v>
      </c>
      <c r="E102" s="1389"/>
      <c r="F102" s="3450" t="s">
        <v>2563</v>
      </c>
      <c r="G102" s="3451"/>
      <c r="H102" s="2736" t="str">
        <f>C106</f>
        <v>总价（万元）</v>
      </c>
      <c r="I102" s="2737" t="e">
        <f ca="1">H121</f>
        <v>#REF!</v>
      </c>
      <c r="J102" s="2779"/>
    </row>
    <row r="103" spans="1:36" ht="13.2">
      <c r="A103" s="3508" t="s">
        <v>2568</v>
      </c>
      <c r="B103" s="2173" t="str">
        <f>B101</f>
        <v>总价（万元）</v>
      </c>
      <c r="C103" s="2731" t="e">
        <f ca="1">H121</f>
        <v>#REF!</v>
      </c>
      <c r="D103" s="2729"/>
      <c r="E103" s="1389"/>
      <c r="F103" s="3450"/>
      <c r="G103" s="3451"/>
      <c r="H103" s="2736" t="s">
        <v>2536</v>
      </c>
      <c r="I103" s="52" t="e">
        <f ca="1">I121</f>
        <v>#REF!</v>
      </c>
      <c r="J103" s="2763"/>
    </row>
    <row r="104" spans="1:36" ht="13.8" thickBot="1">
      <c r="A104" s="3509"/>
      <c r="B104" s="2733" t="s">
        <v>2567</v>
      </c>
      <c r="C104" s="2734" t="e">
        <f ca="1">I121</f>
        <v>#REF!</v>
      </c>
      <c r="D104" s="2735"/>
      <c r="E104" s="1389"/>
      <c r="F104" s="3450"/>
      <c r="G104" s="3451"/>
      <c r="H104" s="3510"/>
      <c r="I104" s="3511"/>
      <c r="J104" s="2780"/>
    </row>
    <row r="105" spans="1:36" ht="13.8">
      <c r="A105" s="3516" t="s">
        <v>1633</v>
      </c>
      <c r="B105" s="3517"/>
      <c r="C105" s="3517"/>
      <c r="D105" s="3518"/>
      <c r="E105" s="1389"/>
      <c r="F105" s="3514" t="s">
        <v>2537</v>
      </c>
      <c r="G105" s="3515"/>
      <c r="H105" s="2738" t="str">
        <f>C108</f>
        <v>总额（万元）</v>
      </c>
      <c r="I105" s="2737">
        <f>SUMIF(I106:I108,"&lt;9E307")</f>
        <v>0</v>
      </c>
      <c r="J105" s="2779"/>
    </row>
    <row r="106" spans="1:36" ht="13.8">
      <c r="A106" s="3450" t="s">
        <v>2560</v>
      </c>
      <c r="B106" s="3451"/>
      <c r="C106" s="2736" t="str">
        <f>B101</f>
        <v>总价（万元）</v>
      </c>
      <c r="D106" s="2737" t="e">
        <f ca="1">H121</f>
        <v>#REF!</v>
      </c>
      <c r="E106" s="1389"/>
      <c r="F106" s="3452" t="s">
        <v>2538</v>
      </c>
      <c r="G106" s="3453"/>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50"/>
      <c r="B107" s="3451"/>
      <c r="C107" s="2736" t="s">
        <v>2561</v>
      </c>
      <c r="D107" s="52" t="e">
        <f ca="1">I121</f>
        <v>#REF!</v>
      </c>
      <c r="E107" s="1389"/>
      <c r="F107" s="3452" t="s">
        <v>2539</v>
      </c>
      <c r="G107" s="3453"/>
      <c r="H107" s="2738" t="str">
        <f>C110</f>
        <v>总额（万元）</v>
      </c>
      <c r="I107" s="52">
        <f>C37</f>
        <v>0</v>
      </c>
      <c r="J107" s="2763"/>
    </row>
    <row r="108" spans="1:36" ht="13.2">
      <c r="A108" s="3457" t="s">
        <v>2537</v>
      </c>
      <c r="B108" s="3458"/>
      <c r="C108" s="2738" t="str">
        <f>IF(H19="元","总额（元）","总额（万元）")</f>
        <v>总额（万元）</v>
      </c>
      <c r="D108" s="2737">
        <f>IF(D36="正常操作",I106+I107+I108,I107+I108)</f>
        <v>0</v>
      </c>
      <c r="E108" s="1389"/>
      <c r="F108" s="3452" t="s">
        <v>2564</v>
      </c>
      <c r="G108" s="3453"/>
      <c r="H108" s="2738" t="str">
        <f>C111</f>
        <v>总额（万元）</v>
      </c>
      <c r="I108" s="52">
        <f>C38</f>
        <v>0</v>
      </c>
      <c r="J108" s="2763"/>
    </row>
    <row r="109" spans="1:36" ht="13.2">
      <c r="A109" s="3452" t="s">
        <v>2538</v>
      </c>
      <c r="B109" s="3453"/>
      <c r="C109" s="2738" t="str">
        <f>C108</f>
        <v>总额（万元）</v>
      </c>
      <c r="D109" s="52">
        <f>IF(D36="同一抵押权人同一抵押物续贷",C36&amp;"（未扣减，详见特别提示）",C36)</f>
        <v>0</v>
      </c>
      <c r="E109" s="1389"/>
      <c r="F109" s="3450"/>
      <c r="G109" s="3451"/>
      <c r="H109" s="3512"/>
      <c r="I109" s="3513"/>
      <c r="J109" s="2781"/>
    </row>
    <row r="110" spans="1:36" ht="28.5" customHeight="1">
      <c r="A110" s="3452" t="s">
        <v>2562</v>
      </c>
      <c r="B110" s="3453"/>
      <c r="C110" s="2738" t="str">
        <f>C108</f>
        <v>总额（万元）</v>
      </c>
      <c r="D110" s="52">
        <f>C37</f>
        <v>0</v>
      </c>
      <c r="E110" s="1389"/>
      <c r="F110" s="3442" t="str">
        <f>IF(项目基本情况!F5="已注销","——","3.房地产抵押价值")</f>
        <v>3.房地产抵押价值</v>
      </c>
      <c r="G110" s="3443"/>
      <c r="H110" s="2724" t="str">
        <f>C112</f>
        <v>总价（万元）</v>
      </c>
      <c r="I110" s="2737" t="e">
        <f ca="1">IF(F110="——","——",I102-I105)</f>
        <v>#REF!</v>
      </c>
      <c r="J110" s="2779"/>
    </row>
    <row r="111" spans="1:36" ht="13.2">
      <c r="A111" s="3452" t="s">
        <v>2541</v>
      </c>
      <c r="B111" s="3453"/>
      <c r="C111" s="2738" t="str">
        <f>C108</f>
        <v>总额（万元）</v>
      </c>
      <c r="D111" s="52">
        <f>C38</f>
        <v>0</v>
      </c>
      <c r="E111" s="1389"/>
      <c r="F111" s="3541"/>
      <c r="G111" s="3542"/>
      <c r="H111" s="2736" t="s">
        <v>2536</v>
      </c>
      <c r="I111" s="2740" t="e">
        <f ca="1">D113</f>
        <v>#REF!</v>
      </c>
      <c r="J111" s="2782"/>
    </row>
    <row r="112" spans="1:36" ht="26.25" customHeight="1">
      <c r="A112" s="3450" t="str">
        <f>IF(项目基本情况!F5="已注销","——","3.房地产抵押价值")</f>
        <v>3.房地产抵押价值</v>
      </c>
      <c r="B112" s="3451"/>
      <c r="C112" s="2736" t="str">
        <f>B101</f>
        <v>总价（万元）</v>
      </c>
      <c r="D112" s="2737" t="e">
        <f ca="1">IF(A112="——","——",D106-D108)</f>
        <v>#REF!</v>
      </c>
      <c r="E112" s="1389"/>
      <c r="F112" s="3442" t="str">
        <f>IF(项目基本情况!F5="已注销及未注销","4.抵押担保权已注销时的房地产抵押价值",IF(项目基本情况!F5="已注销","3.抵押担保权已注销时的房地产抵押价值","——"))</f>
        <v>——</v>
      </c>
      <c r="G112" s="3443"/>
      <c r="H112" s="2724" t="str">
        <f>C114</f>
        <v>总价（万元）</v>
      </c>
      <c r="I112" s="2737" t="str">
        <f>IF(F112="——","——",I102-I107-I108)</f>
        <v>——</v>
      </c>
      <c r="J112" s="2779"/>
    </row>
    <row r="113" spans="1:16" ht="13.2">
      <c r="A113" s="3450"/>
      <c r="B113" s="3451"/>
      <c r="C113" s="2736" t="s">
        <v>2529</v>
      </c>
      <c r="D113" s="52" t="e">
        <f ca="1">ROUND(IF(D112=D106,D107,IF(H19="元",D112/项目基本情况!C12,D112*10000/项目基本情况!C12)),0)</f>
        <v>#REF!</v>
      </c>
      <c r="E113" s="1389"/>
      <c r="F113" s="3541"/>
      <c r="G113" s="3542"/>
      <c r="H113" s="2736" t="s">
        <v>2565</v>
      </c>
      <c r="I113" s="52" t="str">
        <f>D115</f>
        <v>——</v>
      </c>
      <c r="J113" s="2763"/>
    </row>
    <row r="114" spans="1:16" ht="13.2">
      <c r="A114" s="3450" t="str">
        <f>IF(项目基本情况!F5="已注销及未注销","4.抵押担保权已注销时的房地产抵押价值",IF(项目基本情况!F5="已注销","3.抵押担保权已注销时的房地产抵押价值","——"))</f>
        <v>——</v>
      </c>
      <c r="B114" s="3451"/>
      <c r="C114" s="2736" t="str">
        <f>B101</f>
        <v>总价（万元）</v>
      </c>
      <c r="D114" s="2737" t="str">
        <f>IF(A114="——","——",D106-D110-D111)</f>
        <v>——</v>
      </c>
      <c r="E114" s="1389"/>
      <c r="F114" s="3442" t="str">
        <f>IF(项目基本情况!G5="抵押净值",IF(OR(项目基本情况!F5="已注销",项目基本情况!F5="房地产抵押价值"),"4.抵押净值","5.抵押净值"),"——")</f>
        <v>——</v>
      </c>
      <c r="G114" s="3443"/>
      <c r="H114" s="2736" t="str">
        <f>C116</f>
        <v>总价（万元）</v>
      </c>
      <c r="I114" s="2737" t="str">
        <f>IF(F114="——","——",O59)</f>
        <v>——</v>
      </c>
      <c r="J114" s="2779"/>
    </row>
    <row r="115" spans="1:16" ht="13.8" thickBot="1">
      <c r="A115" s="3450"/>
      <c r="B115" s="3451"/>
      <c r="C115" s="2736" t="s">
        <v>2529</v>
      </c>
      <c r="D115" s="52" t="str">
        <f>IF(A114="——","——",ROUND(IF(D114=D106,D107,IF(H19="元",D114/项目基本情况!C12,D114*10000/项目基本情况!C12)),0))</f>
        <v>——</v>
      </c>
      <c r="E115" s="1389"/>
      <c r="F115" s="3444"/>
      <c r="G115" s="3445"/>
      <c r="H115" s="2741" t="s">
        <v>2529</v>
      </c>
      <c r="I115" s="2725" t="e">
        <f ca="1">D117</f>
        <v>#REF!</v>
      </c>
      <c r="J115" s="2763"/>
    </row>
    <row r="116" spans="1:16" ht="15.6">
      <c r="A116" s="3450" t="str">
        <f>IF(项目基本情况!G5="抵押净值",IF(OR(项目基本情况!F5="已注销",项目基本情况!F5="房地产抵押价值"),"4.抵押净值","5.抵押净值"),"——")</f>
        <v>——</v>
      </c>
      <c r="B116" s="3451"/>
      <c r="C116" s="2736" t="str">
        <f>B101</f>
        <v>总价（万元）</v>
      </c>
      <c r="D116" s="2737" t="str">
        <f>IF(A116="——","——",O59)</f>
        <v>——</v>
      </c>
      <c r="E116" s="1389"/>
      <c r="F116" s="3536"/>
      <c r="G116" s="3536"/>
      <c r="H116" s="3500"/>
      <c r="I116" s="3500"/>
      <c r="J116" s="2783"/>
      <c r="O116" s="32"/>
      <c r="P116" s="32"/>
    </row>
    <row r="117" spans="1:16" ht="13.8" thickBot="1">
      <c r="A117" s="3455"/>
      <c r="B117" s="3456"/>
      <c r="C117" s="2741" t="s">
        <v>2529</v>
      </c>
      <c r="D117" s="2725" t="e">
        <f ca="1">IF(D116=D112,D113,IF(A116="——","——",O61))</f>
        <v>#REF!</v>
      </c>
      <c r="E117" s="1389"/>
      <c r="F117" s="3434" t="str">
        <f>IF(B32="总价","（以上估价结果中单价为总价除以建筑面积得出）","（以上估价结果中总价为楼面单价乘以建筑面积得出）")</f>
        <v>（以上估价结果中总价为楼面单价乘以建筑面积得出）</v>
      </c>
      <c r="G117" s="3434"/>
      <c r="H117" s="3434"/>
      <c r="I117" s="3434"/>
      <c r="J117" s="2784"/>
      <c r="O117" s="32"/>
      <c r="P117" s="32"/>
    </row>
    <row r="118" spans="1:16" ht="14.4">
      <c r="A118" s="3501" t="s">
        <v>1634</v>
      </c>
      <c r="B118" s="3502"/>
      <c r="C118" s="3502"/>
      <c r="D118" s="3502"/>
      <c r="E118" s="3502"/>
      <c r="F118" s="3502"/>
      <c r="G118" s="3502"/>
      <c r="H118" s="3502"/>
      <c r="I118" s="3502"/>
      <c r="J118" s="2785"/>
    </row>
    <row r="119" spans="1:16" ht="13.2">
      <c r="A119" s="3435" t="s">
        <v>2547</v>
      </c>
      <c r="B119" s="3461" t="s">
        <v>2557</v>
      </c>
      <c r="C119" s="3461" t="s">
        <v>2558</v>
      </c>
      <c r="D119" s="3523" t="s">
        <v>2549</v>
      </c>
      <c r="E119" s="3524"/>
      <c r="F119" s="3436" t="s">
        <v>2559</v>
      </c>
      <c r="G119" s="3436"/>
      <c r="H119" s="3436" t="s">
        <v>2550</v>
      </c>
      <c r="I119" s="3522"/>
      <c r="J119" s="2763"/>
    </row>
    <row r="120" spans="1:16" ht="13.2">
      <c r="A120" s="3435"/>
      <c r="B120" s="3462"/>
      <c r="C120" s="3462"/>
      <c r="D120" s="2020" t="s">
        <v>2551</v>
      </c>
      <c r="E120" s="2020" t="s">
        <v>2556</v>
      </c>
      <c r="F120" s="2020" t="s">
        <v>2551</v>
      </c>
      <c r="G120" s="2020" t="s">
        <v>2552</v>
      </c>
      <c r="H120" s="2020" t="s">
        <v>2551</v>
      </c>
      <c r="I120" s="52" t="s">
        <v>2552</v>
      </c>
      <c r="J120" s="2763"/>
    </row>
    <row r="121" spans="1:16" ht="13.2">
      <c r="A121" s="2010" t="str">
        <f>项目基本情况!I1</f>
        <v>房地产</v>
      </c>
      <c r="B121" s="2020">
        <f>项目基本情况!C12</f>
        <v>829.41000000000008</v>
      </c>
      <c r="C121" s="2020">
        <f>项目基本情况!C13</f>
        <v>30.71</v>
      </c>
      <c r="D121" s="2020" t="e">
        <f ca="1">ROUND(IF(B32="总价",C34,IF('数据-取费表'!B3="万元",E121*B121/10000,E121*B121)),0)</f>
        <v>#REF!</v>
      </c>
      <c r="E121" s="2020" t="e">
        <f ca="1">ROUND(IF(B32="楼面单价",C34,IF(H19="元",D121/B121,D121*10000/B121)),0)</f>
        <v>#REF!</v>
      </c>
      <c r="F121" s="2020" t="e">
        <f ca="1">ROUND(IF(B32="总价",C35,IF('数据-取费表'!B3="万元",G121*B121/10000,G121*B121)),0)</f>
        <v>#REF!</v>
      </c>
      <c r="G121" s="2020" t="e">
        <f ca="1">ROUND(IF(B32="楼面单价",C35,IF(H19="元",F121/B121,F121*10000/B121)),0)</f>
        <v>#REF!</v>
      </c>
      <c r="H121" s="2020" t="e">
        <f ca="1">ROUND(IF(B32="总价",C32,IF('数据-取费表'!B3="万元",I121*B121/10000,I121*B121)),0)</f>
        <v>#REF!</v>
      </c>
      <c r="I121" s="52" t="e">
        <f ca="1">ROUND(IF(B32="楼面单价",C32,IF(H19="元",H121/B121,H121*10000/B121)),0)</f>
        <v>#REF!</v>
      </c>
      <c r="J121" s="2763"/>
    </row>
    <row r="122" spans="1:16" ht="13.2">
      <c r="A122" s="3435" t="s">
        <v>2553</v>
      </c>
      <c r="B122" s="3436"/>
      <c r="C122" s="3436"/>
      <c r="D122" s="3463" t="e">
        <f ca="1">IF(H19="元",NUMBERSTRING(INT(D121),2)&amp;"元整",NUMBERSTRING(INT(D121*10000),2)&amp;"元整")</f>
        <v>#REF!</v>
      </c>
      <c r="E122" s="3506"/>
      <c r="F122" s="3463" t="e">
        <f ca="1">IF(H19="元",NUMBERSTRING(INT(F121),2)&amp;"元整",NUMBERSTRING(INT(F121*10000),2)&amp;"元整")</f>
        <v>#REF!</v>
      </c>
      <c r="G122" s="3506"/>
      <c r="H122" s="3463" t="e">
        <f ca="1">IF(H19="元",NUMBERSTRING(INT(H121),2)&amp;"元整",NUMBERSTRING(INT(H121*10000),2)&amp;"元整")</f>
        <v>#REF!</v>
      </c>
      <c r="I122" s="3464"/>
      <c r="J122" s="2786"/>
    </row>
    <row r="123" spans="1:16" ht="13.2">
      <c r="A123" s="3440" t="str">
        <f>IF(项目基本情况!D5="房地产市场价值","——",MID(A108,3,LEN(A108)-2))</f>
        <v>估价师所知悉的法定优先受偿款</v>
      </c>
      <c r="B123" s="3446"/>
      <c r="C123" s="3441"/>
      <c r="D123" s="3438">
        <f>I105</f>
        <v>0</v>
      </c>
      <c r="E123" s="3446"/>
      <c r="F123" s="3446"/>
      <c r="G123" s="3446"/>
      <c r="H123" s="3446"/>
      <c r="I123" s="3439"/>
      <c r="J123" s="2779"/>
    </row>
    <row r="124" spans="1:16" ht="13.2">
      <c r="A124" s="3507" t="s">
        <v>2553</v>
      </c>
      <c r="B124" s="3475"/>
      <c r="C124" s="3476"/>
      <c r="D124" s="3447">
        <f>H109</f>
        <v>0</v>
      </c>
      <c r="E124" s="3448"/>
      <c r="F124" s="3448"/>
      <c r="G124" s="3448"/>
      <c r="H124" s="3448"/>
      <c r="I124" s="3449"/>
      <c r="J124" s="2787"/>
    </row>
    <row r="125" spans="1:16" ht="13.2">
      <c r="A125" s="3450" t="str">
        <f>IF(项目基本情况!D5="房地产市场价值","——",MID(A112,3,LEN(A112)-2))</f>
        <v>房地产抵押价值</v>
      </c>
      <c r="B125" s="3451"/>
      <c r="C125" s="3451"/>
      <c r="D125" s="3438" t="e">
        <f ca="1">I110</f>
        <v>#REF!</v>
      </c>
      <c r="E125" s="3446"/>
      <c r="F125" s="3446"/>
      <c r="G125" s="3446"/>
      <c r="H125" s="3446"/>
      <c r="I125" s="3439"/>
      <c r="J125" s="2779"/>
    </row>
    <row r="126" spans="1:16" ht="13.2">
      <c r="A126" s="3435" t="s">
        <v>2553</v>
      </c>
      <c r="B126" s="3436"/>
      <c r="C126" s="3436"/>
      <c r="D126" s="3447" t="e">
        <f ca="1">I111</f>
        <v>#REF!</v>
      </c>
      <c r="E126" s="3448"/>
      <c r="F126" s="3448"/>
      <c r="G126" s="3448"/>
      <c r="H126" s="3448"/>
      <c r="I126" s="3449"/>
      <c r="J126" s="2787"/>
    </row>
    <row r="127" spans="1:16" ht="13.8" thickBot="1">
      <c r="A127" s="3450" t="str">
        <f>IF(项目基本情况!D5="房地产市场价值","——",MID(A114,3,LEN(A114)-2))</f>
        <v/>
      </c>
      <c r="B127" s="3451"/>
      <c r="C127" s="3451"/>
      <c r="D127" s="3483" t="str">
        <f>I112</f>
        <v>——</v>
      </c>
      <c r="E127" s="3484"/>
      <c r="F127" s="3484"/>
      <c r="G127" s="3484"/>
      <c r="H127" s="3484"/>
      <c r="I127" s="3535"/>
      <c r="J127" s="2779"/>
    </row>
    <row r="128" spans="1:16" ht="14.4" thickTop="1" thickBot="1">
      <c r="A128" s="3435" t="s">
        <v>2553</v>
      </c>
      <c r="B128" s="3436"/>
      <c r="C128" s="3437"/>
      <c r="D128" s="3499" t="str">
        <f>I113</f>
        <v>——</v>
      </c>
      <c r="E128" s="3499"/>
      <c r="F128" s="3499"/>
      <c r="G128" s="3499"/>
      <c r="H128" s="3499"/>
      <c r="I128" s="3499"/>
      <c r="J128" s="2787"/>
    </row>
    <row r="129" spans="1:10" ht="14.4" thickTop="1" thickBot="1">
      <c r="A129" s="3450" t="str">
        <f>IF(项目基本情况!D5="房地产市场价值","——",MID(F114,3,LEN(F114)-2))</f>
        <v/>
      </c>
      <c r="B129" s="3451"/>
      <c r="C129" s="3438"/>
      <c r="D129" s="3454" t="str">
        <f>I114</f>
        <v>——</v>
      </c>
      <c r="E129" s="3454"/>
      <c r="F129" s="3454"/>
      <c r="G129" s="3454"/>
      <c r="H129" s="3454"/>
      <c r="I129" s="3454"/>
      <c r="J129" s="2779"/>
    </row>
    <row r="130" spans="1:10" ht="14.4" thickTop="1" thickBot="1">
      <c r="A130" s="3459" t="s">
        <v>2553</v>
      </c>
      <c r="B130" s="3460"/>
      <c r="C130" s="3460"/>
      <c r="D130" s="3465">
        <f>H116</f>
        <v>0</v>
      </c>
      <c r="E130" s="3466"/>
      <c r="F130" s="3466"/>
      <c r="G130" s="3466"/>
      <c r="H130" s="3466"/>
      <c r="I130" s="3467"/>
      <c r="J130" s="2787"/>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8" thickBot="1">
      <c r="A132" s="3433" t="str">
        <f>IF(B32="总价","（以上估价结果中楼面单价为总价除以建筑面积得出）","（以上估价结果中总价为楼面单价乘以建筑面积得出）")</f>
        <v>（以上估价结果中总价为楼面单价乘以建筑面积得出）</v>
      </c>
      <c r="B132" s="3433"/>
      <c r="C132" s="3433"/>
      <c r="D132" s="3433"/>
      <c r="E132" s="3433"/>
      <c r="F132" s="3433"/>
      <c r="G132" s="3433"/>
      <c r="H132" s="3433"/>
      <c r="I132" s="3433"/>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A3" zoomScale="80" zoomScaleNormal="100" zoomScaleSheetLayoutView="80" zoomScalePageLayoutView="80" workbookViewId="0">
      <selection activeCell="K41" sqref="K41"/>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0"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67" t="s">
        <v>1643</v>
      </c>
      <c r="B2" s="3567"/>
      <c r="C2" s="3567"/>
      <c r="D2" s="3567"/>
      <c r="E2" s="3567"/>
      <c r="F2" s="3567"/>
      <c r="G2" s="3567"/>
      <c r="H2" s="3567"/>
      <c r="I2" s="3567"/>
      <c r="J2" s="2792"/>
    </row>
    <row r="3" spans="1:15" ht="13.2">
      <c r="A3" s="3491" t="s">
        <v>1471</v>
      </c>
      <c r="B3" s="3492"/>
      <c r="C3" s="3492"/>
      <c r="D3" s="3492"/>
      <c r="E3" s="3492"/>
      <c r="F3" s="3492"/>
      <c r="G3" s="3492"/>
      <c r="H3" s="3492"/>
      <c r="I3" s="3492"/>
      <c r="J3" s="2762"/>
    </row>
    <row r="4" spans="1:15" ht="14.4">
      <c r="A4" s="2630" t="s">
        <v>1472</v>
      </c>
      <c r="B4" s="2630" t="s">
        <v>1473</v>
      </c>
      <c r="C4" s="2631" t="s">
        <v>3033</v>
      </c>
      <c r="D4" s="2631" t="s">
        <v>3034</v>
      </c>
      <c r="E4" s="3437" t="s">
        <v>1644</v>
      </c>
      <c r="F4" s="3475"/>
      <c r="G4" s="3475"/>
      <c r="H4" s="3475"/>
      <c r="I4" s="3476"/>
      <c r="J4" s="2763"/>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3.2">
      <c r="A5" s="3468" t="s">
        <v>1475</v>
      </c>
      <c r="B5" s="3468">
        <v>25</v>
      </c>
      <c r="C5" s="3477"/>
      <c r="D5" s="3490"/>
      <c r="E5" s="12" t="s">
        <v>1476</v>
      </c>
      <c r="F5" s="2017"/>
      <c r="G5" s="2017"/>
      <c r="H5" s="2017"/>
      <c r="I5" s="2012"/>
      <c r="J5" s="2763"/>
    </row>
    <row r="6" spans="1:15" ht="13.2">
      <c r="A6" s="3468"/>
      <c r="B6" s="3468"/>
      <c r="C6" s="3493"/>
      <c r="D6" s="3490"/>
      <c r="E6" s="12" t="s">
        <v>1477</v>
      </c>
      <c r="F6" s="2017"/>
      <c r="G6" s="2017"/>
      <c r="H6" s="2017"/>
      <c r="I6" s="2012"/>
      <c r="J6" s="2763"/>
    </row>
    <row r="7" spans="1:15" ht="13.2">
      <c r="A7" s="3468"/>
      <c r="B7" s="3468"/>
      <c r="C7" s="3478"/>
      <c r="D7" s="3490"/>
      <c r="E7" s="12" t="s">
        <v>1478</v>
      </c>
      <c r="F7" s="2017"/>
      <c r="G7" s="2017"/>
      <c r="H7" s="2017"/>
      <c r="I7" s="2012"/>
      <c r="J7" s="2763"/>
    </row>
    <row r="8" spans="1:15" ht="13.2">
      <c r="A8" s="3468" t="s">
        <v>1479</v>
      </c>
      <c r="B8" s="3468">
        <v>15</v>
      </c>
      <c r="C8" s="3477"/>
      <c r="D8" s="3490"/>
      <c r="E8" s="12" t="s">
        <v>1480</v>
      </c>
      <c r="F8" s="2017"/>
      <c r="G8" s="2017"/>
      <c r="H8" s="2017"/>
      <c r="I8" s="2012"/>
      <c r="J8" s="2763"/>
    </row>
    <row r="9" spans="1:15" ht="13.2">
      <c r="A9" s="3468"/>
      <c r="B9" s="3468"/>
      <c r="C9" s="3478"/>
      <c r="D9" s="3490"/>
      <c r="E9" s="12" t="s">
        <v>1481</v>
      </c>
      <c r="F9" s="2017"/>
      <c r="G9" s="2017"/>
      <c r="H9" s="2017"/>
      <c r="I9" s="2012"/>
      <c r="J9" s="2763"/>
    </row>
    <row r="10" spans="1:15" ht="13.2">
      <c r="A10" s="3468" t="s">
        <v>1482</v>
      </c>
      <c r="B10" s="3468">
        <v>15</v>
      </c>
      <c r="C10" s="3477"/>
      <c r="D10" s="3490"/>
      <c r="E10" s="12" t="s">
        <v>1483</v>
      </c>
      <c r="F10" s="2017"/>
      <c r="G10" s="2017"/>
      <c r="H10" s="2017"/>
      <c r="I10" s="2012"/>
      <c r="J10" s="2763"/>
    </row>
    <row r="11" spans="1:15" ht="13.2">
      <c r="A11" s="3468"/>
      <c r="B11" s="3468"/>
      <c r="C11" s="3478"/>
      <c r="D11" s="3490"/>
      <c r="E11" s="12" t="s">
        <v>1484</v>
      </c>
      <c r="F11" s="2017"/>
      <c r="G11" s="2017"/>
      <c r="H11" s="2017"/>
      <c r="I11" s="2012"/>
      <c r="J11" s="2763"/>
    </row>
    <row r="12" spans="1:15" ht="13.2">
      <c r="A12" s="3468" t="s">
        <v>1485</v>
      </c>
      <c r="B12" s="3468">
        <v>15</v>
      </c>
      <c r="C12" s="3477"/>
      <c r="D12" s="3490"/>
      <c r="E12" s="12" t="s">
        <v>1486</v>
      </c>
      <c r="F12" s="2017"/>
      <c r="G12" s="2017"/>
      <c r="H12" s="2017"/>
      <c r="I12" s="2012"/>
      <c r="J12" s="2763"/>
    </row>
    <row r="13" spans="1:15" ht="13.2">
      <c r="A13" s="3468"/>
      <c r="B13" s="3468"/>
      <c r="C13" s="3478"/>
      <c r="D13" s="3490"/>
      <c r="E13" s="12" t="s">
        <v>1487</v>
      </c>
      <c r="F13" s="2017"/>
      <c r="G13" s="2017"/>
      <c r="H13" s="2017"/>
      <c r="I13" s="2012"/>
      <c r="J13" s="2763"/>
    </row>
    <row r="14" spans="1:15" ht="13.2">
      <c r="A14" s="3468" t="s">
        <v>1488</v>
      </c>
      <c r="B14" s="3468">
        <v>30</v>
      </c>
      <c r="C14" s="3477">
        <v>6</v>
      </c>
      <c r="D14" s="3490">
        <f>10-C14</f>
        <v>4</v>
      </c>
      <c r="E14" s="12" t="s">
        <v>1489</v>
      </c>
      <c r="F14" s="2017"/>
      <c r="G14" s="2017"/>
      <c r="H14" s="2017"/>
      <c r="I14" s="2012"/>
      <c r="J14" s="2763"/>
    </row>
    <row r="15" spans="1:15" ht="13.2">
      <c r="A15" s="3468"/>
      <c r="B15" s="3468"/>
      <c r="C15" s="3493"/>
      <c r="D15" s="3490"/>
      <c r="E15" s="12" t="s">
        <v>1490</v>
      </c>
      <c r="F15" s="2017"/>
      <c r="G15" s="2017"/>
      <c r="H15" s="2017"/>
      <c r="I15" s="2012"/>
      <c r="J15" s="2763"/>
    </row>
    <row r="16" spans="1:15" ht="13.2">
      <c r="A16" s="3468"/>
      <c r="B16" s="3468"/>
      <c r="C16" s="3478"/>
      <c r="D16" s="3490"/>
      <c r="E16" s="12" t="s">
        <v>1491</v>
      </c>
      <c r="F16" s="2017"/>
      <c r="G16" s="2017"/>
      <c r="H16" s="2017"/>
      <c r="I16" s="2012"/>
      <c r="J16" s="2763"/>
    </row>
    <row r="17" spans="1:36" ht="14.4">
      <c r="A17" s="2632" t="s">
        <v>1492</v>
      </c>
      <c r="B17" s="2022"/>
      <c r="C17" s="2633">
        <f>SUM(C5:C16)</f>
        <v>6</v>
      </c>
      <c r="D17" s="2633">
        <f>SUM(D5:D16)</f>
        <v>4</v>
      </c>
      <c r="E17" s="2481"/>
      <c r="F17" s="2481"/>
      <c r="G17" s="2481"/>
      <c r="H17" s="2481"/>
      <c r="I17" s="2481"/>
      <c r="J17" s="2764"/>
    </row>
    <row r="18" spans="1:36" ht="32.4" customHeight="1" thickBot="1">
      <c r="A18" s="2634" t="s">
        <v>1493</v>
      </c>
      <c r="B18" s="2635"/>
      <c r="C18" s="2636">
        <f>ROUND(C17/SUM(C17:D17),2)</f>
        <v>0.6</v>
      </c>
      <c r="D18" s="2636">
        <f>1-C18</f>
        <v>0.4</v>
      </c>
      <c r="E18" s="3486" t="s">
        <v>2572</v>
      </c>
      <c r="F18" s="3487"/>
      <c r="G18" s="3487"/>
      <c r="H18" s="3487"/>
      <c r="I18" s="3487"/>
      <c r="J18" s="2764"/>
    </row>
    <row r="19" spans="1:36" ht="14.4">
      <c r="A19" s="2637" t="s">
        <v>1494</v>
      </c>
      <c r="B19" s="2638" t="s">
        <v>1495</v>
      </c>
      <c r="C19" s="2639">
        <f ca="1">SUMIF(INDIRECT("'"&amp;C4&amp;"'"&amp;"!A:A"),'结果表 (1修多)'!B19,INDIRECT("'"&amp;C4&amp;"'"&amp;"!B:B"))</f>
        <v>194</v>
      </c>
      <c r="D19" s="2640">
        <f ca="1">SUMIF(INDIRECT("'"&amp;D4&amp;"'"&amp;"!A:A"),'结果表 (1修多)'!B19,INDIRECT("'"&amp;D4&amp;"'"&amp;"!B:B"))</f>
        <v>103</v>
      </c>
      <c r="E19" s="2637" t="s">
        <v>1496</v>
      </c>
      <c r="F19" s="2638" t="s">
        <v>1495</v>
      </c>
      <c r="G19" s="2641">
        <f ca="1">ROUND(C19*$C$18+D19*$D$18,0)</f>
        <v>158</v>
      </c>
      <c r="H19" s="2642" t="str">
        <f>'数据-取费表'!B3</f>
        <v>万元</v>
      </c>
      <c r="I19" s="2481"/>
      <c r="J19" s="2764"/>
    </row>
    <row r="20" spans="1:36" ht="14.4">
      <c r="A20" s="2643"/>
      <c r="B20" s="1622" t="s">
        <v>1497</v>
      </c>
      <c r="C20" s="1847">
        <f ca="1">SUMIF(INDIRECT("'"&amp;C4&amp;"'"&amp;"!A:A"),'结果表 (1修多)'!B20,INDIRECT("'"&amp;C4&amp;"'"&amp;"!B:B"))</f>
        <v>13834</v>
      </c>
      <c r="D20" s="1850">
        <f ca="1">SUMIF(INDIRECT("'"&amp;D4&amp;"'"&amp;"!A:A"),'结果表 (1修多)'!B20,INDIRECT("'"&amp;D4&amp;"'"&amp;"!B:B"))</f>
        <v>7324</v>
      </c>
      <c r="E20" s="2643"/>
      <c r="F20" s="1622" t="s">
        <v>1497</v>
      </c>
      <c r="G20" s="2021">
        <f ca="1">ROUND(C20*$C$18+D20*$D$18,0)</f>
        <v>11230</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4"/>
      <c r="D22" s="2652">
        <f ca="1">IF(C19&lt;D19,D19/C19-1,C19/D19-1)</f>
        <v>0.88349514563106801</v>
      </c>
      <c r="E22" s="905"/>
      <c r="F22" s="905"/>
      <c r="G22" s="905"/>
      <c r="H22" s="905"/>
      <c r="I22" s="905"/>
      <c r="J22" s="2764"/>
    </row>
    <row r="23" spans="1:36" ht="13.8" thickBot="1">
      <c r="A23" s="2481"/>
      <c r="B23" s="2481"/>
      <c r="C23" s="2481"/>
      <c r="D23" s="2481"/>
      <c r="E23" s="905"/>
      <c r="F23" s="905"/>
      <c r="G23" s="905"/>
      <c r="H23" s="905"/>
      <c r="I23" s="905"/>
      <c r="J23" s="2764"/>
    </row>
    <row r="24" spans="1:36" ht="21.75" customHeight="1">
      <c r="A24" s="3479" t="s">
        <v>1500</v>
      </c>
      <c r="B24" s="2638" t="s">
        <v>1495</v>
      </c>
      <c r="C24" s="2641">
        <f>D30</f>
        <v>0</v>
      </c>
      <c r="D24" s="2593"/>
      <c r="E24" s="905"/>
      <c r="F24" s="905"/>
      <c r="G24" s="905"/>
      <c r="H24" s="905"/>
      <c r="I24" s="905"/>
      <c r="J24" s="2764"/>
    </row>
    <row r="25" spans="1:36" ht="21.75" customHeight="1">
      <c r="A25" s="3496"/>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4">
      <c r="A27" s="2658" t="s">
        <v>1645</v>
      </c>
      <c r="B27" s="2656">
        <v>0</v>
      </c>
      <c r="C27" s="2656">
        <v>0</v>
      </c>
      <c r="D27" s="2657">
        <f>ROUND(C27*B27/10000,0)</f>
        <v>0</v>
      </c>
      <c r="E27" s="905"/>
      <c r="F27" s="905"/>
      <c r="G27" s="905"/>
      <c r="H27" s="905"/>
      <c r="I27" s="905"/>
      <c r="J27" s="2764"/>
    </row>
    <row r="28" spans="1:36" ht="13.8">
      <c r="A28" s="2655"/>
      <c r="B28" s="2656"/>
      <c r="C28" s="2656"/>
      <c r="D28" s="2657">
        <f>ROUND(C28*B28/10000,0)</f>
        <v>0</v>
      </c>
      <c r="E28" s="905"/>
      <c r="F28" s="905"/>
      <c r="G28" s="905"/>
      <c r="H28" s="905"/>
      <c r="I28" s="905"/>
      <c r="J28" s="2764"/>
    </row>
    <row r="29" spans="1:36" ht="13.8">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2576</v>
      </c>
      <c r="F30" s="2481"/>
      <c r="G30" s="2481"/>
      <c r="H30" s="2481"/>
      <c r="I30" s="2481"/>
      <c r="J30" s="2764"/>
    </row>
    <row r="31" spans="1:36" s="2757" customFormat="1" ht="27.6"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5.6" thickTop="1" thickBot="1">
      <c r="A32" s="3544" t="s">
        <v>1647</v>
      </c>
      <c r="B32" s="3544"/>
      <c r="C32" s="3544"/>
      <c r="D32" s="3544"/>
      <c r="E32" s="3544"/>
      <c r="F32" s="3544"/>
      <c r="G32" s="3544"/>
      <c r="H32" s="3544"/>
      <c r="I32" s="3544"/>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3" t="s">
        <v>1648</v>
      </c>
      <c r="C33" s="2694">
        <f ca="1">典型户型修正!R27</f>
        <v>11230</v>
      </c>
      <c r="D33" s="2481" t="s">
        <v>1649</v>
      </c>
      <c r="E33" s="905"/>
      <c r="F33" s="905"/>
      <c r="G33" s="905"/>
      <c r="H33" s="905"/>
      <c r="I33" s="905"/>
      <c r="J33" s="2764"/>
    </row>
    <row r="34" spans="1:16" ht="14.4">
      <c r="A34" s="1440" t="s">
        <v>1650</v>
      </c>
      <c r="B34" s="2695" t="s">
        <v>1651</v>
      </c>
      <c r="C34" s="2696">
        <f ca="1">典型户型修正!B2</f>
        <v>567</v>
      </c>
      <c r="D34" s="2697" t="str">
        <f>IF('数据-取费表'!B3="万元","万元","元")</f>
        <v>万元</v>
      </c>
      <c r="E34" s="905"/>
      <c r="F34" s="905"/>
      <c r="G34" s="905"/>
      <c r="H34" s="905"/>
      <c r="I34" s="905"/>
      <c r="J34" s="2764"/>
    </row>
    <row r="35" spans="1:16" ht="15" thickBot="1">
      <c r="A35" s="1441"/>
      <c r="B35" s="2698" t="s">
        <v>1652</v>
      </c>
      <c r="C35" s="2647">
        <f ca="1">典型户型修正!B3</f>
        <v>6836</v>
      </c>
      <c r="D35" s="2481" t="s">
        <v>1653</v>
      </c>
      <c r="E35" s="905"/>
      <c r="F35" s="905"/>
      <c r="G35" s="905"/>
      <c r="H35" s="905"/>
      <c r="I35" s="905"/>
      <c r="J35" s="2764"/>
    </row>
    <row r="36" spans="1:16" ht="14.4">
      <c r="A36" s="1442"/>
      <c r="B36" s="1396" t="s">
        <v>1654</v>
      </c>
      <c r="C36" s="2699">
        <f>IF('数据-取费表'!B3="万元",典型户型修正!V25,典型户型修正!U25)</f>
        <v>0</v>
      </c>
      <c r="D36" s="2481" t="str">
        <f>D34</f>
        <v>万元</v>
      </c>
      <c r="E36" s="905"/>
      <c r="F36" s="905"/>
      <c r="G36" s="905"/>
      <c r="H36" s="905"/>
      <c r="I36" s="905"/>
      <c r="J36" s="2764"/>
    </row>
    <row r="37" spans="1:16" ht="15" thickBot="1">
      <c r="A37" s="1395"/>
      <c r="B37" s="1397" t="s">
        <v>1655</v>
      </c>
      <c r="C37" s="2700">
        <f>IF('数据-取费表'!B3="万元",典型户型修正!Y25,典型户型修正!X25)</f>
        <v>0</v>
      </c>
      <c r="D37" s="2481" t="str">
        <f>D34</f>
        <v>万元</v>
      </c>
      <c r="E37" s="905"/>
      <c r="F37" s="905"/>
      <c r="G37" s="905"/>
      <c r="H37" s="905"/>
      <c r="I37" s="905"/>
      <c r="J37" s="2764"/>
    </row>
    <row r="38" spans="1:16" ht="15" thickBot="1">
      <c r="A38" s="3479" t="s">
        <v>1656</v>
      </c>
      <c r="B38" s="1396" t="s">
        <v>1657</v>
      </c>
      <c r="C38" s="2674"/>
      <c r="D38" s="2675"/>
      <c r="E38" s="1608"/>
      <c r="F38" s="1608"/>
      <c r="G38" s="905"/>
      <c r="H38" s="905"/>
      <c r="I38" s="905"/>
      <c r="J38" s="2764"/>
    </row>
    <row r="39" spans="1:16" ht="15" thickBot="1">
      <c r="A39" s="3480"/>
      <c r="B39" s="2022" t="s">
        <v>1658</v>
      </c>
      <c r="C39" s="2676"/>
      <c r="D39" s="1239"/>
      <c r="E39" s="1239"/>
      <c r="F39" s="1608"/>
      <c r="G39" s="1239"/>
      <c r="H39" s="1239"/>
      <c r="I39" s="1239"/>
      <c r="J39" s="2768"/>
    </row>
    <row r="40" spans="1:16" ht="15" thickBot="1">
      <c r="A40" s="3481"/>
      <c r="B40" s="1397" t="s">
        <v>1659</v>
      </c>
      <c r="C40" s="2677"/>
      <c r="D40" s="2678" t="s">
        <v>1660</v>
      </c>
      <c r="E40" s="1239"/>
      <c r="F40" s="1608"/>
      <c r="G40" s="1239"/>
      <c r="H40" s="1239"/>
      <c r="I40" s="1239"/>
      <c r="J40" s="2768"/>
    </row>
    <row r="41" spans="1:16" ht="14.4">
      <c r="A41" s="2643" t="s">
        <v>1661</v>
      </c>
      <c r="B41" s="2679" t="s">
        <v>1662</v>
      </c>
      <c r="C41" s="2680" t="s">
        <v>1663</v>
      </c>
      <c r="D41" s="2680" t="s">
        <v>1664</v>
      </c>
      <c r="E41" s="2681" t="s">
        <v>1665</v>
      </c>
      <c r="F41" s="1608"/>
      <c r="G41" s="1239"/>
      <c r="H41" s="1239"/>
      <c r="I41" s="1239"/>
      <c r="J41" s="2768"/>
    </row>
    <row r="42" spans="1:16" ht="13.8">
      <c r="A42" s="2682" t="s">
        <v>1666</v>
      </c>
      <c r="B42" s="2683"/>
      <c r="C42" s="2684"/>
      <c r="D42" s="2684"/>
      <c r="E42" s="2685"/>
      <c r="F42" s="1608"/>
      <c r="G42" s="1239"/>
      <c r="H42" s="1239"/>
      <c r="I42" s="1239"/>
      <c r="J42" s="2768"/>
    </row>
    <row r="43" spans="1:16" ht="13.8">
      <c r="A43" s="2682" t="s">
        <v>1667</v>
      </c>
      <c r="B43" s="2683"/>
      <c r="C43" s="2684"/>
      <c r="D43" s="2684"/>
      <c r="E43" s="2685"/>
      <c r="F43" s="1608"/>
      <c r="G43" s="1239"/>
      <c r="H43" s="1239"/>
      <c r="I43" s="1239"/>
      <c r="J43" s="2768"/>
    </row>
    <row r="44" spans="1:16" ht="14.4" thickBot="1">
      <c r="A44" s="2686"/>
      <c r="B44" s="2687"/>
      <c r="C44" s="2688"/>
      <c r="D44" s="2688"/>
      <c r="E44" s="2673"/>
      <c r="F44" s="1608"/>
      <c r="G44" s="1239"/>
      <c r="H44" s="1239"/>
      <c r="I44" s="1239"/>
      <c r="J44" s="2768"/>
    </row>
    <row r="45" spans="1:16" ht="13.2">
      <c r="A45" s="1409"/>
      <c r="B45" s="1409"/>
      <c r="C45" s="1409"/>
      <c r="D45" s="1409"/>
      <c r="E45" s="1409"/>
      <c r="F45" s="1365"/>
      <c r="G45" s="1365"/>
      <c r="H45" s="1365"/>
      <c r="I45" s="2689"/>
      <c r="J45" s="2769"/>
    </row>
    <row r="46" spans="1:16" ht="17.399999999999999">
      <c r="A46" s="1399" t="s">
        <v>1668</v>
      </c>
      <c r="B46" s="1400"/>
      <c r="C46" s="1400"/>
      <c r="D46" s="2701"/>
      <c r="E46" s="2701"/>
      <c r="F46" s="2701"/>
      <c r="G46" s="2701"/>
      <c r="H46" s="2701"/>
      <c r="I46" s="2758" t="s">
        <v>2571</v>
      </c>
      <c r="J46" s="2794"/>
      <c r="K46" s="1403" t="s">
        <v>1523</v>
      </c>
      <c r="L46" s="1404"/>
      <c r="M46" s="1404"/>
      <c r="N46" s="1404"/>
      <c r="O46" s="1404"/>
      <c r="P46" s="1404"/>
    </row>
    <row r="47" spans="1:16" ht="14.25" customHeight="1" thickBot="1">
      <c r="A47" s="3483" t="s">
        <v>1669</v>
      </c>
      <c r="B47" s="3484"/>
      <c r="C47" s="3443"/>
      <c r="D47" s="246">
        <f ca="1">ROUND(I104*F47,0)</f>
        <v>567</v>
      </c>
      <c r="E47" s="1470" t="s">
        <v>1670</v>
      </c>
      <c r="F47" s="2479">
        <v>1</v>
      </c>
      <c r="G47" s="2480" t="s">
        <v>1671</v>
      </c>
      <c r="H47" s="905"/>
      <c r="I47" s="905"/>
      <c r="J47" s="2764"/>
      <c r="K47" s="3569" t="s">
        <v>1527</v>
      </c>
      <c r="L47" s="3569"/>
      <c r="M47" s="3569"/>
      <c r="N47" s="3569"/>
      <c r="O47" s="3569"/>
      <c r="P47" s="3569"/>
    </row>
    <row r="48" spans="1:16" ht="14.25" customHeight="1">
      <c r="A48" s="3472" t="s">
        <v>1528</v>
      </c>
      <c r="B48" s="3473"/>
      <c r="C48" s="3473"/>
      <c r="D48" s="3473"/>
      <c r="E48" s="3473"/>
      <c r="F48" s="3473"/>
      <c r="G48" s="3474"/>
      <c r="H48" s="2896"/>
      <c r="I48" s="905"/>
      <c r="J48" s="2764"/>
      <c r="K48" s="2431">
        <v>1</v>
      </c>
      <c r="L48" s="3564" t="s">
        <v>1529</v>
      </c>
      <c r="M48" s="3564"/>
      <c r="N48" s="3570"/>
      <c r="O48" s="3570"/>
      <c r="P48" s="3570"/>
    </row>
    <row r="49" spans="1:17" ht="12" customHeight="1">
      <c r="A49" s="38" t="s">
        <v>1530</v>
      </c>
      <c r="B49" s="39"/>
      <c r="C49" s="40"/>
      <c r="D49" s="1028" t="s">
        <v>1531</v>
      </c>
      <c r="E49" s="235" t="s">
        <v>1532</v>
      </c>
      <c r="F49" s="41" t="s">
        <v>1533</v>
      </c>
      <c r="G49" s="2482" t="s">
        <v>1534</v>
      </c>
      <c r="H49" s="2896"/>
      <c r="I49" s="905"/>
      <c r="J49" s="2764"/>
      <c r="K49" s="2431">
        <v>2</v>
      </c>
      <c r="L49" s="3564" t="s">
        <v>1535</v>
      </c>
      <c r="M49" s="3564"/>
      <c r="N49" s="3571">
        <f>'数据-取费表'!B2</f>
        <v>44776</v>
      </c>
      <c r="O49" s="3571"/>
      <c r="P49" s="3571"/>
    </row>
    <row r="50" spans="1:17" ht="26.4">
      <c r="A50" s="3482" t="s">
        <v>1536</v>
      </c>
      <c r="B50" s="3436"/>
      <c r="C50" s="3436"/>
      <c r="D50" s="12">
        <f ca="1">IF(H50="情况1",0,IF(H50="情况2",D54,IF(H50="情况3",D55,IF(H50="情况4",D56))))</f>
        <v>30</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64" t="s">
        <v>1539</v>
      </c>
      <c r="M50" s="3564"/>
      <c r="N50" s="3565">
        <f ca="1">I104</f>
        <v>567</v>
      </c>
      <c r="O50" s="3565"/>
      <c r="P50" s="3565"/>
    </row>
    <row r="51" spans="1:17" ht="25.5" customHeight="1">
      <c r="A51" s="2019" t="s">
        <v>1540</v>
      </c>
      <c r="B51" s="3475" t="s">
        <v>1541</v>
      </c>
      <c r="C51" s="3475"/>
      <c r="D51" s="2486">
        <v>0</v>
      </c>
      <c r="E51" s="261" t="s">
        <v>1542</v>
      </c>
      <c r="F51" s="2487" t="s">
        <v>48</v>
      </c>
      <c r="G51" s="3532"/>
      <c r="H51" s="2488" t="s">
        <v>2496</v>
      </c>
      <c r="I51" s="2489"/>
      <c r="J51" s="2772"/>
      <c r="K51" s="2431">
        <v>4</v>
      </c>
      <c r="L51" s="3564" t="str">
        <f>IF(项目基本情况!F5="房地产抵押价值","房地产抵押价值","抵押担保权已注销时的房地产抵押价值")</f>
        <v>抵押担保权已注销时的房地产抵押价值</v>
      </c>
      <c r="M51" s="3564"/>
      <c r="N51" s="3565" t="str">
        <f>IF(项目基本情况!F5="房地产抵押价值",I112,I114)</f>
        <v>——</v>
      </c>
      <c r="O51" s="3565"/>
      <c r="P51" s="3565"/>
    </row>
    <row r="52" spans="1:17" ht="25.5" customHeight="1">
      <c r="A52" s="2009"/>
      <c r="B52" s="3475" t="s">
        <v>1543</v>
      </c>
      <c r="C52" s="3475"/>
      <c r="D52" s="2490"/>
      <c r="E52" s="269"/>
      <c r="F52" s="2487"/>
      <c r="G52" s="3533"/>
      <c r="H52" s="2491" t="s">
        <v>2497</v>
      </c>
      <c r="I52" s="2489"/>
      <c r="J52" s="2772"/>
      <c r="K52" s="3564" t="s">
        <v>1544</v>
      </c>
      <c r="L52" s="3564"/>
      <c r="M52" s="3564"/>
      <c r="N52" s="3564"/>
      <c r="O52" s="3564"/>
      <c r="P52" s="3564"/>
    </row>
    <row r="53" spans="1:17" ht="20.399999999999999" customHeight="1">
      <c r="A53" s="2492"/>
      <c r="B53" s="3475" t="s">
        <v>1545</v>
      </c>
      <c r="C53" s="3475"/>
      <c r="D53" s="1028"/>
      <c r="E53" s="264"/>
      <c r="F53" s="2487"/>
      <c r="G53" s="3534"/>
      <c r="H53" s="2491" t="s">
        <v>2498</v>
      </c>
      <c r="I53" s="2489"/>
      <c r="J53" s="2772"/>
      <c r="K53" s="2432" t="s">
        <v>1546</v>
      </c>
      <c r="L53" s="3564" t="s">
        <v>1547</v>
      </c>
      <c r="M53" s="3564"/>
      <c r="N53" s="2432" t="s">
        <v>1548</v>
      </c>
      <c r="O53" s="2432" t="s">
        <v>1549</v>
      </c>
      <c r="P53" s="2432" t="s">
        <v>1550</v>
      </c>
    </row>
    <row r="54" spans="1:17" ht="24" customHeight="1">
      <c r="A54" s="2010" t="s">
        <v>1551</v>
      </c>
      <c r="B54" s="3475" t="s">
        <v>1552</v>
      </c>
      <c r="C54" s="3475"/>
      <c r="D54" s="1028">
        <f ca="1">ROUND(D47*'数据-取费表'!E29/(1+'数据-取费表'!F30),0)</f>
        <v>30</v>
      </c>
      <c r="E54" s="2020" t="s">
        <v>1553</v>
      </c>
      <c r="F54" s="2493">
        <f>'数据-取费表'!E29</f>
        <v>5.5000000000000007E-2</v>
      </c>
      <c r="G54" s="2494"/>
      <c r="H54" s="905"/>
      <c r="I54" s="2897"/>
      <c r="J54" s="2772"/>
      <c r="K54" s="2431">
        <v>1</v>
      </c>
      <c r="L54" s="3560" t="s">
        <v>1554</v>
      </c>
      <c r="M54" s="3560"/>
      <c r="N54" s="2433">
        <f ca="1">D50</f>
        <v>30</v>
      </c>
      <c r="O54" s="2431" t="str">
        <f>E50</f>
        <v>销售额×税（费）率</v>
      </c>
      <c r="P54" s="2434">
        <f>F50</f>
        <v>5.5000000000000007E-2</v>
      </c>
    </row>
    <row r="55" spans="1:17" ht="12" customHeight="1">
      <c r="A55" s="2010" t="s">
        <v>1555</v>
      </c>
      <c r="B55" s="3437" t="s">
        <v>2589</v>
      </c>
      <c r="C55" s="3476"/>
      <c r="D55" s="1028">
        <f ca="1">ROUND(D47*'数据-取费表'!E29/(1+'数据-取费表'!F30),0)</f>
        <v>30</v>
      </c>
      <c r="E55" s="2020" t="s">
        <v>1553</v>
      </c>
      <c r="F55" s="2493">
        <f>'数据-取费表'!E29</f>
        <v>5.5000000000000007E-2</v>
      </c>
      <c r="G55" s="2494"/>
      <c r="H55" s="905"/>
      <c r="I55" s="2897"/>
      <c r="J55" s="2772"/>
      <c r="K55" s="2431">
        <v>2</v>
      </c>
      <c r="L55" s="3560" t="s">
        <v>1556</v>
      </c>
      <c r="M55" s="3560"/>
      <c r="N55" s="2433">
        <f t="shared" ref="N55:P56" ca="1" si="1">D57</f>
        <v>0</v>
      </c>
      <c r="O55" s="2431" t="str">
        <f t="shared" si="1"/>
        <v>销售额×税（费）率</v>
      </c>
      <c r="P55" s="2434">
        <f t="shared" si="1"/>
        <v>5.0000000000000001E-4</v>
      </c>
    </row>
    <row r="56" spans="1:17" ht="12" customHeight="1">
      <c r="A56" s="2010" t="s">
        <v>1557</v>
      </c>
      <c r="B56" s="3437" t="s">
        <v>2590</v>
      </c>
      <c r="C56" s="3476"/>
      <c r="D56" s="1028">
        <f ca="1">C70</f>
        <v>30</v>
      </c>
      <c r="E56" s="264" t="s">
        <v>1558</v>
      </c>
      <c r="F56" s="2493">
        <f>'数据-取费表'!E29</f>
        <v>5.5000000000000007E-2</v>
      </c>
      <c r="G56" s="2494"/>
      <c r="H56" s="2898"/>
      <c r="I56" s="2897"/>
      <c r="J56" s="2772"/>
      <c r="K56" s="2431">
        <v>3</v>
      </c>
      <c r="L56" s="3560" t="s">
        <v>1559</v>
      </c>
      <c r="M56" s="3560"/>
      <c r="N56" s="2433">
        <f t="shared" ca="1" si="1"/>
        <v>321</v>
      </c>
      <c r="O56" s="2431" t="str">
        <f t="shared" si="1"/>
        <v>增值额×税（费）率</v>
      </c>
      <c r="P56" s="2435" t="str">
        <f t="shared" si="1"/>
        <v>——</v>
      </c>
    </row>
    <row r="57" spans="1:17" ht="24" customHeight="1">
      <c r="A57" s="3435" t="s">
        <v>1560</v>
      </c>
      <c r="B57" s="3436"/>
      <c r="C57" s="3436"/>
      <c r="D57" s="12">
        <f ca="1">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60" t="str">
        <f>IF(H61="非个人房产","——","个人所得税")</f>
        <v>个人所得税</v>
      </c>
      <c r="M57" s="3560"/>
      <c r="N57" s="2436">
        <f ca="1">D61</f>
        <v>6</v>
      </c>
      <c r="O57" s="2437" t="str">
        <f>E61</f>
        <v>销售额×税（费）率</v>
      </c>
      <c r="P57" s="2438">
        <f>F61</f>
        <v>0.01</v>
      </c>
    </row>
    <row r="58" spans="1:17" ht="25.2">
      <c r="A58" s="3435" t="s">
        <v>1563</v>
      </c>
      <c r="B58" s="3436"/>
      <c r="C58" s="3436"/>
      <c r="D58" s="12">
        <f ca="1">IF(H58="个人住宅",D59,D60)</f>
        <v>321</v>
      </c>
      <c r="E58" s="2020" t="s">
        <v>1564</v>
      </c>
      <c r="F58" s="2493" t="str">
        <f>IF(H58="正常",F60,"免征")</f>
        <v>——</v>
      </c>
      <c r="G58" s="2495" t="s">
        <v>1565</v>
      </c>
      <c r="H58" s="2496" t="s">
        <v>1562</v>
      </c>
      <c r="I58" s="2899"/>
      <c r="J58" s="2772"/>
      <c r="K58" s="2431" t="str">
        <f>IF(项目基本情况!I6="上海银行",IF(K57="",4,K57+1),"")</f>
        <v/>
      </c>
      <c r="L58" s="3562" t="str">
        <f>IF(项目基本情况!I6="上海银行","其他处置费用","")</f>
        <v/>
      </c>
      <c r="M58" s="3563"/>
      <c r="N58" s="2433" t="str">
        <f>IF(项目基本情况!I6="上海银行",N71,"")</f>
        <v/>
      </c>
      <c r="O58" s="3562" t="str">
        <f>IF(项目基本情况!I6="上海银行","包含处置中涉及的律师、诉讼、拍卖、评估等费用","")</f>
        <v/>
      </c>
      <c r="P58" s="3566"/>
    </row>
    <row r="59" spans="1:17" ht="13.2">
      <c r="A59" s="2010" t="s">
        <v>1540</v>
      </c>
      <c r="B59" s="3437" t="s">
        <v>1566</v>
      </c>
      <c r="C59" s="3476"/>
      <c r="D59" s="2486">
        <v>0</v>
      </c>
      <c r="E59" s="261" t="s">
        <v>1542</v>
      </c>
      <c r="F59" s="235"/>
      <c r="G59" s="2494"/>
      <c r="H59" s="2899"/>
      <c r="I59" s="2899"/>
      <c r="J59" s="2772"/>
      <c r="K59" s="3560">
        <f>IF(AND(K57="",K58=""),4,IF(项目基本情况!I6="上海银行",K58+1,K57+1))</f>
        <v>5</v>
      </c>
      <c r="L59" s="3560" t="s">
        <v>1567</v>
      </c>
      <c r="M59" s="2439" t="s">
        <v>1568</v>
      </c>
      <c r="N59" s="2440"/>
      <c r="O59" s="2441">
        <f ca="1">SUMIF(N54:N58,"&lt;9e307")</f>
        <v>357</v>
      </c>
      <c r="P59" s="2442"/>
      <c r="Q59" s="1234" t="e">
        <f ca="1">O59/N51</f>
        <v>#VALUE!</v>
      </c>
    </row>
    <row r="60" spans="1:17" ht="25.2">
      <c r="A60" s="2010" t="s">
        <v>1551</v>
      </c>
      <c r="B60" s="3437" t="s">
        <v>1569</v>
      </c>
      <c r="C60" s="3475"/>
      <c r="D60" s="12">
        <f ca="1">IF(H60="转让取得",C83,C99)</f>
        <v>321</v>
      </c>
      <c r="E60" s="2020" t="s">
        <v>1564</v>
      </c>
      <c r="F60" s="235" t="s">
        <v>48</v>
      </c>
      <c r="G60" s="2494"/>
      <c r="H60" s="2496" t="s">
        <v>1570</v>
      </c>
      <c r="I60" s="2899"/>
      <c r="J60" s="2772"/>
      <c r="K60" s="3560"/>
      <c r="L60" s="3560"/>
      <c r="M60" s="2439" t="s">
        <v>1571</v>
      </c>
      <c r="N60" s="2443"/>
      <c r="O60" s="2444" t="str">
        <f ca="1">IF(H19="元",NUMBERSTRING(INT(O59),2)&amp;"元整",NUMBERSTRING(INT(O59*10000),2)&amp;"元整")</f>
        <v>叁佰伍拾柒万元整</v>
      </c>
      <c r="P60" s="2445"/>
    </row>
    <row r="61" spans="1:17" ht="27" thickBot="1">
      <c r="A61" s="3459" t="s">
        <v>1572</v>
      </c>
      <c r="B61" s="3460"/>
      <c r="C61" s="3460"/>
      <c r="D61" s="69">
        <f ca="1">IF(H61="非个人房产","——",IF(H61="个人住宅（满五唯一有凭证）",0,IF(H61="个人其他（无凭证）",ROUND(D47*F61,0),ROUND(C69*F61,0))))</f>
        <v>6</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2569</v>
      </c>
      <c r="H61" s="2024" t="s">
        <v>2495</v>
      </c>
      <c r="I61" s="2800" t="s">
        <v>2581</v>
      </c>
      <c r="J61" s="2772"/>
      <c r="K61" s="3558">
        <f>K59+1</f>
        <v>6</v>
      </c>
      <c r="L61" s="3560" t="s">
        <v>1573</v>
      </c>
      <c r="M61" s="2431" t="s">
        <v>1568</v>
      </c>
      <c r="N61" s="2446"/>
      <c r="O61" s="2447" t="e">
        <f ca="1">N51-O59</f>
        <v>#VALUE!</v>
      </c>
      <c r="P61" s="2448"/>
    </row>
    <row r="62" spans="1:17" ht="12" customHeight="1">
      <c r="A62" s="1385"/>
      <c r="B62" s="2481"/>
      <c r="C62" s="2481"/>
      <c r="D62" s="2481"/>
      <c r="E62" s="1385"/>
      <c r="F62" s="2899"/>
      <c r="G62" s="2899"/>
      <c r="H62" s="2894"/>
      <c r="I62" s="905"/>
      <c r="J62" s="2772"/>
      <c r="K62" s="3559"/>
      <c r="L62" s="3560"/>
      <c r="M62" s="2439" t="s">
        <v>1571</v>
      </c>
      <c r="N62" s="2443"/>
      <c r="O62" s="2444" t="e">
        <f ca="1">IF(H19="元",NUMBERSTRING(INT(O61),2)&amp;"元整",NUMBERSTRING(INT(O61*10000),2)&amp;"元整")</f>
        <v>#VALUE!</v>
      </c>
      <c r="P62" s="2445"/>
    </row>
    <row r="63" spans="1:17" ht="13.8" thickBot="1">
      <c r="A63" s="3561" t="s">
        <v>1574</v>
      </c>
      <c r="B63" s="3561"/>
      <c r="C63" s="3561"/>
      <c r="D63" s="3561"/>
      <c r="E63" s="3561"/>
      <c r="F63" s="2899"/>
      <c r="G63" s="2899"/>
      <c r="H63" s="2894"/>
      <c r="I63" s="905"/>
      <c r="J63" s="2764"/>
      <c r="K63" s="2431">
        <f>K61+1</f>
        <v>7</v>
      </c>
      <c r="L63" s="3560" t="s">
        <v>1575</v>
      </c>
      <c r="M63" s="3560"/>
      <c r="N63" s="2449"/>
      <c r="O63" s="2450" t="e">
        <f ca="1">IF(H19="元",ROUND(O61/项目基本情况!C12,0),ROUND(O61*10000/项目基本情况!C12,0))</f>
        <v>#VALUE!</v>
      </c>
      <c r="P63" s="2451"/>
    </row>
    <row r="64" spans="1:17" ht="13.2">
      <c r="A64" s="3494" t="s">
        <v>1576</v>
      </c>
      <c r="B64" s="3495"/>
      <c r="C64" s="1535"/>
      <c r="D64" s="1535" t="s">
        <v>1577</v>
      </c>
      <c r="E64" s="45" t="s">
        <v>1578</v>
      </c>
      <c r="F64" s="2899"/>
      <c r="G64" s="2899"/>
      <c r="H64" s="2894"/>
      <c r="I64" s="905"/>
      <c r="J64" s="2764"/>
      <c r="K64" s="1236"/>
      <c r="L64" s="1236"/>
      <c r="M64" s="1236"/>
      <c r="N64" s="1236"/>
      <c r="O64" s="1236"/>
    </row>
    <row r="65" spans="1:36" ht="13.2">
      <c r="A65" s="46">
        <v>1</v>
      </c>
      <c r="B65" s="47" t="s">
        <v>1579</v>
      </c>
      <c r="C65" s="2703">
        <f ca="1">ROUND((C66+C67)/(1+'数据-取费表'!F30),0)</f>
        <v>540</v>
      </c>
      <c r="D65" s="47"/>
      <c r="E65" s="48"/>
      <c r="F65" s="2899"/>
      <c r="G65" s="2899"/>
      <c r="H65" s="2894"/>
      <c r="I65" s="905"/>
      <c r="J65" s="2764"/>
      <c r="K65" s="3568" t="s">
        <v>1580</v>
      </c>
      <c r="L65" s="1235" t="s">
        <v>1581</v>
      </c>
      <c r="M65" s="1235" t="e">
        <f>IF(N51&gt;10000,N51*0.5%,IF(AND(N51&gt;1000,N51&lt;=10000),N51*1%,IF(AND(N51&gt;100,N51&lt;=1000),N51*3%,IF(AND(N51&gt;10,N51&lt;=100),N51*5%,N51*8%))))</f>
        <v>#VALUE!</v>
      </c>
      <c r="N65" s="235" t="e">
        <f>ROUND(M65,1)</f>
        <v>#VALUE!</v>
      </c>
      <c r="O65" s="2452"/>
    </row>
    <row r="66" spans="1:36" ht="13.2">
      <c r="A66" s="49" t="s">
        <v>71</v>
      </c>
      <c r="B66" s="50" t="s">
        <v>1582</v>
      </c>
      <c r="C66" s="2704">
        <f ca="1">D47</f>
        <v>567</v>
      </c>
      <c r="D66" s="50" t="s">
        <v>41</v>
      </c>
      <c r="E66" s="52"/>
      <c r="F66" s="2899"/>
      <c r="G66" s="2899"/>
      <c r="H66" s="2894"/>
      <c r="I66" s="905"/>
      <c r="J66" s="2764"/>
      <c r="K66" s="356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3.2">
      <c r="A67" s="49" t="s">
        <v>72</v>
      </c>
      <c r="B67" s="50" t="s">
        <v>1585</v>
      </c>
      <c r="C67" s="2705"/>
      <c r="D67" s="50"/>
      <c r="E67" s="52"/>
      <c r="F67" s="2899"/>
      <c r="G67" s="2899"/>
      <c r="H67" s="2894"/>
      <c r="I67" s="905"/>
      <c r="J67" s="2764"/>
      <c r="K67" s="3568"/>
      <c r="L67" s="1235" t="s">
        <v>1586</v>
      </c>
      <c r="M67" s="1235" t="e">
        <f>IF(N51&gt;1000,N51*0.1%,IF(AND(N51&gt;500,N51&lt;=1000),N51*0.5%,IF(AND(N51&gt;50,N51&lt;=500),N51*1%,IF(AND(N51&gt;1,N51&lt;=50),N51*1.5%))))</f>
        <v>#VALUE!</v>
      </c>
      <c r="N67" s="235" t="e">
        <f t="shared" si="2"/>
        <v>#VALUE!</v>
      </c>
      <c r="O67" s="2452" t="s">
        <v>1584</v>
      </c>
    </row>
    <row r="68" spans="1:36" ht="13.2">
      <c r="A68" s="53" t="s">
        <v>47</v>
      </c>
      <c r="B68" s="54" t="s">
        <v>1587</v>
      </c>
      <c r="C68" s="2706"/>
      <c r="D68" s="54" t="s">
        <v>41</v>
      </c>
      <c r="E68" s="1244" t="s">
        <v>1588</v>
      </c>
      <c r="F68" s="2899"/>
      <c r="G68" s="2899"/>
      <c r="H68" s="2894"/>
      <c r="I68" s="905"/>
      <c r="J68" s="2764"/>
      <c r="K68" s="3568"/>
      <c r="L68" s="1235" t="s">
        <v>1589</v>
      </c>
      <c r="M68" s="1235" t="e">
        <f>N51*0.5%</f>
        <v>#VALUE!</v>
      </c>
      <c r="N68" s="235" t="e">
        <f>IF(M68&gt;0.5,0.5,ROUND(M68,0))</f>
        <v>#VALUE!</v>
      </c>
      <c r="O68" s="2452" t="s">
        <v>1590</v>
      </c>
    </row>
    <row r="69" spans="1:36" ht="13.2">
      <c r="A69" s="53" t="s">
        <v>42</v>
      </c>
      <c r="B69" s="54" t="s">
        <v>1591</v>
      </c>
      <c r="C69" s="2707">
        <f ca="1">C65-C68</f>
        <v>540</v>
      </c>
      <c r="D69" s="50" t="s">
        <v>41</v>
      </c>
      <c r="E69" s="52"/>
      <c r="F69" s="2899"/>
      <c r="G69" s="2899"/>
      <c r="H69" s="2894"/>
      <c r="I69" s="905"/>
      <c r="J69" s="2764"/>
      <c r="K69" s="356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8" thickBot="1">
      <c r="A70" s="55" t="s">
        <v>46</v>
      </c>
      <c r="B70" s="56" t="s">
        <v>1593</v>
      </c>
      <c r="C70" s="2708">
        <f ca="1">IF(C69&lt;=0,0,ROUND(C69*D70,0))</f>
        <v>30</v>
      </c>
      <c r="D70" s="2170">
        <f>'数据-取费表'!E29</f>
        <v>5.5000000000000007E-2</v>
      </c>
      <c r="E70" s="57"/>
      <c r="F70" s="2899"/>
      <c r="G70" s="2899"/>
      <c r="H70" s="2894"/>
      <c r="I70" s="905"/>
      <c r="J70" s="2764"/>
      <c r="K70" s="3568"/>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68"/>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55" t="s">
        <v>1596</v>
      </c>
      <c r="B72" s="3556"/>
      <c r="C72" s="3556"/>
      <c r="D72" s="3556"/>
      <c r="E72" s="3556"/>
      <c r="F72" s="3556"/>
      <c r="G72" s="3556"/>
      <c r="H72" s="3556"/>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94" t="s">
        <v>1576</v>
      </c>
      <c r="B73" s="3495"/>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7">
        <f ca="1">ROUND(D47/(1+'数据-取费表'!F30),0)</f>
        <v>540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7">
        <f ca="1">C76+C80</f>
        <v>3</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37" t="s">
        <v>1606</v>
      </c>
      <c r="F78" s="3475"/>
      <c r="G78" s="3475"/>
      <c r="H78" s="3489"/>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 ca="1">ROUND(D47*D80/(1+'数据-取费表'!F30),0)</f>
        <v>3</v>
      </c>
      <c r="D80" s="2716">
        <f>'数据-取费表'!E31</f>
        <v>5.000000000000001E-3</v>
      </c>
      <c r="E80" s="3469" t="s">
        <v>1611</v>
      </c>
      <c r="F80" s="3470"/>
      <c r="G80" s="3470"/>
      <c r="H80" s="3471"/>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7">
        <f ca="1">C74-C75</f>
        <v>537</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7">
        <f ca="1">IF(C81&lt;=0,0,C81/C75)</f>
        <v>179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8">
        <f ca="1">ROUND(IF(C81&lt;=0,0,IF(C82&gt;=200%,C81*60%-C75*35%,IF(C82&gt;=100%,C81*50%-C75*15%,IF(C82&gt;=50%,C81*40%-C75*5%,IF(C82&lt;50%,C81*30%,0))))),0)</f>
        <v>321</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55" t="s">
        <v>1615</v>
      </c>
      <c r="B85" s="3556"/>
      <c r="C85" s="3556"/>
      <c r="D85" s="3556"/>
      <c r="E85" s="3556"/>
      <c r="F85" s="3556"/>
      <c r="G85" s="3556"/>
      <c r="H85" s="3556"/>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94" t="s">
        <v>1576</v>
      </c>
      <c r="B86" s="3495"/>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7">
        <f ca="1">ROUND(D47/(1+'数据-取费表'!F30),0)</f>
        <v>540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7">
        <f ca="1">IF(H90="仅含出让金",C89+C92+C93+C94+C95+C96,C89+C93+C94+C95+C96)</f>
        <v>3</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0"/>
      <c r="D90" s="2716"/>
      <c r="E90" s="74" t="s">
        <v>1618</v>
      </c>
      <c r="F90" s="2014"/>
      <c r="G90" s="75" t="s">
        <v>1619</v>
      </c>
      <c r="H90" s="1416"/>
      <c r="I90" s="608"/>
      <c r="J90" s="2796"/>
      <c r="K90" s="2891" t="s">
        <v>2573</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0"/>
      <c r="D92" s="2716"/>
      <c r="E92" s="74" t="str">
        <f>IF(H90="-","土地取得成本中已包含该笔费用"," ")</f>
        <v xml:space="preserve"> </v>
      </c>
      <c r="F92" s="2014"/>
      <c r="G92" s="3530" t="s">
        <v>2490</v>
      </c>
      <c r="H92" s="3557"/>
      <c r="I92" s="608"/>
      <c r="J92" s="2796"/>
      <c r="K92" s="2891" t="s">
        <v>2574</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69" t="s">
        <v>1623</v>
      </c>
      <c r="F93" s="3470"/>
      <c r="G93" s="3470"/>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69" t="s">
        <v>1626</v>
      </c>
      <c r="F94" s="3470"/>
      <c r="G94" s="3470"/>
      <c r="H94" s="3471"/>
      <c r="I94" s="608"/>
      <c r="J94" s="2796"/>
      <c r="K94" s="2892" t="s">
        <v>2575</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 ca="1">ROUND(D47*D95/(1+'数据-取费表'!F30),0)</f>
        <v>3</v>
      </c>
      <c r="D95" s="2716">
        <f>'数据-取费表'!E31</f>
        <v>5.000000000000001E-3</v>
      </c>
      <c r="E95" s="3469" t="s">
        <v>1611</v>
      </c>
      <c r="F95" s="3470"/>
      <c r="G95" s="3470"/>
      <c r="H95" s="3471"/>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69" t="s">
        <v>1628</v>
      </c>
      <c r="F96" s="3470"/>
      <c r="G96" s="3470"/>
      <c r="H96" s="3471"/>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7">
        <f ca="1">ROUND(C87-C88,0)</f>
        <v>537</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7">
        <f ca="1">IF(C97&lt;=0,0,C97/C88)</f>
        <v>179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 ca="1">ROUND(IF(C97&lt;=0,0,IF(C98&gt;=200%,C97*60%-C88*35%,IF(C98&gt;=100%,C97*50%-C88*15%,IF(C98&gt;=50%,C97*40%-C88*5%,IF(C98&lt;50%,C97*30%,0))))),0)</f>
        <v>321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516" t="s">
        <v>1630</v>
      </c>
      <c r="B101" s="3517"/>
      <c r="C101" s="3517"/>
      <c r="D101" s="3518"/>
      <c r="E101" s="1389"/>
      <c r="F101" s="3552" t="s">
        <v>2532</v>
      </c>
      <c r="G101" s="3553"/>
      <c r="H101" s="3553"/>
      <c r="I101" s="3554"/>
      <c r="J101" s="2799"/>
    </row>
    <row r="102" spans="1:36" ht="15">
      <c r="A102" s="3528" t="s">
        <v>1632</v>
      </c>
      <c r="B102" s="3529"/>
      <c r="C102" s="2722" t="str">
        <f>C4</f>
        <v>比较法-商业</v>
      </c>
      <c r="D102" s="2723" t="str">
        <f>D4</f>
        <v>收益法</v>
      </c>
      <c r="E102" s="1389"/>
      <c r="F102" s="3440" t="s">
        <v>2533</v>
      </c>
      <c r="G102" s="3441"/>
      <c r="H102" s="3446" t="s">
        <v>2534</v>
      </c>
      <c r="I102" s="3439"/>
      <c r="J102" s="2779"/>
    </row>
    <row r="103" spans="1:36" ht="13.2">
      <c r="A103" s="3549" t="s">
        <v>2528</v>
      </c>
      <c r="B103" s="2235" t="str">
        <f>IF(H19="元","总价（元）","总价（万元）")</f>
        <v>总价（万元）</v>
      </c>
      <c r="C103" s="1235">
        <f ca="1">C19</f>
        <v>194</v>
      </c>
      <c r="D103" s="2726">
        <f ca="1">D19</f>
        <v>103</v>
      </c>
      <c r="E103" s="1389"/>
      <c r="F103" s="3550"/>
      <c r="G103" s="3551"/>
      <c r="H103" s="3438">
        <f>典型户型修正!B25</f>
        <v>829.41000000000008</v>
      </c>
      <c r="I103" s="3439"/>
      <c r="J103" s="2779"/>
    </row>
    <row r="104" spans="1:36" ht="13.2">
      <c r="A104" s="3549"/>
      <c r="B104" s="2235" t="s">
        <v>2529</v>
      </c>
      <c r="C104" s="2727">
        <f ca="1">C20</f>
        <v>13834</v>
      </c>
      <c r="D104" s="2728">
        <f ca="1">D20</f>
        <v>7324</v>
      </c>
      <c r="E104" s="1389"/>
      <c r="F104" s="3450" t="s">
        <v>2535</v>
      </c>
      <c r="G104" s="3451"/>
      <c r="H104" s="2736" t="str">
        <f>C110</f>
        <v>总价（万元）</v>
      </c>
      <c r="I104" s="2737">
        <f ca="1">H125</f>
        <v>567</v>
      </c>
      <c r="J104" s="2779"/>
    </row>
    <row r="105" spans="1:36" ht="13.2">
      <c r="A105" s="3549" t="s">
        <v>2530</v>
      </c>
      <c r="B105" s="2173" t="str">
        <f>B103</f>
        <v>总价（万元）</v>
      </c>
      <c r="C105" s="12">
        <f ca="1">ROUND(IF('数据-取费表'!B4="总价",G19,IF(H19="元",G20*'数据-取费表'!E5,G20*'数据-取费表'!E5/10000)),0)</f>
        <v>157</v>
      </c>
      <c r="D105" s="2729"/>
      <c r="E105" s="1389"/>
      <c r="F105" s="3450"/>
      <c r="G105" s="3451"/>
      <c r="H105" s="2736" t="s">
        <v>2536</v>
      </c>
      <c r="I105" s="52">
        <f ca="1">I125</f>
        <v>6836</v>
      </c>
      <c r="J105" s="2763"/>
    </row>
    <row r="106" spans="1:36" ht="13.2">
      <c r="A106" s="3549"/>
      <c r="B106" s="2235" t="s">
        <v>2529</v>
      </c>
      <c r="C106" s="1409">
        <f ca="1">ROUND(IF('数据-取费表'!B4="楼面单价",G20,IF(H19="元",G19/'数据-取费表'!E5,G19*10000/'数据-取费表'!E5)),0)</f>
        <v>11230</v>
      </c>
      <c r="D106" s="2729"/>
      <c r="E106" s="1389"/>
      <c r="F106" s="3450"/>
      <c r="G106" s="3451"/>
      <c r="H106" s="3510"/>
      <c r="I106" s="3511"/>
      <c r="J106" s="2780"/>
    </row>
    <row r="107" spans="1:36" ht="13.2">
      <c r="A107" s="3543" t="s">
        <v>2531</v>
      </c>
      <c r="B107" s="2730" t="str">
        <f>B103</f>
        <v>总价（万元）</v>
      </c>
      <c r="C107" s="2731">
        <f ca="1">H125</f>
        <v>567</v>
      </c>
      <c r="D107" s="2732"/>
      <c r="E107" s="1389"/>
      <c r="F107" s="3514" t="s">
        <v>2537</v>
      </c>
      <c r="G107" s="3515"/>
      <c r="H107" s="2738" t="str">
        <f>C112</f>
        <v>总额（万元）</v>
      </c>
      <c r="I107" s="2737">
        <f>SUMIF(I108:I110,"&lt;9E307")</f>
        <v>0</v>
      </c>
      <c r="J107" s="2779"/>
    </row>
    <row r="108" spans="1:36" ht="14.4" thickBot="1">
      <c r="A108" s="3509"/>
      <c r="B108" s="2733" t="s">
        <v>2529</v>
      </c>
      <c r="C108" s="2734">
        <f ca="1">I125</f>
        <v>6836</v>
      </c>
      <c r="D108" s="2735"/>
      <c r="E108" s="1389"/>
      <c r="F108" s="3452" t="s">
        <v>2538</v>
      </c>
      <c r="G108" s="3453"/>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本次评估不存在房地产。</v>
      </c>
      <c r="M108" s="1389"/>
      <c r="N108" s="1389"/>
      <c r="O108" s="1389"/>
      <c r="P108" s="1389"/>
      <c r="Q108" s="1389"/>
    </row>
    <row r="109" spans="1:36" ht="13.8">
      <c r="A109" s="3546" t="s">
        <v>1633</v>
      </c>
      <c r="B109" s="3547"/>
      <c r="C109" s="3547"/>
      <c r="D109" s="3548"/>
      <c r="E109" s="1389"/>
      <c r="F109" s="3452" t="s">
        <v>2539</v>
      </c>
      <c r="G109" s="3453"/>
      <c r="H109" s="2738" t="str">
        <f>C114</f>
        <v>总额（万元）</v>
      </c>
      <c r="I109" s="52">
        <f>C39</f>
        <v>0</v>
      </c>
      <c r="J109" s="2763"/>
    </row>
    <row r="110" spans="1:36" ht="13.2">
      <c r="A110" s="3450" t="s">
        <v>2542</v>
      </c>
      <c r="B110" s="3451"/>
      <c r="C110" s="2736" t="str">
        <f>B103</f>
        <v>总价（万元）</v>
      </c>
      <c r="D110" s="2737">
        <f ca="1">H125</f>
        <v>567</v>
      </c>
      <c r="E110" s="1389"/>
      <c r="F110" s="3452" t="s">
        <v>2540</v>
      </c>
      <c r="G110" s="3453"/>
      <c r="H110" s="2738" t="str">
        <f>C115</f>
        <v>总额（万元）</v>
      </c>
      <c r="I110" s="52">
        <f>C40</f>
        <v>0</v>
      </c>
      <c r="J110" s="2763"/>
    </row>
    <row r="111" spans="1:36" ht="13.2">
      <c r="A111" s="3450"/>
      <c r="B111" s="3451"/>
      <c r="C111" s="2736" t="s">
        <v>2543</v>
      </c>
      <c r="D111" s="52">
        <f ca="1">I125</f>
        <v>6836</v>
      </c>
      <c r="E111" s="1389"/>
      <c r="F111" s="3450"/>
      <c r="G111" s="3451"/>
      <c r="H111" s="3512"/>
      <c r="I111" s="3513"/>
      <c r="J111" s="2781"/>
    </row>
    <row r="112" spans="1:36" ht="28.5" customHeight="1">
      <c r="A112" s="3457" t="s">
        <v>2537</v>
      </c>
      <c r="B112" s="3458"/>
      <c r="C112" s="2738" t="str">
        <f>IF(H19="元","总额（元）","总额（万元）")</f>
        <v>总额（万元）</v>
      </c>
      <c r="D112" s="2737">
        <f>IF(D38="正常操作",I108+I109+I110,I109+I110)</f>
        <v>0</v>
      </c>
      <c r="E112" s="1389"/>
      <c r="F112" s="3442" t="str">
        <f>IF(项目基本情况!F5="已注销","——","3.房地产抵押价值")</f>
        <v>3.房地产抵押价值</v>
      </c>
      <c r="G112" s="3443"/>
      <c r="H112" s="1409" t="str">
        <f>C116</f>
        <v>总价（万元）</v>
      </c>
      <c r="I112" s="2737">
        <f ca="1">IF(F112="——","——",I104-I107)</f>
        <v>567</v>
      </c>
      <c r="J112" s="2779"/>
    </row>
    <row r="113" spans="1:27" ht="13.2">
      <c r="A113" s="3452" t="s">
        <v>2544</v>
      </c>
      <c r="B113" s="3453"/>
      <c r="C113" s="2738" t="str">
        <f>C112</f>
        <v>总额（万元）</v>
      </c>
      <c r="D113" s="52">
        <f>IF(D38="同一抵押权人同一抵押物续贷",C38&amp;"（未扣减，详见特别提示）",C38)</f>
        <v>0</v>
      </c>
      <c r="E113" s="1389"/>
      <c r="F113" s="3541"/>
      <c r="G113" s="3542"/>
      <c r="H113" s="2736" t="s">
        <v>2536</v>
      </c>
      <c r="I113" s="2740">
        <f ca="1">D117</f>
        <v>6836</v>
      </c>
      <c r="J113" s="2782"/>
    </row>
    <row r="114" spans="1:27" ht="13.2">
      <c r="A114" s="3452" t="s">
        <v>2545</v>
      </c>
      <c r="B114" s="3453"/>
      <c r="C114" s="2738" t="str">
        <f>C112</f>
        <v>总额（万元）</v>
      </c>
      <c r="D114" s="52">
        <f>C39</f>
        <v>0</v>
      </c>
      <c r="E114" s="1389"/>
      <c r="F114" s="3442" t="str">
        <f>IF(项目基本情况!F5="已注销及未注销","4.抵押担保权已注销时的房地产抵押价值",IF(项目基本情况!F5="已注销","3.抵押担保权已注销时的房地产抵押价值","——"))</f>
        <v>——</v>
      </c>
      <c r="G114" s="3443"/>
      <c r="H114" s="1409" t="str">
        <f>C118</f>
        <v>总价（万元）</v>
      </c>
      <c r="I114" s="2737" t="str">
        <f>IF(F114="——","——",I104-I109-I110)</f>
        <v>——</v>
      </c>
      <c r="J114" s="2779"/>
    </row>
    <row r="115" spans="1:27" ht="13.2">
      <c r="A115" s="3452" t="s">
        <v>2546</v>
      </c>
      <c r="B115" s="3453"/>
      <c r="C115" s="2738" t="str">
        <f>C112</f>
        <v>总额（万元）</v>
      </c>
      <c r="D115" s="52">
        <f>C40</f>
        <v>0</v>
      </c>
      <c r="E115" s="1389"/>
      <c r="F115" s="3541"/>
      <c r="G115" s="3542"/>
      <c r="H115" s="2736" t="s">
        <v>2536</v>
      </c>
      <c r="I115" s="52" t="str">
        <f>D119</f>
        <v>——</v>
      </c>
      <c r="J115" s="2763"/>
    </row>
    <row r="116" spans="1:27" ht="13.2">
      <c r="A116" s="3450" t="str">
        <f>IF(项目基本情况!F5="已注销","——","3.房地产抵押价值")</f>
        <v>3.房地产抵押价值</v>
      </c>
      <c r="B116" s="3451"/>
      <c r="C116" s="2736" t="str">
        <f>B103</f>
        <v>总价（万元）</v>
      </c>
      <c r="D116" s="2737">
        <f ca="1">IF(A116="——","——",D110-D112)</f>
        <v>567</v>
      </c>
      <c r="E116" s="1389"/>
      <c r="F116" s="3442" t="str">
        <f>IF(项目基本情况!G5="抵押净值",IF(OR(项目基本情况!F5="已注销",项目基本情况!F5="房地产抵押价值"),"4.抵押净值","5.抵押净值"),"——")</f>
        <v>——</v>
      </c>
      <c r="G116" s="3443"/>
      <c r="H116" s="2736" t="str">
        <f>C120</f>
        <v>总价（万元）</v>
      </c>
      <c r="I116" s="2737" t="str">
        <f>IF(F116="——","——",O61)</f>
        <v>——</v>
      </c>
      <c r="J116" s="2779"/>
    </row>
    <row r="117" spans="1:27" ht="13.8" thickBot="1">
      <c r="A117" s="3450"/>
      <c r="B117" s="3451"/>
      <c r="C117" s="2736" t="s">
        <v>2543</v>
      </c>
      <c r="D117" s="52">
        <f ca="1">ROUND(IF(D116=D110,D111,IF(H19="元",D116/B125,D116*10000/B125)),0)</f>
        <v>6836</v>
      </c>
      <c r="E117" s="1389"/>
      <c r="F117" s="3444"/>
      <c r="G117" s="3445"/>
      <c r="H117" s="2741" t="s">
        <v>2536</v>
      </c>
      <c r="I117" s="2725" t="str">
        <f ca="1">D121</f>
        <v>——</v>
      </c>
      <c r="J117" s="2763"/>
    </row>
    <row r="118" spans="1:27" ht="15.6">
      <c r="A118" s="3450" t="str">
        <f>IF(项目基本情况!F5="已注销及未注销","4.抵押担保权已注销时的房地产抵押价值",IF(项目基本情况!F5="已注销","3.抵押担保权已注销时的房地产抵押价值","——"))</f>
        <v>——</v>
      </c>
      <c r="B118" s="3451"/>
      <c r="C118" s="2736" t="str">
        <f>B103</f>
        <v>总价（万元）</v>
      </c>
      <c r="D118" s="2737" t="str">
        <f>IF(A118="——","——",D110-D114-D115)</f>
        <v>——</v>
      </c>
      <c r="E118" s="1389"/>
      <c r="F118" s="3536"/>
      <c r="G118" s="3536"/>
      <c r="H118" s="3500"/>
      <c r="I118" s="3500"/>
      <c r="J118" s="2783"/>
      <c r="O118" s="32"/>
      <c r="P118" s="32"/>
    </row>
    <row r="119" spans="1:27" s="1236" customFormat="1" ht="13.2">
      <c r="A119" s="3450"/>
      <c r="B119" s="3451"/>
      <c r="C119" s="2736" t="s">
        <v>2543</v>
      </c>
      <c r="D119" s="52" t="str">
        <f>IF(A118="——","——",IF(H19="元",ROUND(D118/B125,0),ROUND(D118*10000/B125,0)))</f>
        <v>——</v>
      </c>
      <c r="E119" s="1389"/>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50" t="str">
        <f>IF(项目基本情况!G5="抵押净值",IF(OR(项目基本情况!F5="已注销",项目基本情况!F5="房地产抵押价值"),"4.抵押净值","5.抵押净值"),"——")</f>
        <v>——</v>
      </c>
      <c r="B120" s="3451"/>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455"/>
      <c r="B121" s="3456"/>
      <c r="C121" s="2741" t="s">
        <v>2543</v>
      </c>
      <c r="D121" s="2725" t="str">
        <f ca="1">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4.4">
      <c r="A122" s="3501" t="s">
        <v>1672</v>
      </c>
      <c r="B122" s="3502"/>
      <c r="C122" s="3502"/>
      <c r="D122" s="3502"/>
      <c r="E122" s="3502"/>
      <c r="F122" s="3502"/>
      <c r="G122" s="3502"/>
      <c r="H122" s="3502"/>
      <c r="I122" s="3502"/>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35" t="s">
        <v>2547</v>
      </c>
      <c r="B123" s="3461" t="s">
        <v>2548</v>
      </c>
      <c r="C123" s="3461" t="s">
        <v>2554</v>
      </c>
      <c r="D123" s="3523" t="s">
        <v>2549</v>
      </c>
      <c r="E123" s="3524"/>
      <c r="F123" s="3436" t="s">
        <v>2555</v>
      </c>
      <c r="G123" s="3436"/>
      <c r="H123" s="3436" t="s">
        <v>2550</v>
      </c>
      <c r="I123" s="3522"/>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35"/>
      <c r="B124" s="3462"/>
      <c r="C124" s="3462"/>
      <c r="D124" s="2020" t="s">
        <v>2551</v>
      </c>
      <c r="E124" s="2020" t="s">
        <v>2556</v>
      </c>
      <c r="F124" s="2020" t="s">
        <v>2551</v>
      </c>
      <c r="G124" s="2020" t="s">
        <v>2552</v>
      </c>
      <c r="H124" s="2020" t="s">
        <v>2551</v>
      </c>
      <c r="I124" s="52" t="s">
        <v>2552</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房地产</v>
      </c>
      <c r="B125" s="2020">
        <f>典型户型修正!B25</f>
        <v>829.41000000000008</v>
      </c>
      <c r="C125" s="1384"/>
      <c r="D125" s="2020">
        <f>C36</f>
        <v>0</v>
      </c>
      <c r="E125" s="2020">
        <f>ROUND(IF(H19="元",D125/B125,D125*10000/B125),0)</f>
        <v>0</v>
      </c>
      <c r="F125" s="2020">
        <f>C37</f>
        <v>0</v>
      </c>
      <c r="G125" s="2020">
        <f>ROUND(IF(H19="元",F125/B125,F125*10000/B125),0)</f>
        <v>0</v>
      </c>
      <c r="H125" s="2020">
        <f ca="1">C34</f>
        <v>567</v>
      </c>
      <c r="I125" s="52">
        <f ca="1">C35</f>
        <v>6836</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35" t="s">
        <v>2553</v>
      </c>
      <c r="B126" s="3436"/>
      <c r="C126" s="3436"/>
      <c r="D126" s="3463" t="str">
        <f>IF(H19="元",NUMBERSTRING(INT(D125),2)&amp;"元整",NUMBERSTRING(INT(D125*10000),2)&amp;"元整")</f>
        <v>零元整</v>
      </c>
      <c r="E126" s="3506"/>
      <c r="F126" s="3463" t="str">
        <f>IF(H19="元",NUMBERSTRING(INT(F125),2)&amp;"元整",NUMBERSTRING(INT(F125*10000),2)&amp;"元整")</f>
        <v>零元整</v>
      </c>
      <c r="G126" s="3506"/>
      <c r="H126" s="3463" t="str">
        <f ca="1">IF(H19="元",NUMBERSTRING(INT(H125),2)&amp;"元整",NUMBERSTRING(INT(H125*10000),2)&amp;"元整")</f>
        <v>伍佰陆拾柒万元整</v>
      </c>
      <c r="I126" s="3464"/>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40" t="str">
        <f>IF(项目基本情况!D5="房地产市场价值","——",MID(A112,3,LEN(A112)-2))</f>
        <v>估价师所知悉的法定优先受偿款</v>
      </c>
      <c r="B127" s="3446"/>
      <c r="C127" s="3441"/>
      <c r="D127" s="3438">
        <f>I107</f>
        <v>0</v>
      </c>
      <c r="E127" s="3446"/>
      <c r="F127" s="3446"/>
      <c r="G127" s="3446"/>
      <c r="H127" s="3446"/>
      <c r="I127" s="3439"/>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507" t="s">
        <v>2553</v>
      </c>
      <c r="B128" s="3475"/>
      <c r="C128" s="3476"/>
      <c r="D128" s="3447">
        <f>H111</f>
        <v>0</v>
      </c>
      <c r="E128" s="3448"/>
      <c r="F128" s="3448"/>
      <c r="G128" s="3448"/>
      <c r="H128" s="3448"/>
      <c r="I128" s="3449"/>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50" t="str">
        <f>IF(项目基本情况!D5="房地产市场价值","——",MID(A116,3,LEN(A116)-2))</f>
        <v>房地产抵押价值</v>
      </c>
      <c r="B129" s="3451"/>
      <c r="C129" s="3451"/>
      <c r="D129" s="3438">
        <f ca="1">I112</f>
        <v>567</v>
      </c>
      <c r="E129" s="3446"/>
      <c r="F129" s="3446"/>
      <c r="G129" s="3446"/>
      <c r="H129" s="3446"/>
      <c r="I129" s="3439"/>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35" t="s">
        <v>2553</v>
      </c>
      <c r="B130" s="3436"/>
      <c r="C130" s="3436"/>
      <c r="D130" s="3447">
        <f ca="1">I113</f>
        <v>6836</v>
      </c>
      <c r="E130" s="3448"/>
      <c r="F130" s="3448"/>
      <c r="G130" s="3448"/>
      <c r="H130" s="3448"/>
      <c r="I130" s="3449"/>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50" t="str">
        <f>IF(项目基本情况!D5="房地产市场价值","——",MID(A118,3,LEN(A118)-2))</f>
        <v/>
      </c>
      <c r="B131" s="3451"/>
      <c r="C131" s="3451"/>
      <c r="D131" s="3483" t="str">
        <f>I114</f>
        <v>——</v>
      </c>
      <c r="E131" s="3484"/>
      <c r="F131" s="3484"/>
      <c r="G131" s="3484"/>
      <c r="H131" s="3484"/>
      <c r="I131" s="3535"/>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35" t="s">
        <v>2553</v>
      </c>
      <c r="B132" s="3436"/>
      <c r="C132" s="3437"/>
      <c r="D132" s="3499" t="str">
        <f>I115</f>
        <v>——</v>
      </c>
      <c r="E132" s="3499"/>
      <c r="F132" s="3499"/>
      <c r="G132" s="3499"/>
      <c r="H132" s="3499"/>
      <c r="I132" s="3499"/>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50" t="str">
        <f>IF(项目基本情况!D5="房地产市场价值","——",MID(F116,3,LEN(F116)-2))</f>
        <v/>
      </c>
      <c r="B133" s="3451"/>
      <c r="C133" s="3438"/>
      <c r="D133" s="3454" t="str">
        <f>I116</f>
        <v>——</v>
      </c>
      <c r="E133" s="3454"/>
      <c r="F133" s="3454"/>
      <c r="G133" s="3454"/>
      <c r="H133" s="3454"/>
      <c r="I133" s="3454"/>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459" t="s">
        <v>2553</v>
      </c>
      <c r="B134" s="3460"/>
      <c r="C134" s="3460"/>
      <c r="D134" s="3465">
        <f>H118</f>
        <v>0</v>
      </c>
      <c r="E134" s="3466"/>
      <c r="F134" s="3466"/>
      <c r="G134" s="3466"/>
      <c r="H134" s="3466"/>
      <c r="I134" s="3467"/>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433" t="str">
        <f>IF(B33="总价","（以上估价结果中楼面单价为总价除以建筑面积得出）","（以上估价结果中总价为楼面单价乘以建筑面积得出）")</f>
        <v>（以上估价结果中总价为楼面单价乘以建筑面积得出）</v>
      </c>
      <c r="B136" s="3433"/>
      <c r="C136" s="3433"/>
      <c r="D136" s="3433"/>
      <c r="E136" s="3433"/>
      <c r="F136" s="3433"/>
      <c r="G136" s="3433"/>
      <c r="H136" s="3433"/>
      <c r="I136" s="3433"/>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70" zoomScaleNormal="70" zoomScaleSheetLayoutView="70" workbookViewId="0">
      <selection activeCell="K40" sqref="K40"/>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2001</v>
      </c>
      <c r="B1" s="1566" t="s">
        <v>2114</v>
      </c>
      <c r="C1" s="1567" t="s">
        <v>3032</v>
      </c>
      <c r="D1" s="2388"/>
      <c r="E1" s="1569" t="s">
        <v>2500</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194</v>
      </c>
      <c r="C2" s="1579" t="str">
        <f>'数据-取费表'!B3</f>
        <v>万元</v>
      </c>
      <c r="D2" s="1580" t="s">
        <v>1001</v>
      </c>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13834</v>
      </c>
      <c r="C3" s="1588" t="s">
        <v>2004</v>
      </c>
      <c r="D3" s="1588">
        <f>IF(C1="仅计算典型户型",'数据-取费表'!E5,'数据-取费表'!B5)</f>
        <v>139.96</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4.4">
      <c r="A4" s="1591" t="s">
        <v>2005</v>
      </c>
      <c r="B4" s="1592"/>
      <c r="C4" s="3598" t="s">
        <v>2006</v>
      </c>
      <c r="D4" s="3599"/>
      <c r="E4" s="3600" t="s">
        <v>2007</v>
      </c>
      <c r="F4" s="3601"/>
      <c r="G4" s="3598" t="s">
        <v>2008</v>
      </c>
      <c r="H4" s="3599"/>
      <c r="I4" s="3598" t="s">
        <v>2009</v>
      </c>
      <c r="J4" s="3599"/>
      <c r="K4" s="1894" t="s">
        <v>2010</v>
      </c>
      <c r="L4" s="2914"/>
      <c r="M4" s="2915"/>
      <c r="N4" s="2915"/>
      <c r="O4" s="2915"/>
      <c r="P4" s="3602" t="s">
        <v>2011</v>
      </c>
      <c r="Q4" s="3603"/>
      <c r="R4" s="3584" t="s">
        <v>2007</v>
      </c>
      <c r="S4" s="3585"/>
      <c r="T4" s="3584" t="s">
        <v>2008</v>
      </c>
      <c r="U4" s="3585"/>
      <c r="V4" s="3608" t="s">
        <v>2009</v>
      </c>
      <c r="W4" s="3608"/>
      <c r="X4" s="2003"/>
      <c r="Y4" s="3584" t="s">
        <v>2011</v>
      </c>
      <c r="Z4" s="3585"/>
      <c r="AA4" s="3595" t="s">
        <v>2007</v>
      </c>
      <c r="AB4" s="3608" t="s">
        <v>2008</v>
      </c>
      <c r="AC4" s="3595" t="s">
        <v>2009</v>
      </c>
    </row>
    <row r="5" spans="1:29">
      <c r="A5" s="1596"/>
      <c r="B5" s="1597"/>
      <c r="C5" s="3611" t="s">
        <v>2012</v>
      </c>
      <c r="D5" s="3612"/>
      <c r="E5" s="3609" t="s">
        <v>3062</v>
      </c>
      <c r="F5" s="3610"/>
      <c r="G5" s="3615" t="s">
        <v>3101</v>
      </c>
      <c r="H5" s="3612"/>
      <c r="I5" s="3615" t="s">
        <v>3102</v>
      </c>
      <c r="J5" s="3612"/>
      <c r="K5" s="1894"/>
      <c r="L5" s="2914"/>
      <c r="M5" s="2915"/>
      <c r="N5" s="2915"/>
      <c r="O5" s="2915"/>
      <c r="P5" s="3604"/>
      <c r="Q5" s="3605"/>
      <c r="R5" s="3586"/>
      <c r="S5" s="3587"/>
      <c r="T5" s="3586"/>
      <c r="U5" s="3587"/>
      <c r="V5" s="3608"/>
      <c r="W5" s="3608"/>
      <c r="X5" s="2003"/>
      <c r="Y5" s="3586"/>
      <c r="Z5" s="3587"/>
      <c r="AA5" s="3596"/>
      <c r="AB5" s="3608"/>
      <c r="AC5" s="3596"/>
    </row>
    <row r="6" spans="1:29" ht="15" thickBot="1">
      <c r="A6" s="1599"/>
      <c r="B6" s="1600"/>
      <c r="C6" s="3613" t="s">
        <v>2016</v>
      </c>
      <c r="D6" s="3614"/>
      <c r="E6" s="3616" t="s">
        <v>2016</v>
      </c>
      <c r="F6" s="3617"/>
      <c r="G6" s="3613" t="s">
        <v>2016</v>
      </c>
      <c r="H6" s="3614"/>
      <c r="I6" s="3613" t="s">
        <v>2016</v>
      </c>
      <c r="J6" s="3614"/>
      <c r="K6" s="1894" t="s">
        <v>2017</v>
      </c>
      <c r="L6" s="2914"/>
      <c r="M6" s="2915"/>
      <c r="N6" s="2915"/>
      <c r="O6" s="2915"/>
      <c r="P6" s="3606"/>
      <c r="Q6" s="3607"/>
      <c r="R6" s="3586"/>
      <c r="S6" s="3587"/>
      <c r="T6" s="3588"/>
      <c r="U6" s="3589"/>
      <c r="V6" s="3608"/>
      <c r="W6" s="3608"/>
      <c r="X6" s="2003"/>
      <c r="Y6" s="3588"/>
      <c r="Z6" s="3589"/>
      <c r="AA6" s="3597"/>
      <c r="AB6" s="3608"/>
      <c r="AC6" s="3597"/>
    </row>
    <row r="7" spans="1:29" s="1613" customFormat="1" ht="15" thickBot="1">
      <c r="A7" s="1601" t="s">
        <v>2018</v>
      </c>
      <c r="B7" s="1602"/>
      <c r="C7" s="1603">
        <f>'数据-取费表'!B2</f>
        <v>44776</v>
      </c>
      <c r="D7" s="1604">
        <v>100</v>
      </c>
      <c r="E7" s="1605">
        <f>C7</f>
        <v>44776</v>
      </c>
      <c r="F7" s="1606">
        <f>SUMIF(58:58,YEAR(E7)&amp;"-"&amp;MONTH(E7),59:59)</f>
        <v>100</v>
      </c>
      <c r="G7" s="1605">
        <f>C7</f>
        <v>44776</v>
      </c>
      <c r="H7" s="1604">
        <f>SUMIF(58:58,YEAR(G7)&amp;"-"&amp;MONTH(G7),59:59)</f>
        <v>100</v>
      </c>
      <c r="I7" s="1605">
        <f>C7</f>
        <v>44776</v>
      </c>
      <c r="J7" s="1604">
        <f>SUMIF(58:58,YEAR(I7)&amp;"-"&amp;MONTH(I7),59:59)</f>
        <v>100</v>
      </c>
      <c r="K7" s="1896"/>
      <c r="L7" s="2914"/>
      <c r="M7" s="2887"/>
      <c r="N7" s="2887"/>
      <c r="O7" s="2887"/>
      <c r="P7" s="3582" t="s">
        <v>2019</v>
      </c>
      <c r="Q7" s="3590"/>
      <c r="R7" s="1609" t="s">
        <v>25</v>
      </c>
      <c r="S7" s="1610">
        <f t="shared" ref="S7:S15" si="0">F7</f>
        <v>100</v>
      </c>
      <c r="T7" s="1609" t="s">
        <v>25</v>
      </c>
      <c r="U7" s="1610">
        <f t="shared" ref="U7:U15" si="1">H7</f>
        <v>100</v>
      </c>
      <c r="V7" s="1609" t="s">
        <v>25</v>
      </c>
      <c r="W7" s="1610">
        <f t="shared" ref="W7:W15" si="2">J7</f>
        <v>100</v>
      </c>
      <c r="X7" s="1611"/>
      <c r="Y7" s="3582" t="s">
        <v>2019</v>
      </c>
      <c r="Z7" s="3583"/>
      <c r="AA7" s="1612">
        <f>D7/F7</f>
        <v>1</v>
      </c>
      <c r="AB7" s="1612">
        <f>D7/H7</f>
        <v>1</v>
      </c>
      <c r="AC7" s="1612">
        <f>D7/J7</f>
        <v>1</v>
      </c>
    </row>
    <row r="8" spans="1:29" s="1613" customFormat="1" ht="15" thickBot="1">
      <c r="A8" s="1601" t="s">
        <v>2020</v>
      </c>
      <c r="B8" s="1602"/>
      <c r="C8" s="1614" t="s">
        <v>2021</v>
      </c>
      <c r="D8" s="1604">
        <v>100</v>
      </c>
      <c r="E8" s="1614" t="s">
        <v>2626</v>
      </c>
      <c r="F8" s="1606">
        <f>SUMIF(61:61,E8,62:62)-SUMIF(61:61,C8,62:62)+100</f>
        <v>100</v>
      </c>
      <c r="G8" s="1614" t="s">
        <v>2626</v>
      </c>
      <c r="H8" s="1604">
        <f>SUMIF(61:61,G8,62:62)-SUMIF(61:61,C8,62:62)+100</f>
        <v>100</v>
      </c>
      <c r="I8" s="1614" t="s">
        <v>2626</v>
      </c>
      <c r="J8" s="1604">
        <f>SUMIF(61:61,I8,62:62)-SUMIF(61:61,C8,62:62)+100</f>
        <v>100</v>
      </c>
      <c r="K8" s="1896"/>
      <c r="L8" s="2914"/>
      <c r="M8" s="2887"/>
      <c r="N8" s="2887"/>
      <c r="O8" s="2887"/>
      <c r="P8" s="3582" t="s">
        <v>2022</v>
      </c>
      <c r="Q8" s="3583"/>
      <c r="R8" s="1609" t="s">
        <v>25</v>
      </c>
      <c r="S8" s="1610">
        <f t="shared" si="0"/>
        <v>100</v>
      </c>
      <c r="T8" s="1609" t="s">
        <v>25</v>
      </c>
      <c r="U8" s="1610">
        <f t="shared" si="1"/>
        <v>100</v>
      </c>
      <c r="V8" s="1609" t="s">
        <v>25</v>
      </c>
      <c r="W8" s="1610">
        <f t="shared" si="2"/>
        <v>100</v>
      </c>
      <c r="X8" s="1611"/>
      <c r="Y8" s="3582" t="s">
        <v>2022</v>
      </c>
      <c r="Z8" s="3583"/>
      <c r="AA8" s="1612">
        <f t="shared" ref="AA8:AA46" si="3">D8/F8</f>
        <v>1</v>
      </c>
      <c r="AB8" s="1612">
        <f t="shared" ref="AB8:AB46" si="4">D8/H8</f>
        <v>1</v>
      </c>
      <c r="AC8" s="1612">
        <f t="shared" ref="AC8:AC46" si="5">D8/J8</f>
        <v>1</v>
      </c>
    </row>
    <row r="9" spans="1:29" s="1613" customFormat="1" ht="14.4">
      <c r="A9" s="1995" t="s">
        <v>2023</v>
      </c>
      <c r="B9" s="1616" t="s">
        <v>2024</v>
      </c>
      <c r="C9" s="3336" t="s">
        <v>3061</v>
      </c>
      <c r="D9" s="1618">
        <v>100</v>
      </c>
      <c r="E9" s="1619" t="s">
        <v>3025</v>
      </c>
      <c r="F9" s="1620">
        <f>SUMIF(63:63,E9,64:64)-SUMIF(63:63,C9,64:64)+100</f>
        <v>100</v>
      </c>
      <c r="G9" s="1619" t="s">
        <v>3025</v>
      </c>
      <c r="H9" s="1618">
        <f>SUMIF(63:63,G9,64:64)-SUMIF(63:63,C9,64:64)+100</f>
        <v>100</v>
      </c>
      <c r="I9" s="1619" t="s">
        <v>3025</v>
      </c>
      <c r="J9" s="1618">
        <f>SUMIF(63:63,I9,64:64)-SUMIF(63:63,C9,64:64)+100</f>
        <v>100</v>
      </c>
      <c r="K9" s="1896"/>
      <c r="L9" s="2914"/>
      <c r="M9" s="2887"/>
      <c r="N9" s="2887"/>
      <c r="O9" s="2887"/>
      <c r="P9" s="3618" t="s">
        <v>2025</v>
      </c>
      <c r="Q9" s="1994" t="str">
        <f t="shared" ref="Q9:Q15" si="6">B9</f>
        <v>用途</v>
      </c>
      <c r="R9" s="1609" t="s">
        <v>25</v>
      </c>
      <c r="S9" s="1610">
        <f t="shared" si="0"/>
        <v>100</v>
      </c>
      <c r="T9" s="1609" t="s">
        <v>25</v>
      </c>
      <c r="U9" s="1610">
        <f t="shared" si="1"/>
        <v>100</v>
      </c>
      <c r="V9" s="1609" t="s">
        <v>25</v>
      </c>
      <c r="W9" s="1610">
        <f t="shared" si="2"/>
        <v>100</v>
      </c>
      <c r="X9" s="1611"/>
      <c r="Y9" s="3468" t="s">
        <v>2026</v>
      </c>
      <c r="Z9" s="1622" t="str">
        <f t="shared" ref="Z9:Z15" si="7">Q9</f>
        <v>用途</v>
      </c>
      <c r="AA9" s="1612">
        <f t="shared" si="3"/>
        <v>1</v>
      </c>
      <c r="AB9" s="1612">
        <f t="shared" si="4"/>
        <v>1</v>
      </c>
      <c r="AC9" s="1612">
        <f t="shared" si="5"/>
        <v>1</v>
      </c>
    </row>
    <row r="10" spans="1:29" s="1630" customFormat="1" ht="28.8">
      <c r="A10" s="1623"/>
      <c r="B10" s="1624" t="s">
        <v>2027</v>
      </c>
      <c r="C10" s="1625" t="s">
        <v>3063</v>
      </c>
      <c r="D10" s="1626">
        <v>100</v>
      </c>
      <c r="E10" s="1627" t="s">
        <v>3063</v>
      </c>
      <c r="F10" s="1628">
        <f>SUMIF(65:65,E10,66:66)-SUMIF(65:65,C10,66:66)+100</f>
        <v>100</v>
      </c>
      <c r="G10" s="1625" t="s">
        <v>3063</v>
      </c>
      <c r="H10" s="1626">
        <f>SUMIF(65:65,G10,66:66)-SUMIF(65:65,C10,66:66)+100</f>
        <v>100</v>
      </c>
      <c r="I10" s="1625" t="s">
        <v>3103</v>
      </c>
      <c r="J10" s="1626">
        <f>SUMIF(65:65,I10,66:66)-SUMIF(65:65,C10,66:66)+100</f>
        <v>102</v>
      </c>
      <c r="K10" s="1921">
        <v>2</v>
      </c>
      <c r="L10" s="2916"/>
      <c r="M10" s="2917"/>
      <c r="N10" s="2917"/>
      <c r="O10" s="2917"/>
      <c r="P10" s="3618"/>
      <c r="Q10" s="1994" t="str">
        <f t="shared" si="6"/>
        <v>土地使用年限（年）</v>
      </c>
      <c r="R10" s="1609" t="s">
        <v>25</v>
      </c>
      <c r="S10" s="1610">
        <f t="shared" si="0"/>
        <v>100</v>
      </c>
      <c r="T10" s="1609" t="s">
        <v>25</v>
      </c>
      <c r="U10" s="1610">
        <f t="shared" si="1"/>
        <v>100</v>
      </c>
      <c r="V10" s="1609" t="s">
        <v>25</v>
      </c>
      <c r="W10" s="1610">
        <f t="shared" si="2"/>
        <v>102</v>
      </c>
      <c r="X10" s="1611"/>
      <c r="Y10" s="3468"/>
      <c r="Z10" s="1622" t="str">
        <f t="shared" si="7"/>
        <v>土地使用年限（年）</v>
      </c>
      <c r="AA10" s="1612">
        <f t="shared" si="3"/>
        <v>1</v>
      </c>
      <c r="AB10" s="1612">
        <f t="shared" si="4"/>
        <v>1</v>
      </c>
      <c r="AC10" s="1612">
        <f t="shared" si="5"/>
        <v>0.98039215686274506</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8"/>
      <c r="M11" s="2915"/>
      <c r="N11" s="2915"/>
      <c r="O11" s="2915"/>
      <c r="P11" s="3618"/>
      <c r="Q11" s="1994" t="str">
        <f t="shared" si="6"/>
        <v>容积率</v>
      </c>
      <c r="R11" s="1609" t="s">
        <v>25</v>
      </c>
      <c r="S11" s="1610">
        <f t="shared" si="0"/>
        <v>100</v>
      </c>
      <c r="T11" s="1609" t="s">
        <v>25</v>
      </c>
      <c r="U11" s="1610">
        <f t="shared" si="1"/>
        <v>100</v>
      </c>
      <c r="V11" s="1609" t="s">
        <v>25</v>
      </c>
      <c r="W11" s="1610">
        <f t="shared" si="2"/>
        <v>100</v>
      </c>
      <c r="X11" s="1611"/>
      <c r="Y11" s="3468"/>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18"/>
      <c r="Q12" s="1994">
        <f t="shared" si="6"/>
        <v>111</v>
      </c>
      <c r="R12" s="1609" t="s">
        <v>25</v>
      </c>
      <c r="S12" s="1610">
        <f t="shared" si="0"/>
        <v>100</v>
      </c>
      <c r="T12" s="1609" t="s">
        <v>25</v>
      </c>
      <c r="U12" s="1610">
        <f t="shared" si="1"/>
        <v>100</v>
      </c>
      <c r="V12" s="1609" t="s">
        <v>25</v>
      </c>
      <c r="W12" s="1610">
        <f t="shared" si="2"/>
        <v>100</v>
      </c>
      <c r="X12" s="1611"/>
      <c r="Y12" s="346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18"/>
      <c r="Q13" s="1994">
        <f t="shared" si="6"/>
        <v>111</v>
      </c>
      <c r="R13" s="1609" t="s">
        <v>25</v>
      </c>
      <c r="S13" s="1610">
        <f t="shared" si="0"/>
        <v>100</v>
      </c>
      <c r="T13" s="1609" t="s">
        <v>25</v>
      </c>
      <c r="U13" s="1610">
        <f t="shared" si="1"/>
        <v>100</v>
      </c>
      <c r="V13" s="1609" t="s">
        <v>25</v>
      </c>
      <c r="W13" s="1610">
        <f t="shared" si="2"/>
        <v>100</v>
      </c>
      <c r="X13" s="1611"/>
      <c r="Y13" s="3468"/>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18"/>
      <c r="Q14" s="1994">
        <f t="shared" si="6"/>
        <v>111</v>
      </c>
      <c r="R14" s="1609" t="s">
        <v>25</v>
      </c>
      <c r="S14" s="1610">
        <f t="shared" si="0"/>
        <v>100</v>
      </c>
      <c r="T14" s="1609" t="s">
        <v>25</v>
      </c>
      <c r="U14" s="1610">
        <f t="shared" si="1"/>
        <v>100</v>
      </c>
      <c r="V14" s="1609" t="s">
        <v>25</v>
      </c>
      <c r="W14" s="1610">
        <f t="shared" si="2"/>
        <v>100</v>
      </c>
      <c r="X14" s="1611"/>
      <c r="Y14" s="3468"/>
      <c r="Z14" s="1622">
        <f t="shared" si="7"/>
        <v>111</v>
      </c>
      <c r="AA14" s="1612">
        <f t="shared" si="3"/>
        <v>1</v>
      </c>
      <c r="AB14" s="1612">
        <f t="shared" si="4"/>
        <v>1</v>
      </c>
      <c r="AC14" s="1612">
        <f t="shared" si="5"/>
        <v>1</v>
      </c>
    </row>
    <row r="15" spans="1:29" ht="15">
      <c r="A15" s="1646" t="s">
        <v>2029</v>
      </c>
      <c r="B15" s="1647" t="s">
        <v>2115</v>
      </c>
      <c r="C15" s="1648" t="str">
        <f>估价对象房地状况!C4</f>
        <v>较好</v>
      </c>
      <c r="D15" s="1649">
        <v>100</v>
      </c>
      <c r="E15" s="1650"/>
      <c r="F15" s="1651">
        <f>SUMIF(76:76,E16,77:77)-SUMIF(76:76,C16,77:77)+100</f>
        <v>103</v>
      </c>
      <c r="G15" s="1652"/>
      <c r="H15" s="1649">
        <f>SUMIF(76:76,G16,77:77)-SUMIF(76:76,C16,77:77)+100</f>
        <v>103</v>
      </c>
      <c r="I15" s="1650"/>
      <c r="J15" s="1649">
        <f>SUMIF(76:76,I16,77:77)-SUMIF(76:76,C16,77:77)+100</f>
        <v>97</v>
      </c>
      <c r="K15" s="2391">
        <v>3</v>
      </c>
      <c r="L15" s="2919"/>
      <c r="M15" s="2915"/>
      <c r="N15" s="2915"/>
      <c r="O15" s="2915"/>
      <c r="P15" s="3591" t="s">
        <v>2030</v>
      </c>
      <c r="Q15" s="2000" t="str">
        <f t="shared" si="6"/>
        <v>商业繁华度</v>
      </c>
      <c r="R15" s="1654" t="s">
        <v>25</v>
      </c>
      <c r="S15" s="1655">
        <f t="shared" si="0"/>
        <v>103</v>
      </c>
      <c r="T15" s="1654" t="s">
        <v>25</v>
      </c>
      <c r="U15" s="1655">
        <f t="shared" si="1"/>
        <v>103</v>
      </c>
      <c r="V15" s="1654" t="s">
        <v>25</v>
      </c>
      <c r="W15" s="1655">
        <f t="shared" si="2"/>
        <v>97</v>
      </c>
      <c r="X15" s="2003"/>
      <c r="Y15" s="3593" t="s">
        <v>2030</v>
      </c>
      <c r="Z15" s="2007" t="str">
        <f t="shared" si="7"/>
        <v>商业繁华度</v>
      </c>
      <c r="AA15" s="1998">
        <f t="shared" si="3"/>
        <v>0.970873786407767</v>
      </c>
      <c r="AB15" s="1998">
        <f t="shared" si="4"/>
        <v>0.970873786407767</v>
      </c>
      <c r="AC15" s="1998">
        <f t="shared" si="5"/>
        <v>1.0309278350515463</v>
      </c>
    </row>
    <row r="16" spans="1:29" ht="15">
      <c r="A16" s="1631"/>
      <c r="B16" s="1658"/>
      <c r="C16" s="1659" t="s">
        <v>30</v>
      </c>
      <c r="D16" s="1660"/>
      <c r="E16" s="1659" t="s">
        <v>29</v>
      </c>
      <c r="F16" s="1662"/>
      <c r="G16" s="1659" t="s">
        <v>29</v>
      </c>
      <c r="H16" s="1664"/>
      <c r="I16" s="1659" t="s">
        <v>31</v>
      </c>
      <c r="J16" s="1660"/>
      <c r="K16" s="2392"/>
      <c r="L16" s="2919"/>
      <c r="M16" s="2915"/>
      <c r="N16" s="2915"/>
      <c r="O16" s="2915"/>
      <c r="P16" s="3592"/>
      <c r="Q16" s="2000"/>
      <c r="R16" s="1654"/>
      <c r="S16" s="1655"/>
      <c r="T16" s="1654"/>
      <c r="U16" s="1655"/>
      <c r="V16" s="1654"/>
      <c r="W16" s="1655"/>
      <c r="X16" s="2003"/>
      <c r="Y16" s="3594"/>
      <c r="Z16" s="2007"/>
      <c r="AA16" s="1998">
        <v>1</v>
      </c>
      <c r="AB16" s="1998">
        <v>1</v>
      </c>
      <c r="AC16" s="1998">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2391">
        <v>2</v>
      </c>
      <c r="L17" s="2919"/>
      <c r="M17" s="2915"/>
      <c r="N17" s="2915"/>
      <c r="O17" s="2915"/>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t="s">
        <v>30</v>
      </c>
      <c r="D18" s="1664"/>
      <c r="E18" s="1674" t="s">
        <v>30</v>
      </c>
      <c r="F18" s="1669"/>
      <c r="G18" s="1675" t="s">
        <v>30</v>
      </c>
      <c r="H18" s="1660"/>
      <c r="I18" s="1674" t="s">
        <v>30</v>
      </c>
      <c r="J18" s="1660"/>
      <c r="K18" s="2392"/>
      <c r="L18" s="2919"/>
      <c r="M18" s="2915"/>
      <c r="N18" s="2915"/>
      <c r="O18" s="2915"/>
      <c r="P18" s="3592"/>
      <c r="Q18" s="2000"/>
      <c r="R18" s="1654"/>
      <c r="S18" s="1655"/>
      <c r="T18" s="1654"/>
      <c r="U18" s="1655"/>
      <c r="V18" s="1654"/>
      <c r="W18" s="1655"/>
      <c r="X18" s="2003"/>
      <c r="Y18" s="3594"/>
      <c r="Z18" s="2007"/>
      <c r="AA18" s="1998">
        <v>1</v>
      </c>
      <c r="AB18" s="1998">
        <v>1</v>
      </c>
      <c r="AC18" s="1998">
        <v>1</v>
      </c>
    </row>
    <row r="19" spans="1:29" ht="15">
      <c r="A19" s="1631"/>
      <c r="B19" s="1666" t="s">
        <v>2116</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2391">
        <v>2</v>
      </c>
      <c r="L19" s="2919"/>
      <c r="M19" s="2915"/>
      <c r="N19" s="2915"/>
      <c r="O19" s="2915"/>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t="s">
        <v>30</v>
      </c>
      <c r="D20" s="1660"/>
      <c r="E20" s="1661" t="s">
        <v>30</v>
      </c>
      <c r="F20" s="1662"/>
      <c r="G20" s="1663" t="s">
        <v>30</v>
      </c>
      <c r="H20" s="1660"/>
      <c r="I20" s="1661" t="s">
        <v>30</v>
      </c>
      <c r="J20" s="1660"/>
      <c r="K20" s="2392"/>
      <c r="L20" s="2919"/>
      <c r="M20" s="2915"/>
      <c r="N20" s="2915"/>
      <c r="O20" s="2915"/>
      <c r="P20" s="3592"/>
      <c r="Q20" s="2000"/>
      <c r="R20" s="1654"/>
      <c r="S20" s="1655"/>
      <c r="T20" s="1654"/>
      <c r="U20" s="1655"/>
      <c r="V20" s="1654"/>
      <c r="W20" s="1655"/>
      <c r="X20" s="2003"/>
      <c r="Y20" s="3594"/>
      <c r="Z20" s="2007"/>
      <c r="AA20" s="1998">
        <v>1</v>
      </c>
      <c r="AB20" s="1998">
        <v>1</v>
      </c>
      <c r="AC20" s="1998">
        <v>1</v>
      </c>
    </row>
    <row r="21" spans="1:29" ht="15">
      <c r="A21" s="1631"/>
      <c r="B21" s="1679" t="s">
        <v>2117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2391">
        <v>2</v>
      </c>
      <c r="L21" s="2919"/>
      <c r="M21" s="2915"/>
      <c r="N21" s="2915"/>
      <c r="O21" s="2915"/>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t="s">
        <v>3058</v>
      </c>
      <c r="D22" s="1660"/>
      <c r="E22" s="1659" t="s">
        <v>3058</v>
      </c>
      <c r="F22" s="1662"/>
      <c r="G22" s="1659" t="s">
        <v>3058</v>
      </c>
      <c r="H22" s="1660"/>
      <c r="I22" s="1659" t="s">
        <v>3058</v>
      </c>
      <c r="J22" s="1660"/>
      <c r="K22" s="2393"/>
      <c r="L22" s="2919"/>
      <c r="M22" s="2915"/>
      <c r="N22" s="2915"/>
      <c r="O22" s="2915"/>
      <c r="P22" s="3592"/>
      <c r="Q22" s="2000"/>
      <c r="R22" s="1654"/>
      <c r="S22" s="1655"/>
      <c r="T22" s="1654"/>
      <c r="U22" s="1655"/>
      <c r="V22" s="1654"/>
      <c r="W22" s="1655"/>
      <c r="X22" s="2003"/>
      <c r="Y22" s="3594"/>
      <c r="Z22" s="2007"/>
      <c r="AA22" s="1998">
        <v>1</v>
      </c>
      <c r="AB22" s="1998">
        <v>1</v>
      </c>
      <c r="AC22" s="1998">
        <v>1</v>
      </c>
    </row>
    <row r="23" spans="1:29" ht="15">
      <c r="A23" s="1631"/>
      <c r="B23" s="1666" t="s">
        <v>1468</v>
      </c>
      <c r="C23" s="2394"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2391">
        <v>2</v>
      </c>
      <c r="L23" s="2919"/>
      <c r="M23" s="2915"/>
      <c r="N23" s="2915"/>
      <c r="O23" s="2915"/>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t="s">
        <v>31</v>
      </c>
      <c r="D24" s="1660"/>
      <c r="E24" s="1661" t="s">
        <v>31</v>
      </c>
      <c r="F24" s="1662"/>
      <c r="G24" s="1663" t="s">
        <v>31</v>
      </c>
      <c r="H24" s="1660"/>
      <c r="I24" s="1661" t="s">
        <v>31</v>
      </c>
      <c r="J24" s="1660"/>
      <c r="K24" s="2392"/>
      <c r="L24" s="2919"/>
      <c r="M24" s="2915"/>
      <c r="N24" s="2915"/>
      <c r="O24" s="2915"/>
      <c r="P24" s="3592"/>
      <c r="Q24" s="2000"/>
      <c r="R24" s="1654"/>
      <c r="S24" s="1655"/>
      <c r="T24" s="1654"/>
      <c r="U24" s="1655"/>
      <c r="V24" s="1654"/>
      <c r="W24" s="1655"/>
      <c r="X24" s="2003"/>
      <c r="Y24" s="3594"/>
      <c r="Z24" s="2007"/>
      <c r="AA24" s="1998">
        <v>1</v>
      </c>
      <c r="AB24" s="1998">
        <v>1</v>
      </c>
      <c r="AC24" s="1998">
        <v>1</v>
      </c>
    </row>
    <row r="25" spans="1:29" ht="15">
      <c r="A25" s="1631"/>
      <c r="B25" s="1624" t="s">
        <v>2118</v>
      </c>
      <c r="C25" s="1920" t="s">
        <v>3066</v>
      </c>
      <c r="D25" s="1640">
        <v>100</v>
      </c>
      <c r="E25" s="1920" t="s">
        <v>3066</v>
      </c>
      <c r="F25" s="1683">
        <f>SUMIF(86:86,E25,87:87)-SUMIF(86:86,C25,87:87)+100</f>
        <v>100</v>
      </c>
      <c r="G25" s="1920" t="s">
        <v>3066</v>
      </c>
      <c r="H25" s="1640">
        <f>SUMIF(86:86,G25,87:87)-SUMIF(86:86,C25,87:87)+100</f>
        <v>100</v>
      </c>
      <c r="I25" s="1920" t="s">
        <v>3066</v>
      </c>
      <c r="J25" s="1640">
        <f>SUMIF(86:86,I25,87:87)-SUMIF(86:86,C25,87:87)+100</f>
        <v>100</v>
      </c>
      <c r="K25" s="1921">
        <v>2</v>
      </c>
      <c r="L25" s="2919"/>
      <c r="M25" s="2915"/>
      <c r="N25" s="2915"/>
      <c r="O25" s="2915"/>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2120</v>
      </c>
      <c r="C27" s="2395" t="s">
        <v>3070</v>
      </c>
      <c r="D27" s="1685">
        <v>100</v>
      </c>
      <c r="E27" s="2395" t="s">
        <v>3068</v>
      </c>
      <c r="F27" s="1687">
        <f>SUMIF(90:90,E27,91:91)-SUMIF(90:90,C27,91:91)+100</f>
        <v>102</v>
      </c>
      <c r="G27" s="2395" t="s">
        <v>3068</v>
      </c>
      <c r="H27" s="1685">
        <f>SUMIF(90:90,G27,91:91)-SUMIF(90:90,C27,91:91)+100</f>
        <v>102</v>
      </c>
      <c r="I27" s="2395" t="s">
        <v>31</v>
      </c>
      <c r="J27" s="1685">
        <f>SUMIF(90:90,I27,91:91)-SUMIF(90:90,C27,91:91)+100</f>
        <v>98</v>
      </c>
      <c r="K27" s="1921">
        <v>2</v>
      </c>
      <c r="L27" s="2914"/>
      <c r="M27" s="2887"/>
      <c r="N27" s="2887"/>
      <c r="O27" s="2887"/>
      <c r="P27" s="3592"/>
      <c r="Q27" s="1994" t="str">
        <f t="shared" si="11"/>
        <v>人流量</v>
      </c>
      <c r="R27" s="1609" t="s">
        <v>25</v>
      </c>
      <c r="S27" s="1610">
        <f>F27</f>
        <v>102</v>
      </c>
      <c r="T27" s="1609" t="s">
        <v>25</v>
      </c>
      <c r="U27" s="1610">
        <f>H27</f>
        <v>102</v>
      </c>
      <c r="V27" s="1609" t="s">
        <v>25</v>
      </c>
      <c r="W27" s="1610">
        <f>J27</f>
        <v>98</v>
      </c>
      <c r="X27" s="1611"/>
      <c r="Y27" s="3594"/>
      <c r="Z27" s="1622" t="str">
        <f>Q27</f>
        <v>人流量</v>
      </c>
      <c r="AA27" s="1998">
        <f>D27/F27</f>
        <v>0.98039215686274506</v>
      </c>
      <c r="AB27" s="1998">
        <f>D27/H27</f>
        <v>0.98039215686274506</v>
      </c>
      <c r="AC27" s="1998">
        <f>D27/J27</f>
        <v>1.0204081632653061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3340" t="s">
        <v>3097</v>
      </c>
      <c r="C29" s="3341" t="s">
        <v>3098</v>
      </c>
      <c r="D29" s="1640">
        <v>100</v>
      </c>
      <c r="E29" s="3341" t="s">
        <v>3100</v>
      </c>
      <c r="F29" s="1683">
        <f>SUMIF(94:94,E29,95:95)-SUMIF(94:94,C29,95:95)+100</f>
        <v>98</v>
      </c>
      <c r="G29" s="3341" t="s">
        <v>3100</v>
      </c>
      <c r="H29" s="1640">
        <f>SUMIF(94:94,G29,95:95)-SUMIF(94:94,C29,95:95)+100</f>
        <v>98</v>
      </c>
      <c r="I29" s="3341" t="s">
        <v>3099</v>
      </c>
      <c r="J29" s="1640">
        <f>SUMIF(94:94,I29,95:95)-SUMIF(94:94,C29,95:95)+100</f>
        <v>99</v>
      </c>
      <c r="K29" s="1918"/>
      <c r="L29" s="2919"/>
      <c r="M29" s="2915"/>
      <c r="N29" s="2915"/>
      <c r="O29" s="2915"/>
      <c r="P29" s="3592"/>
      <c r="Q29" s="2000" t="str">
        <f t="shared" si="11"/>
        <v>道路等级</v>
      </c>
      <c r="R29" s="1654" t="s">
        <v>25</v>
      </c>
      <c r="S29" s="1655">
        <f t="shared" si="12"/>
        <v>98</v>
      </c>
      <c r="T29" s="1654" t="s">
        <v>25</v>
      </c>
      <c r="U29" s="1655">
        <f t="shared" si="13"/>
        <v>98</v>
      </c>
      <c r="V29" s="1654" t="s">
        <v>25</v>
      </c>
      <c r="W29" s="1655">
        <f t="shared" si="14"/>
        <v>99</v>
      </c>
      <c r="X29" s="2003"/>
      <c r="Y29" s="3594"/>
      <c r="Z29" s="2007" t="str">
        <f t="shared" si="15"/>
        <v>道路等级</v>
      </c>
      <c r="AA29" s="1998">
        <f t="shared" si="3"/>
        <v>1.0204081632653061</v>
      </c>
      <c r="AB29" s="1998">
        <f t="shared" si="4"/>
        <v>1.0204081632653061</v>
      </c>
      <c r="AC29" s="1998">
        <f t="shared" si="5"/>
        <v>1.0101010101010102</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2034</v>
      </c>
      <c r="B32" s="1616" t="s">
        <v>2122</v>
      </c>
      <c r="C32" s="1690" t="s">
        <v>3080</v>
      </c>
      <c r="D32" s="1691">
        <v>100</v>
      </c>
      <c r="E32" s="1690" t="s">
        <v>3080</v>
      </c>
      <c r="F32" s="1683">
        <f>SUMIF(100:100,E32,101:101)-SUMIF(100:100,C32,101:101)+100</f>
        <v>100</v>
      </c>
      <c r="G32" s="1690" t="s">
        <v>3080</v>
      </c>
      <c r="H32" s="1640">
        <f>SUMIF(100:100,G32,101:101)-SUMIF(100:100,C32,101:101)+100</f>
        <v>100</v>
      </c>
      <c r="I32" s="1690" t="s">
        <v>3080</v>
      </c>
      <c r="J32" s="1691">
        <f>SUMIF(100:100,I32,101:101)-SUMIF(100:100,C32,101:101)+100</f>
        <v>100</v>
      </c>
      <c r="K32" s="1921">
        <v>3</v>
      </c>
      <c r="L32" s="2919"/>
      <c r="M32" s="2915"/>
      <c r="N32" s="2915"/>
      <c r="O32" s="2915"/>
      <c r="P32" s="3577" t="s">
        <v>2036</v>
      </c>
      <c r="Q32" s="2000" t="str">
        <f t="shared" si="11"/>
        <v>商业类型</v>
      </c>
      <c r="R32" s="1654" t="s">
        <v>25</v>
      </c>
      <c r="S32" s="1655">
        <f t="shared" si="12"/>
        <v>100</v>
      </c>
      <c r="T32" s="1654" t="s">
        <v>25</v>
      </c>
      <c r="U32" s="1655">
        <f t="shared" si="13"/>
        <v>100</v>
      </c>
      <c r="V32" s="1654" t="s">
        <v>25</v>
      </c>
      <c r="W32" s="1655">
        <f t="shared" si="14"/>
        <v>100</v>
      </c>
      <c r="X32" s="2003"/>
      <c r="Y32" s="3580" t="s">
        <v>2036</v>
      </c>
      <c r="Z32" s="2007" t="str">
        <f t="shared" si="15"/>
        <v>商业类型</v>
      </c>
      <c r="AA32" s="1998">
        <f t="shared" si="3"/>
        <v>1</v>
      </c>
      <c r="AB32" s="1998">
        <f t="shared" si="4"/>
        <v>1</v>
      </c>
      <c r="AC32" s="1998">
        <f t="shared" si="5"/>
        <v>1</v>
      </c>
    </row>
    <row r="33" spans="1:29" s="1700" customFormat="1" ht="15">
      <c r="A33" s="1693"/>
      <c r="B33" s="1624" t="s">
        <v>2037</v>
      </c>
      <c r="C33" s="1694">
        <f>信息!B3</f>
        <v>139.96</v>
      </c>
      <c r="D33" s="1626">
        <v>100</v>
      </c>
      <c r="E33" s="1633">
        <v>41.6</v>
      </c>
      <c r="F33" s="1628">
        <f>LOOKUP(E33,103:103,104:104)-LOOKUP(C33,103:103,104:104)+100</f>
        <v>102</v>
      </c>
      <c r="G33" s="1632">
        <v>66.12</v>
      </c>
      <c r="H33" s="1626">
        <f>LOOKUP(G33,103:103,104:104)-LOOKUP(C33,103:103,104:104)+100</f>
        <v>101</v>
      </c>
      <c r="I33" s="1632">
        <v>120</v>
      </c>
      <c r="J33" s="1626">
        <f>LOOKUP(I33,103:103,104:104)-LOOKUP(C33,103:103,104:104)+100</f>
        <v>100</v>
      </c>
      <c r="K33" s="1918"/>
      <c r="L33" s="2918"/>
      <c r="M33" s="1988"/>
      <c r="N33" s="1988"/>
      <c r="O33" s="1988"/>
      <c r="P33" s="3578"/>
      <c r="Q33" s="1695" t="str">
        <f t="shared" si="11"/>
        <v>项目建筑规模</v>
      </c>
      <c r="R33" s="1696" t="s">
        <v>25</v>
      </c>
      <c r="S33" s="1697">
        <f t="shared" si="12"/>
        <v>102</v>
      </c>
      <c r="T33" s="1696" t="s">
        <v>25</v>
      </c>
      <c r="U33" s="1697">
        <f t="shared" si="13"/>
        <v>101</v>
      </c>
      <c r="V33" s="1696" t="s">
        <v>25</v>
      </c>
      <c r="W33" s="1697">
        <f t="shared" si="14"/>
        <v>100</v>
      </c>
      <c r="X33" s="1698"/>
      <c r="Y33" s="3580"/>
      <c r="Z33" s="1699" t="str">
        <f t="shared" si="15"/>
        <v>项目建筑规模</v>
      </c>
      <c r="AA33" s="1998">
        <f t="shared" si="3"/>
        <v>0.98039215686274506</v>
      </c>
      <c r="AB33" s="1998">
        <f t="shared" si="4"/>
        <v>0.99009900990099009</v>
      </c>
      <c r="AC33" s="1998">
        <f t="shared" si="5"/>
        <v>1</v>
      </c>
    </row>
    <row r="34" spans="1:29" ht="15">
      <c r="A34" s="1701"/>
      <c r="B34" s="1624" t="s">
        <v>2038</v>
      </c>
      <c r="C34" s="1702" t="s">
        <v>3029</v>
      </c>
      <c r="D34" s="1640">
        <v>100</v>
      </c>
      <c r="E34" s="1702" t="s">
        <v>3029</v>
      </c>
      <c r="F34" s="1683">
        <f>SUMIF(105:105,E34,106:106)-SUMIF(105:105,C34,106:106)+100</f>
        <v>100</v>
      </c>
      <c r="G34" s="1702" t="s">
        <v>3029</v>
      </c>
      <c r="H34" s="1640">
        <f>SUMIF(105:105,G34,106:106)-SUMIF(105:105,C34,106:106)+100</f>
        <v>100</v>
      </c>
      <c r="I34" s="1702" t="s">
        <v>3029</v>
      </c>
      <c r="J34" s="1640">
        <f>SUMIF(105:105,I34,106:106)-SUMIF(105:105,C34,106:106)+100</f>
        <v>100</v>
      </c>
      <c r="K34" s="1921">
        <v>2</v>
      </c>
      <c r="L34" s="2919"/>
      <c r="M34" s="2915"/>
      <c r="N34" s="2915"/>
      <c r="O34" s="2915"/>
      <c r="P34" s="3578"/>
      <c r="Q34" s="2000" t="str">
        <f t="shared" si="11"/>
        <v>建筑结构</v>
      </c>
      <c r="R34" s="1654" t="s">
        <v>25</v>
      </c>
      <c r="S34" s="1655">
        <f t="shared" si="12"/>
        <v>100</v>
      </c>
      <c r="T34" s="1654" t="s">
        <v>25</v>
      </c>
      <c r="U34" s="1655">
        <f t="shared" si="13"/>
        <v>100</v>
      </c>
      <c r="V34" s="1654" t="s">
        <v>25</v>
      </c>
      <c r="W34" s="1655">
        <f t="shared" si="14"/>
        <v>100</v>
      </c>
      <c r="X34" s="2003"/>
      <c r="Y34" s="3580"/>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578"/>
      <c r="Q35" s="2000" t="str">
        <f t="shared" si="11"/>
        <v>公共部分装修</v>
      </c>
      <c r="R35" s="1654" t="s">
        <v>25</v>
      </c>
      <c r="S35" s="1655">
        <f t="shared" si="12"/>
        <v>100</v>
      </c>
      <c r="T35" s="1654" t="s">
        <v>25</v>
      </c>
      <c r="U35" s="1655">
        <f t="shared" si="13"/>
        <v>100</v>
      </c>
      <c r="V35" s="1654" t="s">
        <v>25</v>
      </c>
      <c r="W35" s="1655">
        <f t="shared" si="14"/>
        <v>100</v>
      </c>
      <c r="X35" s="2003"/>
      <c r="Y35" s="3580"/>
      <c r="Z35" s="2007" t="str">
        <f t="shared" si="15"/>
        <v>公共部分装修</v>
      </c>
      <c r="AA35" s="1998">
        <f t="shared" si="3"/>
        <v>1</v>
      </c>
      <c r="AB35" s="1998">
        <f t="shared" si="4"/>
        <v>1</v>
      </c>
      <c r="AC35" s="1998">
        <f t="shared" si="5"/>
        <v>1</v>
      </c>
    </row>
    <row r="36" spans="1:29" ht="15">
      <c r="A36" s="1701"/>
      <c r="B36" s="1624" t="s">
        <v>2124</v>
      </c>
      <c r="C36" s="1705">
        <v>0.83</v>
      </c>
      <c r="D36" s="1640">
        <v>100</v>
      </c>
      <c r="E36" s="1705">
        <v>0.85</v>
      </c>
      <c r="F36" s="1683">
        <f>LOOKUP(E36,110:110,111:111)-LOOKUP(C36,110:110,111:111)+100</f>
        <v>100</v>
      </c>
      <c r="G36" s="1705">
        <v>0.85</v>
      </c>
      <c r="H36" s="1683">
        <f>LOOKUP(G36,110:110,111:111)-LOOKUP(C36,110:110,111:111)+100</f>
        <v>100</v>
      </c>
      <c r="I36" s="1705">
        <v>0.92</v>
      </c>
      <c r="J36" s="1640">
        <f>LOOKUP(I36,110:110,111:111)-LOOKUP(C36,110:110,111:111)+100</f>
        <v>102</v>
      </c>
      <c r="K36" s="1921">
        <v>2</v>
      </c>
      <c r="L36" s="2919"/>
      <c r="M36" s="2915"/>
      <c r="N36" s="2915"/>
      <c r="O36" s="2915"/>
      <c r="P36" s="3578"/>
      <c r="Q36" s="2000" t="str">
        <f t="shared" si="11"/>
        <v>成新度</v>
      </c>
      <c r="R36" s="1654" t="s">
        <v>25</v>
      </c>
      <c r="S36" s="1655">
        <f t="shared" si="12"/>
        <v>100</v>
      </c>
      <c r="T36" s="1654" t="s">
        <v>25</v>
      </c>
      <c r="U36" s="1655">
        <f t="shared" si="13"/>
        <v>100</v>
      </c>
      <c r="V36" s="1654" t="s">
        <v>25</v>
      </c>
      <c r="W36" s="1655">
        <f t="shared" si="14"/>
        <v>102</v>
      </c>
      <c r="X36" s="2003"/>
      <c r="Y36" s="3580"/>
      <c r="Z36" s="2007" t="str">
        <f t="shared" si="15"/>
        <v>成新度</v>
      </c>
      <c r="AA36" s="1998">
        <f t="shared" si="3"/>
        <v>1</v>
      </c>
      <c r="AB36" s="1998">
        <f t="shared" si="4"/>
        <v>1</v>
      </c>
      <c r="AC36" s="1998">
        <f t="shared" si="5"/>
        <v>0.98039215686274506</v>
      </c>
    </row>
    <row r="37" spans="1:29" s="1613" customFormat="1" ht="15">
      <c r="A37" s="1704"/>
      <c r="B37" s="1624" t="s">
        <v>2125</v>
      </c>
      <c r="C37" s="1684" t="s">
        <v>3058</v>
      </c>
      <c r="D37" s="1626">
        <v>100</v>
      </c>
      <c r="E37" s="1684" t="s">
        <v>3058</v>
      </c>
      <c r="F37" s="1683">
        <f>SUMIF(112:112,E37,113:113)-SUMIF(112:112,C37,113:113)+100</f>
        <v>100</v>
      </c>
      <c r="G37" s="1684" t="s">
        <v>3058</v>
      </c>
      <c r="H37" s="1640">
        <f>SUMIF(112:112,G37,113:113)-SUMIF(112:112,C37,113:113)+100</f>
        <v>100</v>
      </c>
      <c r="I37" s="1684" t="s">
        <v>3058</v>
      </c>
      <c r="J37" s="1640">
        <f>SUMIF(112:112,I37,113:113)-SUMIF(112:112,C37,113:113)+100</f>
        <v>100</v>
      </c>
      <c r="K37" s="1921">
        <v>2</v>
      </c>
      <c r="L37" s="2914"/>
      <c r="M37" s="2887"/>
      <c r="N37" s="2887"/>
      <c r="O37" s="2887"/>
      <c r="P37" s="3578"/>
      <c r="Q37" s="1994" t="str">
        <f t="shared" si="11"/>
        <v>市政基础设施</v>
      </c>
      <c r="R37" s="1609" t="s">
        <v>25</v>
      </c>
      <c r="S37" s="1610">
        <f t="shared" si="12"/>
        <v>100</v>
      </c>
      <c r="T37" s="1609" t="s">
        <v>25</v>
      </c>
      <c r="U37" s="1610">
        <f t="shared" si="13"/>
        <v>100</v>
      </c>
      <c r="V37" s="1609" t="s">
        <v>25</v>
      </c>
      <c r="W37" s="1610">
        <f t="shared" si="14"/>
        <v>100</v>
      </c>
      <c r="X37" s="1611"/>
      <c r="Y37" s="3580"/>
      <c r="Z37" s="1622" t="str">
        <f t="shared" si="15"/>
        <v>市政基础设施</v>
      </c>
      <c r="AA37" s="1612">
        <f t="shared" si="3"/>
        <v>1</v>
      </c>
      <c r="AB37" s="1612">
        <f t="shared" si="4"/>
        <v>1</v>
      </c>
      <c r="AC37" s="1612">
        <f t="shared" si="5"/>
        <v>1</v>
      </c>
    </row>
    <row r="38" spans="1:29" ht="15">
      <c r="A38" s="1701"/>
      <c r="B38" s="1624" t="s">
        <v>2126</v>
      </c>
      <c r="C38" s="1684" t="s">
        <v>3086</v>
      </c>
      <c r="D38" s="1640">
        <v>100</v>
      </c>
      <c r="E38" s="1684" t="s">
        <v>3086</v>
      </c>
      <c r="F38" s="1683">
        <f>SUMIF(114:114,E38,115:115)-SUMIF(114:114,C38,115:115)+100</f>
        <v>100</v>
      </c>
      <c r="G38" s="1684" t="s">
        <v>3086</v>
      </c>
      <c r="H38" s="1640">
        <f>SUMIF(114:114,G38,115:115)-SUMIF(114:114,C38,115:115)+100</f>
        <v>100</v>
      </c>
      <c r="I38" s="1684" t="s">
        <v>3086</v>
      </c>
      <c r="J38" s="1640">
        <f>SUMIF(114:114,I38,115:115)-SUMIF(114:114,C38,115:115)+100</f>
        <v>100</v>
      </c>
      <c r="K38" s="1921">
        <v>2</v>
      </c>
      <c r="L38" s="2919"/>
      <c r="M38" s="2915"/>
      <c r="N38" s="2915"/>
      <c r="O38" s="2915"/>
      <c r="P38" s="3578" t="s">
        <v>2036</v>
      </c>
      <c r="Q38" s="2000" t="str">
        <f t="shared" si="11"/>
        <v>业态</v>
      </c>
      <c r="R38" s="1654" t="s">
        <v>25</v>
      </c>
      <c r="S38" s="1655">
        <f t="shared" si="12"/>
        <v>100</v>
      </c>
      <c r="T38" s="1654" t="s">
        <v>25</v>
      </c>
      <c r="U38" s="1655">
        <f t="shared" si="13"/>
        <v>100</v>
      </c>
      <c r="V38" s="1654" t="s">
        <v>25</v>
      </c>
      <c r="W38" s="1655">
        <f t="shared" si="14"/>
        <v>100</v>
      </c>
      <c r="X38" s="2003"/>
      <c r="Y38" s="3580" t="s">
        <v>2036</v>
      </c>
      <c r="Z38" s="2007" t="str">
        <f t="shared" si="15"/>
        <v>业态</v>
      </c>
      <c r="AA38" s="1998">
        <f t="shared" si="3"/>
        <v>1</v>
      </c>
      <c r="AB38" s="1998">
        <f t="shared" si="4"/>
        <v>1</v>
      </c>
      <c r="AC38" s="1998">
        <f t="shared" si="5"/>
        <v>1</v>
      </c>
    </row>
    <row r="39" spans="1:29" ht="15">
      <c r="A39" s="1701"/>
      <c r="B39" s="1624" t="s">
        <v>2127</v>
      </c>
      <c r="C39" s="1684" t="s">
        <v>3089</v>
      </c>
      <c r="D39" s="1640">
        <v>100</v>
      </c>
      <c r="E39" s="1684" t="s">
        <v>3091</v>
      </c>
      <c r="F39" s="1683">
        <f>SUMIF(116:116,E39,117:117)-SUMIF(116:116,C39,117:117)+100</f>
        <v>90</v>
      </c>
      <c r="G39" s="1684" t="s">
        <v>3091</v>
      </c>
      <c r="H39" s="1640">
        <f>SUMIF(116:116,G39,117:117)-SUMIF(116:116,C39,117:117)+100</f>
        <v>90</v>
      </c>
      <c r="I39" s="1684" t="s">
        <v>3091</v>
      </c>
      <c r="J39" s="1640">
        <f>SUMIF(116:116,I39,117:117)-SUMIF(116:116,C39,117:117)+100</f>
        <v>90</v>
      </c>
      <c r="K39" s="1921">
        <v>10</v>
      </c>
      <c r="L39" s="2919"/>
      <c r="M39" s="2915"/>
      <c r="N39" s="2915"/>
      <c r="O39" s="2915"/>
      <c r="P39" s="3578"/>
      <c r="Q39" s="2000" t="str">
        <f t="shared" si="11"/>
        <v>层高</v>
      </c>
      <c r="R39" s="1654" t="s">
        <v>25</v>
      </c>
      <c r="S39" s="1655">
        <f t="shared" si="12"/>
        <v>90</v>
      </c>
      <c r="T39" s="1654" t="s">
        <v>25</v>
      </c>
      <c r="U39" s="1655">
        <f t="shared" si="13"/>
        <v>90</v>
      </c>
      <c r="V39" s="1654" t="s">
        <v>25</v>
      </c>
      <c r="W39" s="1655">
        <f t="shared" si="14"/>
        <v>90</v>
      </c>
      <c r="X39" s="2003"/>
      <c r="Y39" s="3580"/>
      <c r="Z39" s="2007" t="str">
        <f t="shared" si="15"/>
        <v>层高</v>
      </c>
      <c r="AA39" s="1998">
        <f t="shared" si="3"/>
        <v>1.1111111111111112</v>
      </c>
      <c r="AB39" s="1998">
        <f t="shared" si="4"/>
        <v>1.1111111111111112</v>
      </c>
      <c r="AC39" s="1998">
        <f t="shared" si="5"/>
        <v>1.1111111111111112</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578"/>
      <c r="Q40" s="2000" t="str">
        <f t="shared" si="11"/>
        <v>单套建筑面积</v>
      </c>
      <c r="R40" s="1654" t="s">
        <v>25</v>
      </c>
      <c r="S40" s="1655">
        <f t="shared" si="12"/>
        <v>100</v>
      </c>
      <c r="T40" s="1654" t="s">
        <v>25</v>
      </c>
      <c r="U40" s="1655">
        <f t="shared" si="13"/>
        <v>100</v>
      </c>
      <c r="V40" s="1654" t="s">
        <v>25</v>
      </c>
      <c r="W40" s="1655">
        <f t="shared" si="14"/>
        <v>100</v>
      </c>
      <c r="X40" s="2003"/>
      <c r="Y40" s="3580"/>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578"/>
      <c r="Q41" s="1695" t="str">
        <f t="shared" si="11"/>
        <v>进深比</v>
      </c>
      <c r="R41" s="1696" t="s">
        <v>25</v>
      </c>
      <c r="S41" s="1697">
        <f t="shared" si="12"/>
        <v>100</v>
      </c>
      <c r="T41" s="1696" t="s">
        <v>25</v>
      </c>
      <c r="U41" s="1697">
        <f t="shared" si="13"/>
        <v>100</v>
      </c>
      <c r="V41" s="1696" t="s">
        <v>25</v>
      </c>
      <c r="W41" s="1697">
        <f t="shared" si="14"/>
        <v>100</v>
      </c>
      <c r="X41" s="1698"/>
      <c r="Y41" s="3580"/>
      <c r="Z41" s="1699" t="str">
        <f t="shared" si="15"/>
        <v>进深比</v>
      </c>
      <c r="AA41" s="1998">
        <f t="shared" si="3"/>
        <v>1</v>
      </c>
      <c r="AB41" s="1998">
        <f t="shared" si="4"/>
        <v>1</v>
      </c>
      <c r="AC41" s="1998">
        <f t="shared" si="5"/>
        <v>1</v>
      </c>
    </row>
    <row r="42" spans="1:29" ht="15">
      <c r="A42" s="1701"/>
      <c r="B42" s="1624" t="s">
        <v>2130</v>
      </c>
      <c r="C42" s="1684" t="s">
        <v>3093</v>
      </c>
      <c r="D42" s="1640">
        <v>100</v>
      </c>
      <c r="E42" s="1684" t="s">
        <v>3093</v>
      </c>
      <c r="F42" s="1683">
        <f>SUMIF(122:122,E42,123:123)-SUMIF(122:122,C42,123:123)+100</f>
        <v>100</v>
      </c>
      <c r="G42" s="1684" t="s">
        <v>3093</v>
      </c>
      <c r="H42" s="1640">
        <f>SUMIF(122:122,G42,123:123)-SUMIF(122:122,C42,123:123)+100</f>
        <v>100</v>
      </c>
      <c r="I42" s="1684" t="s">
        <v>3093</v>
      </c>
      <c r="J42" s="1640">
        <f>SUMIF(122:122,I42,123:123)-SUMIF(122:122,C42,123:123)+100</f>
        <v>100</v>
      </c>
      <c r="K42" s="1921">
        <v>2</v>
      </c>
      <c r="L42" s="2919"/>
      <c r="M42" s="2915"/>
      <c r="N42" s="2915"/>
      <c r="O42" s="2915"/>
      <c r="P42" s="3578"/>
      <c r="Q42" s="2000" t="str">
        <f t="shared" si="11"/>
        <v>内部装修</v>
      </c>
      <c r="R42" s="1654" t="s">
        <v>25</v>
      </c>
      <c r="S42" s="1655">
        <f t="shared" si="12"/>
        <v>100</v>
      </c>
      <c r="T42" s="1654" t="s">
        <v>25</v>
      </c>
      <c r="U42" s="1655">
        <f t="shared" si="13"/>
        <v>100</v>
      </c>
      <c r="V42" s="1654" t="s">
        <v>25</v>
      </c>
      <c r="W42" s="1655">
        <f t="shared" si="14"/>
        <v>100</v>
      </c>
      <c r="X42" s="2003"/>
      <c r="Y42" s="3580"/>
      <c r="Z42" s="2007" t="str">
        <f t="shared" si="15"/>
        <v>内部装修</v>
      </c>
      <c r="AA42" s="1998">
        <f t="shared" si="3"/>
        <v>1</v>
      </c>
      <c r="AB42" s="1998">
        <f t="shared" si="4"/>
        <v>1</v>
      </c>
      <c r="AC42" s="1998">
        <f t="shared" si="5"/>
        <v>1</v>
      </c>
    </row>
    <row r="43" spans="1:29" ht="28.8">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19"/>
      <c r="M43" s="2915"/>
      <c r="N43" s="2915"/>
      <c r="O43" s="2915"/>
      <c r="P43" s="3578"/>
      <c r="Q43" s="2000" t="str">
        <f t="shared" si="11"/>
        <v>内部装修维护情况</v>
      </c>
      <c r="R43" s="1654" t="s">
        <v>25</v>
      </c>
      <c r="S43" s="1655">
        <f t="shared" si="12"/>
        <v>100</v>
      </c>
      <c r="T43" s="1654" t="s">
        <v>25</v>
      </c>
      <c r="U43" s="1655">
        <f t="shared" si="13"/>
        <v>100</v>
      </c>
      <c r="V43" s="1654" t="s">
        <v>25</v>
      </c>
      <c r="W43" s="1655">
        <f t="shared" si="14"/>
        <v>100</v>
      </c>
      <c r="X43" s="2003"/>
      <c r="Y43" s="358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578"/>
      <c r="Q44" s="1994">
        <f t="shared" si="11"/>
        <v>111</v>
      </c>
      <c r="R44" s="1609" t="s">
        <v>25</v>
      </c>
      <c r="S44" s="1610">
        <f t="shared" si="12"/>
        <v>100</v>
      </c>
      <c r="T44" s="1609" t="s">
        <v>25</v>
      </c>
      <c r="U44" s="1610">
        <f t="shared" si="13"/>
        <v>100</v>
      </c>
      <c r="V44" s="1609" t="s">
        <v>25</v>
      </c>
      <c r="W44" s="1610">
        <f t="shared" si="14"/>
        <v>100</v>
      </c>
      <c r="X44" s="1611"/>
      <c r="Y44" s="358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578"/>
      <c r="Q45" s="2000">
        <f t="shared" si="11"/>
        <v>111</v>
      </c>
      <c r="R45" s="1654" t="s">
        <v>25</v>
      </c>
      <c r="S45" s="1655">
        <f t="shared" si="12"/>
        <v>100</v>
      </c>
      <c r="T45" s="1654" t="s">
        <v>25</v>
      </c>
      <c r="U45" s="1655">
        <f t="shared" si="13"/>
        <v>100</v>
      </c>
      <c r="V45" s="1654" t="s">
        <v>25</v>
      </c>
      <c r="W45" s="1655">
        <f t="shared" si="14"/>
        <v>100</v>
      </c>
      <c r="X45" s="2003"/>
      <c r="Y45" s="3580"/>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579"/>
      <c r="Q46" s="2000">
        <f t="shared" si="11"/>
        <v>111</v>
      </c>
      <c r="R46" s="1654" t="s">
        <v>25</v>
      </c>
      <c r="S46" s="1655">
        <f t="shared" si="12"/>
        <v>100</v>
      </c>
      <c r="T46" s="1654" t="s">
        <v>25</v>
      </c>
      <c r="U46" s="1655">
        <f t="shared" si="13"/>
        <v>100</v>
      </c>
      <c r="V46" s="1654" t="s">
        <v>25</v>
      </c>
      <c r="W46" s="1655">
        <f t="shared" si="14"/>
        <v>100</v>
      </c>
      <c r="X46" s="2003"/>
      <c r="Y46" s="3581"/>
      <c r="Z46" s="2007">
        <f t="shared" si="15"/>
        <v>111</v>
      </c>
      <c r="AA46" s="1998">
        <f t="shared" si="3"/>
        <v>1</v>
      </c>
      <c r="AB46" s="1998">
        <f t="shared" si="4"/>
        <v>1</v>
      </c>
      <c r="AC46" s="1998">
        <f t="shared" si="5"/>
        <v>1</v>
      </c>
    </row>
    <row r="47" spans="1:29" ht="14.4">
      <c r="A47" s="1710" t="s">
        <v>2048</v>
      </c>
      <c r="B47" s="1711"/>
      <c r="C47" s="1712" t="s">
        <v>1</v>
      </c>
      <c r="D47" s="1713"/>
      <c r="E47" s="1714">
        <v>14400</v>
      </c>
      <c r="F47" s="1715"/>
      <c r="G47" s="1716">
        <v>12900</v>
      </c>
      <c r="H47" s="1717"/>
      <c r="I47" s="1714">
        <v>11000</v>
      </c>
      <c r="J47" s="1717"/>
      <c r="K47" s="1942"/>
      <c r="L47" s="2920"/>
      <c r="N47" s="2915"/>
      <c r="P47" s="3572" t="str">
        <f>A47</f>
        <v>成交单价（元/平方米）</v>
      </c>
      <c r="Q47" s="3572"/>
      <c r="R47" s="3573">
        <f>E47</f>
        <v>14400</v>
      </c>
      <c r="S47" s="3573"/>
      <c r="T47" s="3573">
        <f>G47</f>
        <v>12900</v>
      </c>
      <c r="U47" s="3573"/>
      <c r="V47" s="3573">
        <f>I47</f>
        <v>11000</v>
      </c>
      <c r="W47" s="3573"/>
      <c r="X47" s="1720"/>
      <c r="Y47" s="2002"/>
      <c r="Z47" s="1720"/>
      <c r="AA47" s="1720"/>
      <c r="AB47" s="1720"/>
      <c r="AC47" s="1720"/>
    </row>
    <row r="48" spans="1:29" ht="15" thickBot="1">
      <c r="A48" s="1722" t="s">
        <v>2131</v>
      </c>
      <c r="B48" s="1723"/>
      <c r="C48" s="1724">
        <f>R49</f>
        <v>13834</v>
      </c>
      <c r="D48" s="1725" t="s">
        <v>2499</v>
      </c>
      <c r="E48" s="1726">
        <f>R48</f>
        <v>15235</v>
      </c>
      <c r="F48" s="1727"/>
      <c r="G48" s="1724">
        <f>T48</f>
        <v>13784</v>
      </c>
      <c r="H48" s="1727"/>
      <c r="I48" s="1726">
        <f>V48</f>
        <v>12483</v>
      </c>
      <c r="J48" s="1727"/>
      <c r="K48" s="2429">
        <f>F48+H48+J48</f>
        <v>0</v>
      </c>
      <c r="L48" s="2920"/>
      <c r="N48" s="2915"/>
      <c r="P48" s="3572" t="str">
        <f>A48</f>
        <v>比较价值（元/平方米）</v>
      </c>
      <c r="Q48" s="3572"/>
      <c r="R48" s="3573">
        <f>IF(E1="售价",ROUND(PRODUCT(R47,AA7:AA46),0),ROUND(PRODUCT(R47,AA7:AA46),1))</f>
        <v>15235</v>
      </c>
      <c r="S48" s="3573"/>
      <c r="T48" s="3573">
        <f>IF(E1="售价",ROUND(PRODUCT(T47,AB7:AB46),0),ROUND(PRODUCT(T47,AB7:AB46),1))</f>
        <v>13784</v>
      </c>
      <c r="U48" s="3573"/>
      <c r="V48" s="3573">
        <f>IF(E1="售价",ROUND(PRODUCT(V47,AC7:AC46),0),ROUND(PRODUCT(V47,AC7:AC46),1))</f>
        <v>12483</v>
      </c>
      <c r="W48" s="3573"/>
      <c r="X48" s="1720"/>
      <c r="Y48" s="1720"/>
      <c r="Z48" s="1720"/>
      <c r="AA48" s="1720"/>
      <c r="AB48" s="1720"/>
      <c r="AC48" s="1720"/>
    </row>
    <row r="49" spans="1:29" ht="15" thickBot="1">
      <c r="A49" s="1728" t="s">
        <v>2132</v>
      </c>
      <c r="B49" s="1729"/>
      <c r="C49" s="1731">
        <f>R49</f>
        <v>13834</v>
      </c>
      <c r="D49" s="1731"/>
      <c r="E49" s="1731"/>
      <c r="F49" s="1731"/>
      <c r="G49" s="1731"/>
      <c r="H49" s="1731"/>
      <c r="I49" s="1731"/>
      <c r="J49" s="1731"/>
      <c r="K49" s="1947"/>
      <c r="L49" s="2920"/>
      <c r="N49" s="2915"/>
      <c r="P49" s="3574" t="str">
        <f>A49</f>
        <v>估价对象XX用房的比较价值（楼面单价，元/平方米）</v>
      </c>
      <c r="Q49" s="3575"/>
      <c r="R49" s="3576">
        <f>IF(E1="售价",ROUND(IF(D48="简单平均",AVERAGE(R48:V48),R48*F48+T48*H48+V48*J48),0),ROUND(IF(D48="简单平均",AVERAGE(R48:V48),R48*F48+T48*H48+V48*J48),1))</f>
        <v>13834</v>
      </c>
      <c r="S49" s="3576"/>
      <c r="T49" s="3576"/>
      <c r="U49" s="3576"/>
      <c r="V49" s="3576"/>
      <c r="W49" s="3576"/>
      <c r="X49" s="1720"/>
      <c r="Y49" s="1720"/>
      <c r="Z49" s="1720"/>
      <c r="AA49" s="1720"/>
      <c r="AB49" s="1720"/>
      <c r="AC49" s="1720"/>
    </row>
    <row r="50" spans="1:29">
      <c r="C50" s="1595">
        <v>2012</v>
      </c>
      <c r="G50" s="2924"/>
      <c r="I50" s="1595">
        <v>2017</v>
      </c>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5.7986111111111072E-2</v>
      </c>
      <c r="F52" s="1738" t="str">
        <f>IF(OR(E52&gt;=0.3,E52&lt;=-0.3),"超过30%","")</f>
        <v/>
      </c>
      <c r="G52" s="1737">
        <f>IF(G47&lt;G48,G48/G47-1,G47/G48-1)</f>
        <v>6.8527131782945672E-2</v>
      </c>
      <c r="H52" s="1738" t="str">
        <f>IF(OR(G52&gt;=0.3,G52&lt;=-0.3),"超过30%","")</f>
        <v/>
      </c>
      <c r="I52" s="1737">
        <f>IF(I47&lt;I48,I48/I47-1,I47/I48-1)</f>
        <v>0.13481818181818173</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0.10526697620429482</v>
      </c>
      <c r="F53" s="1738" t="str">
        <f>IF(OR(E53&gt;=0.2,E53&lt;=-0.2),"超过20%","")</f>
        <v/>
      </c>
      <c r="G53" s="1737">
        <f>IF(G48&lt;I48,I48/G48-1,G48/I48-1)</f>
        <v>0.10422174156853314</v>
      </c>
      <c r="H53" s="1738" t="str">
        <f>IF(OR(G53&gt;=0.2,G53&lt;=-0.2),"超过20%","")</f>
        <v/>
      </c>
      <c r="I53" s="1737">
        <f>IF(I48&lt;E48,E48/I48-1,I48/E48-1)</f>
        <v>0.22045982536249298</v>
      </c>
      <c r="J53" s="1738" t="str">
        <f>IF(OR(I53&gt;=0.2,I53&lt;=-0.2),"超过20%","")</f>
        <v>超过20%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0.11627906976744184</v>
      </c>
      <c r="F54" s="1738" t="str">
        <f>IF(OR(E54&gt;=0.3,E54&lt;=-0.3),"超过30%","")</f>
        <v/>
      </c>
      <c r="G54" s="1737">
        <f>IF(G47&lt;I47,I47/G47-1,G47/I47-1)</f>
        <v>0.17272727272727262</v>
      </c>
      <c r="H54" s="1738" t="str">
        <f>IF(OR(G54&gt;=0.3,G54&lt;=-0.3),"超过30%","")</f>
        <v/>
      </c>
      <c r="I54" s="1737">
        <f>IF(I47&lt;E47,E47/I47-1,I47/E47-1)</f>
        <v>0.30909090909090908</v>
      </c>
      <c r="J54" s="1738" t="str">
        <f>IF(OR(I54&gt;=0.3,I54&lt;=-0.3),"超过30%","")</f>
        <v>超过30%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2.2"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4.4">
      <c r="A58" s="1751" t="s">
        <v>2018</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4.4">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4.4" thickBot="1">
      <c r="A62" s="1768"/>
      <c r="B62" s="1758"/>
      <c r="C62" s="1773">
        <v>100</v>
      </c>
      <c r="D62" s="1760"/>
      <c r="E62" s="1760"/>
      <c r="F62" s="1760"/>
      <c r="G62" s="1760"/>
      <c r="H62" s="1760"/>
      <c r="I62" s="1760"/>
      <c r="J62" s="1760"/>
      <c r="K62" s="1760"/>
      <c r="L62" s="1760"/>
      <c r="M62" s="1774"/>
      <c r="N62" s="2932"/>
      <c r="O62" s="2932"/>
      <c r="P62" s="1762"/>
      <c r="Q62" s="1750"/>
    </row>
    <row r="63" spans="1:29" ht="14.4">
      <c r="A63" s="1775" t="s">
        <v>2059</v>
      </c>
      <c r="B63" s="1776" t="s">
        <v>2024</v>
      </c>
      <c r="C63" s="1777" t="str">
        <f>C9</f>
        <v>商业</v>
      </c>
      <c r="D63" s="1778"/>
      <c r="E63" s="1778"/>
      <c r="F63" s="1778"/>
      <c r="G63" s="1778"/>
      <c r="H63" s="1778"/>
      <c r="I63" s="1778"/>
      <c r="J63" s="1778"/>
      <c r="K63" s="417"/>
      <c r="L63" s="417"/>
      <c r="M63" s="1779"/>
      <c r="N63" s="2933"/>
      <c r="O63" s="2933"/>
      <c r="P63" s="1781"/>
      <c r="Q63" s="1750"/>
    </row>
    <row r="64" spans="1:29" ht="14.4" thickBot="1">
      <c r="A64" s="1782"/>
      <c r="B64" s="1783"/>
      <c r="C64" s="1784">
        <v>100</v>
      </c>
      <c r="D64" s="1784"/>
      <c r="E64" s="1784"/>
      <c r="F64" s="1784"/>
      <c r="G64" s="1784"/>
      <c r="H64" s="1784"/>
      <c r="I64" s="1784"/>
      <c r="J64" s="1784"/>
      <c r="K64" s="1784"/>
      <c r="L64" s="1784"/>
      <c r="M64" s="1785"/>
      <c r="N64" s="2934"/>
      <c r="O64" s="2934"/>
      <c r="P64" s="1781"/>
      <c r="Q64" s="1750"/>
    </row>
    <row r="65" spans="1:17" ht="29.4"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4.4" thickBot="1">
      <c r="A66" s="1782"/>
      <c r="B66" s="1790"/>
      <c r="C66" s="1791" t="s">
        <v>36</v>
      </c>
      <c r="D66" s="1791" t="s">
        <v>37</v>
      </c>
      <c r="E66" s="1791" t="s">
        <v>38</v>
      </c>
      <c r="F66" s="1791">
        <v>100</v>
      </c>
      <c r="G66" s="1791">
        <f>F66-$K10</f>
        <v>98</v>
      </c>
      <c r="H66" s="1791">
        <f>G66-$K10</f>
        <v>96</v>
      </c>
      <c r="I66" s="1791">
        <f>H66-$K10</f>
        <v>94</v>
      </c>
      <c r="J66" s="1791"/>
      <c r="K66" s="1791"/>
      <c r="L66" s="1791"/>
      <c r="M66" s="1792"/>
      <c r="N66" s="2934"/>
      <c r="O66" s="2934"/>
      <c r="P66" s="1781"/>
      <c r="Q66" s="1750"/>
    </row>
    <row r="67" spans="1:17" ht="15" thickTop="1">
      <c r="A67" s="1782"/>
      <c r="B67" s="1793" t="s">
        <v>2028</v>
      </c>
      <c r="C67" s="1794" t="str">
        <f>C68&amp;"（含）"&amp;"-"&amp;D68</f>
        <v>0（含）-1</v>
      </c>
      <c r="D67" s="1794" t="str">
        <f t="shared" ref="D67:L67" si="17">D68&amp;"（含）"&amp;"-"&amp;E68</f>
        <v>1（含）-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c r="A68" s="1782"/>
      <c r="B68" s="1795"/>
      <c r="C68" s="1796">
        <v>0</v>
      </c>
      <c r="D68" s="1796">
        <v>1</v>
      </c>
      <c r="E68" s="1796"/>
      <c r="F68" s="1796"/>
      <c r="G68" s="1796"/>
      <c r="H68" s="1796"/>
      <c r="I68" s="1796"/>
      <c r="J68" s="1796"/>
      <c r="K68" s="438"/>
      <c r="L68" s="438"/>
      <c r="M68" s="1797"/>
      <c r="N68" s="2933"/>
      <c r="O68" s="2933"/>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4.4"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4.4" thickBot="1">
      <c r="A71" s="1798"/>
      <c r="B71" s="1790"/>
      <c r="C71" s="1803"/>
      <c r="D71" s="1784"/>
      <c r="E71" s="1784"/>
      <c r="F71" s="1784"/>
      <c r="G71" s="1784"/>
      <c r="H71" s="1784"/>
      <c r="I71" s="1784"/>
      <c r="J71" s="1784"/>
      <c r="K71" s="1784"/>
      <c r="L71" s="1784"/>
      <c r="M71" s="1785"/>
      <c r="N71" s="2934"/>
      <c r="O71" s="2934"/>
      <c r="P71" s="1801"/>
      <c r="Q71" s="1802"/>
    </row>
    <row r="72" spans="1:17" s="1700" customFormat="1" ht="14.4"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4.4" thickBot="1">
      <c r="A73" s="1798"/>
      <c r="B73" s="1790"/>
      <c r="C73" s="1803"/>
      <c r="D73" s="1784"/>
      <c r="E73" s="1784"/>
      <c r="F73" s="1784"/>
      <c r="G73" s="1803"/>
      <c r="H73" s="1806"/>
      <c r="I73" s="1806"/>
      <c r="J73" s="1806"/>
      <c r="K73" s="1806"/>
      <c r="L73" s="1806"/>
      <c r="M73" s="1807"/>
      <c r="N73" s="2935"/>
      <c r="O73" s="2935"/>
      <c r="P73" s="1801"/>
      <c r="Q73" s="1802"/>
    </row>
    <row r="74" spans="1:17" s="1700" customFormat="1" ht="14.4"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4.4" thickBot="1">
      <c r="A75" s="1809"/>
      <c r="B75" s="1810"/>
      <c r="C75" s="1811"/>
      <c r="D75" s="1811"/>
      <c r="E75" s="1811"/>
      <c r="F75" s="1811"/>
      <c r="G75" s="1811"/>
      <c r="H75" s="1812"/>
      <c r="I75" s="1812"/>
      <c r="J75" s="1812"/>
      <c r="K75" s="1812"/>
      <c r="L75" s="1812"/>
      <c r="M75" s="1813"/>
      <c r="N75" s="2935"/>
      <c r="O75" s="2935"/>
      <c r="P75" s="1801"/>
      <c r="Q75" s="1802"/>
    </row>
    <row r="76" spans="1:17" ht="14.4">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4.4" thickBot="1">
      <c r="A77" s="1782"/>
      <c r="B77" s="1790"/>
      <c r="C77" s="1791">
        <v>100</v>
      </c>
      <c r="D77" s="1791">
        <f>C77-$K15</f>
        <v>97</v>
      </c>
      <c r="E77" s="1791">
        <f>D77-$K15</f>
        <v>94</v>
      </c>
      <c r="F77" s="1791">
        <f>E77-$K15</f>
        <v>91</v>
      </c>
      <c r="G77" s="1791">
        <f>F77-$K15</f>
        <v>88</v>
      </c>
      <c r="H77" s="1791"/>
      <c r="I77" s="1791"/>
      <c r="J77" s="1791"/>
      <c r="K77" s="1791"/>
      <c r="L77" s="1791"/>
      <c r="M77" s="1792"/>
      <c r="N77" s="2934"/>
      <c r="O77" s="2934"/>
      <c r="P77" s="1781"/>
      <c r="Q77" s="1750"/>
    </row>
    <row r="78" spans="1:17" ht="1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4.4" thickBot="1">
      <c r="A79" s="1782"/>
      <c r="B79" s="1790"/>
      <c r="C79" s="1791">
        <v>100</v>
      </c>
      <c r="D79" s="1791">
        <f>C79-$K17</f>
        <v>98</v>
      </c>
      <c r="E79" s="1791">
        <f>D79-$K17</f>
        <v>96</v>
      </c>
      <c r="F79" s="1791">
        <f>E79-$K17</f>
        <v>94</v>
      </c>
      <c r="G79" s="1791">
        <f>F79-$K17</f>
        <v>92</v>
      </c>
      <c r="H79" s="1791"/>
      <c r="I79" s="1791"/>
      <c r="J79" s="1791"/>
      <c r="K79" s="1791"/>
      <c r="L79" s="1791"/>
      <c r="M79" s="1792"/>
      <c r="N79" s="2934"/>
      <c r="O79" s="2934"/>
      <c r="P79" s="1781"/>
      <c r="Q79" s="1750"/>
    </row>
    <row r="80" spans="1:17" ht="1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4.4" thickBot="1">
      <c r="A81" s="1782"/>
      <c r="B81" s="1790"/>
      <c r="C81" s="1791">
        <v>100</v>
      </c>
      <c r="D81" s="1791">
        <f>C81-$K19</f>
        <v>98</v>
      </c>
      <c r="E81" s="1791">
        <f>D81-$K19</f>
        <v>96</v>
      </c>
      <c r="F81" s="1791">
        <f>E81-$K19</f>
        <v>94</v>
      </c>
      <c r="G81" s="1791">
        <f>F81-$K19</f>
        <v>92</v>
      </c>
      <c r="H81" s="1791"/>
      <c r="I81" s="1791"/>
      <c r="J81" s="1791"/>
      <c r="K81" s="1791"/>
      <c r="L81" s="1791"/>
      <c r="M81" s="1792"/>
      <c r="N81" s="2934"/>
      <c r="O81" s="2934"/>
      <c r="P81" s="1781"/>
      <c r="Q81" s="1750"/>
    </row>
    <row r="82" spans="1:17" ht="1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4.4" thickBot="1">
      <c r="A83" s="1782"/>
      <c r="B83" s="1793"/>
      <c r="C83" s="1791">
        <v>100</v>
      </c>
      <c r="D83" s="1791">
        <f>C83-$K21</f>
        <v>98</v>
      </c>
      <c r="E83" s="1791">
        <f>D83-$K21</f>
        <v>96</v>
      </c>
      <c r="F83" s="1791">
        <f>E83-$K21</f>
        <v>94</v>
      </c>
      <c r="G83" s="1791">
        <f>F83-$K21</f>
        <v>92</v>
      </c>
      <c r="H83" s="1817"/>
      <c r="I83" s="1817"/>
      <c r="J83" s="1817"/>
      <c r="K83" s="1817"/>
      <c r="L83" s="1817"/>
      <c r="M83" s="1664"/>
      <c r="N83" s="2934"/>
      <c r="O83" s="2934"/>
      <c r="P83" s="1781"/>
      <c r="Q83" s="1750"/>
    </row>
    <row r="84" spans="1:17" ht="1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4.4" thickBot="1">
      <c r="A85" s="1782"/>
      <c r="B85" s="1790"/>
      <c r="C85" s="1791">
        <v>100</v>
      </c>
      <c r="D85" s="1791">
        <f>C85-$K23</f>
        <v>98</v>
      </c>
      <c r="E85" s="1791">
        <f>D85-$K23</f>
        <v>96</v>
      </c>
      <c r="F85" s="1791">
        <f>E85-$K23</f>
        <v>94</v>
      </c>
      <c r="G85" s="1791">
        <f>F85-$K23</f>
        <v>92</v>
      </c>
      <c r="H85" s="1791"/>
      <c r="I85" s="1791"/>
      <c r="J85" s="1791"/>
      <c r="K85" s="1791"/>
      <c r="L85" s="1791"/>
      <c r="M85" s="1792"/>
      <c r="N85" s="2934"/>
      <c r="O85" s="2934"/>
      <c r="P85" s="1781"/>
      <c r="Q85" s="1750"/>
    </row>
    <row r="86" spans="1:17" s="1613" customFormat="1" ht="15" thickTop="1">
      <c r="A86" s="1818"/>
      <c r="B86" s="1787" t="s">
        <v>2137</v>
      </c>
      <c r="C86" s="3337" t="s">
        <v>3064</v>
      </c>
      <c r="D86" s="3337" t="s">
        <v>3065</v>
      </c>
      <c r="E86" s="3337" t="s">
        <v>3067</v>
      </c>
      <c r="F86" s="468"/>
      <c r="G86" s="468"/>
      <c r="H86" s="468"/>
      <c r="I86" s="468"/>
      <c r="J86" s="468"/>
      <c r="K86" s="468"/>
      <c r="L86" s="468"/>
      <c r="M86" s="1819"/>
      <c r="N86" s="2932"/>
      <c r="O86" s="2932"/>
      <c r="P86" s="1781"/>
      <c r="Q86" s="1750"/>
    </row>
    <row r="87" spans="1:17" s="1613" customFormat="1" ht="14.4"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4"/>
      <c r="O87" s="2934"/>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4.4" thickBot="1">
      <c r="A89" s="1818"/>
      <c r="B89" s="1790"/>
      <c r="C89" s="1803"/>
      <c r="D89" s="1784"/>
      <c r="E89" s="1784"/>
      <c r="F89" s="1784"/>
      <c r="G89" s="1784"/>
      <c r="H89" s="1784"/>
      <c r="I89" s="1784"/>
      <c r="J89" s="1784"/>
      <c r="K89" s="1784"/>
      <c r="L89" s="1784"/>
      <c r="M89" s="1784"/>
      <c r="N89" s="2934"/>
      <c r="O89" s="2934"/>
      <c r="P89" s="1781"/>
      <c r="Q89" s="1750"/>
    </row>
    <row r="90" spans="1:17" s="1700" customFormat="1" ht="15" thickTop="1">
      <c r="A90" s="1798"/>
      <c r="B90" s="1787" t="str">
        <f>B27</f>
        <v>人流量</v>
      </c>
      <c r="C90" s="3337" t="s">
        <v>3069</v>
      </c>
      <c r="D90" s="3337" t="s">
        <v>3071</v>
      </c>
      <c r="E90" s="3337" t="s">
        <v>3072</v>
      </c>
      <c r="F90" s="3337" t="s">
        <v>3073</v>
      </c>
      <c r="G90" s="3337" t="s">
        <v>3074</v>
      </c>
      <c r="H90" s="443"/>
      <c r="I90" s="443"/>
      <c r="J90" s="443"/>
      <c r="K90" s="443"/>
      <c r="L90" s="443"/>
      <c r="M90" s="1799"/>
      <c r="N90" s="2935"/>
      <c r="O90" s="2935"/>
      <c r="P90" s="1801"/>
      <c r="Q90" s="1802"/>
    </row>
    <row r="91" spans="1:17" s="1700" customFormat="1" ht="14.4" thickBot="1">
      <c r="A91" s="1798"/>
      <c r="B91" s="1790"/>
      <c r="C91" s="1820">
        <v>100</v>
      </c>
      <c r="D91" s="1791">
        <f>C91-$K27</f>
        <v>98</v>
      </c>
      <c r="E91" s="1791">
        <f t="shared" ref="E91:M91" si="20">D91-$K27</f>
        <v>96</v>
      </c>
      <c r="F91" s="1791">
        <f t="shared" si="20"/>
        <v>94</v>
      </c>
      <c r="G91" s="1791">
        <f t="shared" si="20"/>
        <v>92</v>
      </c>
      <c r="H91" s="1791">
        <f t="shared" si="20"/>
        <v>90</v>
      </c>
      <c r="I91" s="1791">
        <f t="shared" si="20"/>
        <v>88</v>
      </c>
      <c r="J91" s="1791">
        <f t="shared" si="20"/>
        <v>86</v>
      </c>
      <c r="K91" s="1791">
        <f t="shared" si="20"/>
        <v>84</v>
      </c>
      <c r="L91" s="1791">
        <f t="shared" si="20"/>
        <v>82</v>
      </c>
      <c r="M91" s="1791">
        <f t="shared" si="20"/>
        <v>80</v>
      </c>
      <c r="N91" s="2935"/>
      <c r="O91" s="2935"/>
      <c r="P91" s="1801"/>
      <c r="Q91" s="1802"/>
    </row>
    <row r="92" spans="1:17" ht="15" thickTop="1">
      <c r="A92" s="1782"/>
      <c r="B92" s="1787" t="str">
        <f>B28</f>
        <v>楼层</v>
      </c>
      <c r="C92" s="468" t="s">
        <v>3075</v>
      </c>
      <c r="D92" s="468" t="s">
        <v>3076</v>
      </c>
      <c r="E92" s="468" t="s">
        <v>3077</v>
      </c>
      <c r="F92" s="468"/>
      <c r="G92" s="468"/>
      <c r="H92" s="468"/>
      <c r="I92" s="468"/>
      <c r="J92" s="468"/>
      <c r="K92" s="468"/>
      <c r="L92" s="468"/>
      <c r="M92" s="1819"/>
      <c r="N92" s="2933"/>
      <c r="O92" s="2933"/>
      <c r="P92" s="1781"/>
      <c r="Q92" s="1750"/>
    </row>
    <row r="93" spans="1:17" ht="14.4" thickBot="1">
      <c r="A93" s="1782"/>
      <c r="B93" s="1790"/>
      <c r="C93" s="1784">
        <v>100</v>
      </c>
      <c r="D93" s="1784">
        <v>70</v>
      </c>
      <c r="E93" s="1784">
        <v>60</v>
      </c>
      <c r="F93" s="1784"/>
      <c r="G93" s="1784"/>
      <c r="H93" s="1784"/>
      <c r="I93" s="1784"/>
      <c r="J93" s="1784"/>
      <c r="K93" s="1784"/>
      <c r="L93" s="1784"/>
      <c r="M93" s="1785"/>
      <c r="N93" s="2934"/>
      <c r="O93" s="2934"/>
      <c r="P93" s="1781"/>
      <c r="Q93" s="1750"/>
    </row>
    <row r="94" spans="1:17" ht="15" thickTop="1">
      <c r="A94" s="1782"/>
      <c r="B94" s="1787" t="str">
        <f>B29</f>
        <v>道路等级</v>
      </c>
      <c r="C94" s="3337" t="s">
        <v>3098</v>
      </c>
      <c r="D94" s="3337" t="s">
        <v>3099</v>
      </c>
      <c r="E94" s="3337" t="s">
        <v>3100</v>
      </c>
      <c r="F94" s="468"/>
      <c r="G94" s="1506"/>
      <c r="H94" s="1506"/>
      <c r="I94" s="1506"/>
      <c r="J94" s="1506"/>
      <c r="K94" s="473"/>
      <c r="L94" s="473"/>
      <c r="M94" s="1822"/>
      <c r="N94" s="2933"/>
      <c r="O94" s="2933"/>
      <c r="P94" s="1781"/>
      <c r="Q94" s="1750"/>
    </row>
    <row r="95" spans="1:17" ht="14.4" thickBot="1">
      <c r="A95" s="1782"/>
      <c r="B95" s="1790"/>
      <c r="C95" s="1803">
        <v>100</v>
      </c>
      <c r="D95" s="1784">
        <v>99</v>
      </c>
      <c r="E95" s="1784">
        <v>98</v>
      </c>
      <c r="F95" s="1784"/>
      <c r="G95" s="1784"/>
      <c r="H95" s="1784"/>
      <c r="I95" s="1784"/>
      <c r="J95" s="1784"/>
      <c r="K95" s="1784"/>
      <c r="L95" s="1784"/>
      <c r="M95" s="1785"/>
      <c r="N95" s="2934"/>
      <c r="O95" s="2934"/>
      <c r="P95" s="1781"/>
      <c r="Q95" s="1750"/>
    </row>
    <row r="96" spans="1:17" ht="14.4" thickTop="1">
      <c r="A96" s="1782"/>
      <c r="B96" s="1787">
        <f>B30</f>
        <v>111</v>
      </c>
      <c r="C96" s="468"/>
      <c r="D96" s="468"/>
      <c r="E96" s="468"/>
      <c r="F96" s="468"/>
      <c r="G96" s="1506"/>
      <c r="H96" s="1506"/>
      <c r="I96" s="1506"/>
      <c r="J96" s="1506"/>
      <c r="K96" s="473"/>
      <c r="L96" s="473"/>
      <c r="M96" s="1822"/>
      <c r="N96" s="2933"/>
      <c r="O96" s="2933"/>
      <c r="P96" s="1781"/>
      <c r="Q96" s="1750"/>
    </row>
    <row r="97" spans="1:17" ht="14.4" thickBot="1">
      <c r="A97" s="1782"/>
      <c r="B97" s="1790"/>
      <c r="C97" s="1803"/>
      <c r="D97" s="1784"/>
      <c r="E97" s="1784"/>
      <c r="F97" s="1784"/>
      <c r="G97" s="1784"/>
      <c r="H97" s="1784"/>
      <c r="I97" s="1784"/>
      <c r="J97" s="1784"/>
      <c r="K97" s="1784"/>
      <c r="L97" s="1784"/>
      <c r="M97" s="1785"/>
      <c r="N97" s="2934"/>
      <c r="O97" s="2934"/>
      <c r="P97" s="1781"/>
      <c r="Q97" s="1750"/>
    </row>
    <row r="98" spans="1:17" ht="14.4" thickTop="1">
      <c r="A98" s="1782"/>
      <c r="B98" s="1793">
        <f>B31</f>
        <v>111</v>
      </c>
      <c r="C98" s="468"/>
      <c r="D98" s="468"/>
      <c r="E98" s="468"/>
      <c r="F98" s="468"/>
      <c r="G98" s="1823"/>
      <c r="H98" s="1823"/>
      <c r="I98" s="1823"/>
      <c r="J98" s="1823"/>
      <c r="K98" s="477"/>
      <c r="L98" s="477"/>
      <c r="M98" s="1824"/>
      <c r="N98" s="2933"/>
      <c r="O98" s="2933"/>
      <c r="P98" s="1781"/>
      <c r="Q98" s="1750"/>
    </row>
    <row r="99" spans="1:17" ht="14.4" thickBot="1">
      <c r="A99" s="1825"/>
      <c r="B99" s="1810"/>
      <c r="C99" s="1811"/>
      <c r="D99" s="1811"/>
      <c r="E99" s="1811"/>
      <c r="F99" s="1811"/>
      <c r="G99" s="1826"/>
      <c r="H99" s="1826"/>
      <c r="I99" s="1826"/>
      <c r="J99" s="1826"/>
      <c r="K99" s="1826"/>
      <c r="L99" s="1826"/>
      <c r="M99" s="1827"/>
      <c r="N99" s="2934"/>
      <c r="O99" s="2934"/>
      <c r="P99" s="1781"/>
      <c r="Q99" s="1750"/>
    </row>
    <row r="100" spans="1:17" ht="14.4">
      <c r="A100" s="1775" t="s">
        <v>2034</v>
      </c>
      <c r="B100" s="1776" t="s">
        <v>2138</v>
      </c>
      <c r="C100" s="3338" t="s">
        <v>3078</v>
      </c>
      <c r="D100" s="3338" t="s">
        <v>3079</v>
      </c>
      <c r="E100" s="3338" t="s">
        <v>3081</v>
      </c>
      <c r="F100" s="1778"/>
      <c r="G100" s="1778"/>
      <c r="H100" s="1778"/>
      <c r="I100" s="1778"/>
      <c r="J100" s="1778"/>
      <c r="K100" s="417"/>
      <c r="L100" s="417"/>
      <c r="M100" s="1779"/>
      <c r="N100" s="2933"/>
      <c r="O100" s="2933"/>
      <c r="P100" s="1781"/>
      <c r="Q100" s="1750"/>
    </row>
    <row r="101" spans="1:17" ht="14.4" thickBot="1">
      <c r="A101" s="1782"/>
      <c r="B101" s="1790"/>
      <c r="C101" s="1791">
        <v>100</v>
      </c>
      <c r="D101" s="1791">
        <f t="shared" ref="D101:M101" si="21">C101-$K32</f>
        <v>97</v>
      </c>
      <c r="E101" s="1791">
        <f t="shared" si="21"/>
        <v>94</v>
      </c>
      <c r="F101" s="1791">
        <f t="shared" si="21"/>
        <v>91</v>
      </c>
      <c r="G101" s="1791">
        <f t="shared" si="21"/>
        <v>88</v>
      </c>
      <c r="H101" s="1791">
        <f t="shared" si="21"/>
        <v>85</v>
      </c>
      <c r="I101" s="1791">
        <f t="shared" si="21"/>
        <v>82</v>
      </c>
      <c r="J101" s="1791">
        <f t="shared" si="21"/>
        <v>79</v>
      </c>
      <c r="K101" s="1791">
        <f t="shared" si="21"/>
        <v>76</v>
      </c>
      <c r="L101" s="1791">
        <f t="shared" si="21"/>
        <v>73</v>
      </c>
      <c r="M101" s="1792">
        <f t="shared" si="21"/>
        <v>70</v>
      </c>
      <c r="N101" s="2934"/>
      <c r="O101" s="2934"/>
      <c r="P101" s="1781"/>
      <c r="Q101" s="1750"/>
    </row>
    <row r="102" spans="1:17" ht="15" thickTop="1">
      <c r="A102" s="1782"/>
      <c r="B102" s="1787" t="s">
        <v>2084</v>
      </c>
      <c r="C102" s="579" t="str">
        <f>C103&amp;"(含)"&amp;"-"&amp;D103</f>
        <v>0(含)-50</v>
      </c>
      <c r="D102" s="579" t="str">
        <f t="shared" ref="D102:L102" si="22">D103&amp;"(含)"&amp;"-"&amp;E103</f>
        <v>50(含)-100</v>
      </c>
      <c r="E102" s="579" t="str">
        <f t="shared" si="22"/>
        <v>100(含)-200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v>0</v>
      </c>
      <c r="D103" s="1830">
        <v>50</v>
      </c>
      <c r="E103" s="1830">
        <v>100</v>
      </c>
      <c r="F103" s="1830">
        <v>200</v>
      </c>
      <c r="G103" s="1830">
        <v>300</v>
      </c>
      <c r="H103" s="1830"/>
      <c r="I103" s="1830"/>
      <c r="J103" s="485"/>
      <c r="K103" s="485"/>
      <c r="L103" s="485"/>
      <c r="M103" s="1831"/>
      <c r="N103" s="2935"/>
      <c r="O103" s="2935"/>
      <c r="P103" s="1801"/>
      <c r="Q103" s="1802"/>
    </row>
    <row r="104" spans="1:17" s="1700" customFormat="1" ht="14.4" thickBot="1">
      <c r="A104" s="1798"/>
      <c r="B104" s="1790"/>
      <c r="C104" s="1803">
        <v>100</v>
      </c>
      <c r="D104" s="1784">
        <v>99</v>
      </c>
      <c r="E104" s="1784">
        <v>98</v>
      </c>
      <c r="F104" s="1784">
        <v>97</v>
      </c>
      <c r="G104" s="1784">
        <v>96</v>
      </c>
      <c r="H104" s="1784"/>
      <c r="I104" s="1784"/>
      <c r="J104" s="1784"/>
      <c r="K104" s="1784"/>
      <c r="L104" s="1784"/>
      <c r="M104" s="1785"/>
      <c r="N104" s="2934"/>
      <c r="O104" s="2934"/>
      <c r="P104" s="1801"/>
      <c r="Q104" s="1802"/>
    </row>
    <row r="105" spans="1:17" ht="15" thickTop="1">
      <c r="A105" s="1832"/>
      <c r="B105" s="1787" t="s">
        <v>2085</v>
      </c>
      <c r="C105" s="3337" t="s">
        <v>3082</v>
      </c>
      <c r="D105" s="468"/>
      <c r="E105" s="1506"/>
      <c r="F105" s="1506"/>
      <c r="G105" s="1506"/>
      <c r="H105" s="1506"/>
      <c r="I105" s="1506"/>
      <c r="J105" s="1506"/>
      <c r="K105" s="473"/>
      <c r="L105" s="473"/>
      <c r="M105" s="1822"/>
      <c r="N105" s="2933"/>
      <c r="O105" s="2933"/>
      <c r="P105" s="1781"/>
      <c r="Q105" s="1750"/>
    </row>
    <row r="106" spans="1:17" ht="14.4"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4"/>
      <c r="O106" s="2934"/>
      <c r="P106" s="1781"/>
      <c r="Q106" s="1750"/>
    </row>
    <row r="107" spans="1:17" ht="15" thickTop="1">
      <c r="A107" s="1832"/>
      <c r="B107" s="1787" t="s">
        <v>2087</v>
      </c>
      <c r="C107" s="3337" t="s">
        <v>3083</v>
      </c>
      <c r="D107" s="468"/>
      <c r="E107" s="468"/>
      <c r="F107" s="1506"/>
      <c r="G107" s="1506"/>
      <c r="H107" s="1506"/>
      <c r="I107" s="1506"/>
      <c r="J107" s="1506"/>
      <c r="K107" s="473"/>
      <c r="L107" s="473"/>
      <c r="M107" s="1822"/>
      <c r="N107" s="2933"/>
      <c r="O107" s="2933"/>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4.4"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4"/>
      <c r="O111" s="2934"/>
      <c r="P111" s="1781"/>
      <c r="Q111" s="1750"/>
    </row>
    <row r="112" spans="1:17" s="1700" customFormat="1" ht="15" thickTop="1">
      <c r="A112" s="1828"/>
      <c r="B112" s="1787" t="s">
        <v>2090</v>
      </c>
      <c r="C112" s="3337" t="s">
        <v>3084</v>
      </c>
      <c r="D112" s="3337" t="s">
        <v>3085</v>
      </c>
      <c r="E112" s="468"/>
      <c r="F112" s="468"/>
      <c r="G112" s="468"/>
      <c r="H112" s="1506"/>
      <c r="I112" s="1506"/>
      <c r="J112" s="1506"/>
      <c r="K112" s="473"/>
      <c r="L112" s="473"/>
      <c r="M112" s="1822"/>
      <c r="N112" s="2935"/>
      <c r="O112" s="2935"/>
      <c r="P112" s="1801"/>
      <c r="Q112" s="1802"/>
    </row>
    <row r="113" spans="1:17" s="1700" customFormat="1" ht="14.4" thickBot="1">
      <c r="A113" s="1798"/>
      <c r="B113" s="1790"/>
      <c r="C113" s="1791">
        <v>100</v>
      </c>
      <c r="D113" s="1791">
        <f>C113-$K37</f>
        <v>98</v>
      </c>
      <c r="E113" s="1791">
        <f t="shared" ref="E113:M113" si="26">D113-$K37</f>
        <v>96</v>
      </c>
      <c r="F113" s="1791">
        <f t="shared" si="26"/>
        <v>94</v>
      </c>
      <c r="G113" s="1791">
        <f t="shared" si="26"/>
        <v>92</v>
      </c>
      <c r="H113" s="1791">
        <f t="shared" si="26"/>
        <v>90</v>
      </c>
      <c r="I113" s="1791">
        <f t="shared" si="26"/>
        <v>88</v>
      </c>
      <c r="J113" s="1791">
        <f t="shared" si="26"/>
        <v>86</v>
      </c>
      <c r="K113" s="1791">
        <f t="shared" si="26"/>
        <v>84</v>
      </c>
      <c r="L113" s="1791">
        <f t="shared" si="26"/>
        <v>82</v>
      </c>
      <c r="M113" s="1791">
        <f t="shared" si="26"/>
        <v>80</v>
      </c>
      <c r="N113" s="2935"/>
      <c r="O113" s="2935"/>
      <c r="P113" s="1801"/>
      <c r="Q113" s="1802"/>
    </row>
    <row r="114" spans="1:17" ht="15" thickTop="1">
      <c r="A114" s="1832"/>
      <c r="B114" s="1787" t="s">
        <v>2139</v>
      </c>
      <c r="C114" s="3337" t="s">
        <v>3087</v>
      </c>
      <c r="D114" s="3337" t="s">
        <v>3088</v>
      </c>
      <c r="E114" s="1506"/>
      <c r="F114" s="1506"/>
      <c r="G114" s="1506"/>
      <c r="H114" s="1506"/>
      <c r="I114" s="1506"/>
      <c r="J114" s="1506"/>
      <c r="K114" s="473"/>
      <c r="L114" s="473"/>
      <c r="M114" s="1822"/>
      <c r="N114" s="2933"/>
      <c r="O114" s="2933"/>
      <c r="P114" s="1781"/>
      <c r="Q114" s="1750"/>
    </row>
    <row r="115" spans="1:17" ht="14.4"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4"/>
      <c r="O115" s="2934"/>
      <c r="P115" s="1781"/>
      <c r="Q115" s="1750"/>
    </row>
    <row r="116" spans="1:17" ht="15" thickTop="1">
      <c r="A116" s="1832"/>
      <c r="B116" s="1787" t="s">
        <v>2140</v>
      </c>
      <c r="C116" s="3337" t="s">
        <v>3090</v>
      </c>
      <c r="D116" s="3337" t="s">
        <v>3092</v>
      </c>
      <c r="E116" s="468"/>
      <c r="F116" s="468"/>
      <c r="G116" s="468"/>
      <c r="H116" s="1506"/>
      <c r="I116" s="1506"/>
      <c r="J116" s="1506"/>
      <c r="K116" s="473"/>
      <c r="L116" s="473"/>
      <c r="M116" s="1822"/>
      <c r="N116" s="2933"/>
      <c r="O116" s="2933"/>
      <c r="P116" s="1781"/>
      <c r="Q116" s="1750"/>
    </row>
    <row r="117" spans="1:17" ht="14.4" thickBot="1">
      <c r="A117" s="1782"/>
      <c r="B117" s="1790"/>
      <c r="C117" s="1791">
        <v>100</v>
      </c>
      <c r="D117" s="1791">
        <f>C117-$K39</f>
        <v>90</v>
      </c>
      <c r="E117" s="1791">
        <f>D117-$K39</f>
        <v>80</v>
      </c>
      <c r="F117" s="1791">
        <f>E117-$K39</f>
        <v>70</v>
      </c>
      <c r="G117" s="1791">
        <f>F117-$K39</f>
        <v>60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4.4"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3337" t="s">
        <v>3083</v>
      </c>
      <c r="D122" s="3337" t="s">
        <v>3094</v>
      </c>
      <c r="E122" s="3337" t="s">
        <v>3095</v>
      </c>
      <c r="F122" s="3339" t="s">
        <v>3096</v>
      </c>
      <c r="G122" s="1506"/>
      <c r="H122" s="1506"/>
      <c r="I122" s="1506"/>
      <c r="J122" s="1506"/>
      <c r="K122" s="473"/>
      <c r="L122" s="473"/>
      <c r="M122" s="1822"/>
      <c r="N122" s="2933"/>
      <c r="O122" s="2933"/>
      <c r="P122" s="1781"/>
      <c r="Q122" s="1750"/>
    </row>
    <row r="123" spans="1:17" ht="14.4"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4"/>
      <c r="O123" s="2934"/>
      <c r="P123" s="1781"/>
      <c r="Q123" s="1750"/>
    </row>
    <row r="124" spans="1:17" ht="29.4"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4.4"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4"/>
      <c r="O125" s="2934"/>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5"/>
      <c r="O127" s="2935"/>
      <c r="P127" s="1801"/>
      <c r="Q127" s="1802"/>
    </row>
    <row r="128" spans="1:17" ht="14.4"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4.4" thickBot="1">
      <c r="A129" s="1782"/>
      <c r="B129" s="1790"/>
      <c r="C129" s="1803"/>
      <c r="D129" s="1784"/>
      <c r="E129" s="1784"/>
      <c r="F129" s="1784"/>
      <c r="G129" s="1784"/>
      <c r="H129" s="1784"/>
      <c r="I129" s="1784"/>
      <c r="J129" s="1784"/>
      <c r="K129" s="1784"/>
      <c r="L129" s="1784"/>
      <c r="M129" s="1785"/>
      <c r="N129" s="2934"/>
      <c r="O129" s="2934"/>
      <c r="P129" s="1781"/>
      <c r="Q129" s="1750"/>
    </row>
    <row r="130" spans="1:17" ht="14.4"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4.4"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M77" sqref="M77"/>
    </sheetView>
  </sheetViews>
  <sheetFormatPr defaultRowHeight="14.4"/>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500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6023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1282061.0000000002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1500*D10</f>
        <v>1244115.0000000002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37946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829.41000000000008</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165882</v>
      </c>
      <c r="D19" s="1104">
        <f>IF(B1="仅计算典型户型",'数据-取费表'!E5,'数据-取费表'!B5)</f>
        <v>829.41000000000008</v>
      </c>
      <c r="E19" s="111">
        <f>'数据-取费表'!E15</f>
        <v>200</v>
      </c>
      <c r="F19" s="112"/>
      <c r="G19" s="1446"/>
    </row>
    <row r="20" spans="1:123" s="91" customFormat="1" ht="13.5" customHeight="1">
      <c r="A20" s="120" t="s">
        <v>1702</v>
      </c>
      <c r="B20" s="89" t="s">
        <v>1703</v>
      </c>
      <c r="C20" s="99">
        <f>ROUND((C5+C19)*F20,0)</f>
        <v>28959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125398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109955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14227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1216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221535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221535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1974275</v>
      </c>
      <c r="D31" s="1104"/>
      <c r="E31" s="111"/>
      <c r="F31" s="1105"/>
      <c r="G31" s="100" t="s">
        <v>1729</v>
      </c>
    </row>
    <row r="32" spans="1:123" s="88" customFormat="1" ht="16.2">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2766082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2488230</v>
      </c>
      <c r="D34" s="1096"/>
      <c r="E34" s="115"/>
      <c r="F34" s="1107" t="str">
        <f>IF('数据-取费表'!B26=0,"",'数据-取费表'!E20)</f>
        <v/>
      </c>
      <c r="G34" s="95"/>
    </row>
    <row r="35" spans="1:123" ht="13.5" customHeight="1">
      <c r="A35" s="92" t="s">
        <v>1685</v>
      </c>
      <c r="B35" s="93" t="s">
        <v>1734</v>
      </c>
      <c r="C35" s="115">
        <f>ROUND(C34*F35,0)</f>
        <v>74647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165882</v>
      </c>
      <c r="D37" s="1096">
        <f>IF(B1="仅计算典型户型",'数据-取费表'!E5,'数据-取费表'!B5)</f>
        <v>829.41000000000008</v>
      </c>
      <c r="E37" s="115">
        <f>'数据-取费表'!E23</f>
        <v>200</v>
      </c>
      <c r="F37" s="1108"/>
      <c r="G37" s="124" t="s">
        <v>1739</v>
      </c>
    </row>
    <row r="38" spans="1:123" ht="13.5" customHeight="1">
      <c r="A38" s="92" t="s">
        <v>1740</v>
      </c>
      <c r="B38" s="93" t="s">
        <v>1741</v>
      </c>
      <c r="C38" s="115">
        <f>ROUND(C34*F38,0)</f>
        <v>37323</v>
      </c>
      <c r="D38" s="115"/>
      <c r="E38" s="115"/>
      <c r="F38" s="1108">
        <f>'数据-取费表'!E24</f>
        <v>1.4999999999999999E-2</v>
      </c>
      <c r="G38" s="95" t="s">
        <v>1735</v>
      </c>
    </row>
    <row r="39" spans="1:123" s="91" customFormat="1" ht="13.5" customHeight="1">
      <c r="A39" s="120" t="s">
        <v>1700</v>
      </c>
      <c r="B39" s="89" t="s">
        <v>1703</v>
      </c>
      <c r="C39" s="99">
        <f>ROUND(C33*F20,0)</f>
        <v>55322</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118499</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116175</v>
      </c>
      <c r="D42" s="104"/>
      <c r="E42" s="104"/>
      <c r="F42" s="105"/>
      <c r="G42" s="3619" t="s">
        <v>1745</v>
      </c>
    </row>
    <row r="43" spans="1:123" ht="13.5" customHeight="1">
      <c r="A43" s="92" t="s">
        <v>1685</v>
      </c>
      <c r="B43" s="93" t="s">
        <v>1714</v>
      </c>
      <c r="C43" s="104">
        <f ca="1">ROUND(IF('数据-取费表'!B24&lt;=1,C39*F22*'数据-取费表'!B23/2,C39*(POWER((1+F22),'数据-取费表'!B23/2)-1)),0)</f>
        <v>2324</v>
      </c>
      <c r="D43" s="104"/>
      <c r="E43" s="104"/>
      <c r="F43" s="105"/>
      <c r="G43" s="3620"/>
    </row>
    <row r="44" spans="1:123" ht="13.5" customHeight="1">
      <c r="A44" s="92" t="s">
        <v>1687</v>
      </c>
      <c r="B44" s="93" t="s">
        <v>1716</v>
      </c>
      <c r="C44" s="104">
        <f ca="1">ROUND(IF('数据-取费表'!B24&lt;=1,C40*F22*'数据-取费表'!B23/2,C40*(POWER((1+F22),'数据-取费表'!B23/2)-1)),4)</f>
        <v>8.0000000000000004E-4</v>
      </c>
      <c r="D44" s="104"/>
      <c r="E44" s="104"/>
      <c r="F44" s="105"/>
      <c r="G44" s="3621"/>
    </row>
    <row r="45" spans="1:123" s="91" customFormat="1" ht="13.5" customHeight="1">
      <c r="A45" s="120" t="s">
        <v>1709</v>
      </c>
      <c r="B45" s="110" t="s">
        <v>1721</v>
      </c>
      <c r="C45" s="111">
        <f>C46</f>
        <v>423211</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423211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3640522</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3021633</v>
      </c>
      <c r="D51" s="99"/>
      <c r="E51" s="99"/>
      <c r="F51" s="126"/>
      <c r="G51" s="100" t="s">
        <v>1759</v>
      </c>
    </row>
    <row r="52" spans="1:123" s="88" customFormat="1" ht="16.8" thickBot="1">
      <c r="A52" s="127" t="s">
        <v>1760</v>
      </c>
      <c r="B52" s="128"/>
      <c r="C52" s="129">
        <f ca="1">C31+C51</f>
        <v>4995908</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0.60499999999999998</v>
      </c>
    </row>
    <row r="57" spans="1:123">
      <c r="B57" s="135" t="s">
        <v>1763</v>
      </c>
      <c r="C57" s="137">
        <f ca="1">1-C56</f>
        <v>0.39500000000000002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347</v>
      </c>
      <c r="C2" s="1329"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24770</v>
      </c>
      <c r="C3" s="1329" t="s">
        <v>1050</v>
      </c>
      <c r="D3" s="882"/>
      <c r="E3" s="882"/>
      <c r="F3" s="882"/>
      <c r="G3" s="882"/>
      <c r="H3" s="882"/>
      <c r="I3" s="882"/>
      <c r="J3" s="882"/>
      <c r="K3" s="882"/>
    </row>
    <row r="4" spans="1:33" s="143" customFormat="1" ht="16.5" customHeight="1">
      <c r="A4" s="140" t="s">
        <v>1051</v>
      </c>
      <c r="B4" s="141"/>
      <c r="C4" s="1052">
        <f>SUM(C8:K8)</f>
        <v>4898600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139.96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4898600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419880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12596</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4759</v>
      </c>
      <c r="D14" s="164">
        <f>IF(C1="仅计算典型户型",'数据-取费表'!E5,'数据-取费表'!B5)</f>
        <v>139.96</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6298</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443533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139.96</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139.96</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443533</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8871</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16655</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70359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70359</v>
      </c>
      <c r="D30" s="193"/>
      <c r="E30" s="206"/>
      <c r="F30" s="203"/>
      <c r="G30" s="147"/>
      <c r="H30" s="170"/>
      <c r="I30" s="170"/>
      <c r="J30" s="170"/>
      <c r="K30" s="171"/>
    </row>
    <row r="31" spans="1:33" s="182" customFormat="1" ht="13.5" customHeight="1" thickBot="1">
      <c r="A31" s="1331" t="s">
        <v>1107</v>
      </c>
      <c r="B31" s="177" t="s">
        <v>1108</v>
      </c>
      <c r="C31" s="207">
        <f>ROUND(C4*F31/(1+'数据-取费表'!F30),0)</f>
        <v>256593</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3466781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80" zoomScaleNormal="60" zoomScaleSheetLayoutView="80" workbookViewId="0">
      <selection activeCell="F42" sqref="F42"/>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7.4414062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3032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7324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78259</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78161</v>
      </c>
      <c r="D6" s="36" t="s">
        <v>2460</v>
      </c>
      <c r="E6" s="235" t="s">
        <v>1776</v>
      </c>
      <c r="F6" s="236">
        <f>'数据-取费表'!B30</f>
        <v>1.8</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139.96</v>
      </c>
      <c r="G7" s="3330">
        <f>F6*(1-F9)</f>
        <v>1.53</v>
      </c>
      <c r="H7" s="237"/>
      <c r="I7" s="238"/>
      <c r="J7" s="239"/>
      <c r="K7" s="240"/>
      <c r="L7" s="235" t="s">
        <v>1777</v>
      </c>
      <c r="M7" s="236">
        <f>IF('数据-取费表'!B42="",IF(D1="仅计算典型户型",'数据-取费表'!E5,'数据-取费表'!B5),'数据-取费表'!B42)</f>
        <v>139.96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98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509888</v>
      </c>
      <c r="D13" s="1023" t="s">
        <v>1791</v>
      </c>
      <c r="E13" s="1023" t="s">
        <v>1792</v>
      </c>
      <c r="F13" s="1024">
        <f>'数据-取费表'!E20</f>
        <v>0.83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419880</v>
      </c>
      <c r="D14" s="1256" t="s">
        <v>1795</v>
      </c>
      <c r="E14" s="1257"/>
      <c r="F14" s="757"/>
      <c r="G14" s="910"/>
      <c r="H14" s="253" t="s">
        <v>1774</v>
      </c>
      <c r="I14" s="235" t="s">
        <v>1796</v>
      </c>
      <c r="J14" s="13">
        <f ca="1">C29</f>
        <v>614323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12596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t="e">
        <f ca="1">ROUND(J17+J22+J23+J24,0)</f>
        <v>#VALUE!</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27992</v>
      </c>
      <c r="D17" s="235" t="s">
        <v>1809</v>
      </c>
      <c r="E17" s="235" t="s">
        <v>1810</v>
      </c>
      <c r="F17" s="15">
        <f>'数据-取费表'!E23</f>
        <v>200</v>
      </c>
      <c r="G17" s="910"/>
      <c r="H17" s="253" t="s">
        <v>1811</v>
      </c>
      <c r="I17" s="235" t="s">
        <v>1812</v>
      </c>
      <c r="J17" s="2744" t="e">
        <f>ROUND(IF(AND(项目基本情况!B7="自然人",项目基本情况!B6="北京市"),J6*M17/(1+'数据-取费表'!F30),J18+J19+J20),0)</f>
        <v>#VALUE!</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6298</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466766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9335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3</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6143</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19996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t="e">
        <f ca="1">J5-J16</f>
        <v>#VALUE!</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71415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614323</v>
      </c>
      <c r="D29" s="1034"/>
      <c r="E29" s="1032"/>
      <c r="F29" s="1035"/>
      <c r="G29" s="652"/>
      <c r="H29" s="271" t="s">
        <v>24</v>
      </c>
      <c r="I29" s="272" t="s">
        <v>1869</v>
      </c>
      <c r="J29" s="273">
        <f ca="1">ROUND(J26/(1+F40)^F41,0)</f>
        <v>0</v>
      </c>
      <c r="K29" s="274" t="s">
        <v>1870</v>
      </c>
      <c r="L29" s="275"/>
      <c r="M29" s="276">
        <f>IF(D1="仅计算典型户型",'数据-取费表'!E5,'数据-取费表'!B5)</f>
        <v>139.96</v>
      </c>
    </row>
    <row r="30" spans="1:37" ht="18" customHeight="1" thickTop="1">
      <c r="A30" s="1021" t="s">
        <v>14</v>
      </c>
      <c r="B30" s="1022" t="s">
        <v>1871</v>
      </c>
      <c r="C30" s="243">
        <f ca="1">ROUND(C31+C36+C37+C38,0)</f>
        <v>16425</v>
      </c>
      <c r="D30" s="1028" t="s">
        <v>1872</v>
      </c>
      <c r="E30" s="1029"/>
      <c r="F30" s="1030"/>
      <c r="G30" s="652"/>
      <c r="H30" s="889"/>
      <c r="I30" s="890"/>
      <c r="J30" s="891"/>
      <c r="K30" s="892"/>
      <c r="L30" s="893"/>
      <c r="M30" s="894"/>
    </row>
    <row r="31" spans="1:37" ht="18" customHeight="1">
      <c r="A31" s="253" t="s">
        <v>1774</v>
      </c>
      <c r="B31" s="235" t="s">
        <v>1812</v>
      </c>
      <c r="C31" s="2744">
        <f>C32+C33</f>
        <v>8989</v>
      </c>
      <c r="D31" s="1256" t="s">
        <v>1873</v>
      </c>
      <c r="E31" s="1259" t="s">
        <v>1874</v>
      </c>
      <c r="F31" s="2743">
        <v>0.115</v>
      </c>
      <c r="G31" s="652"/>
      <c r="H31" s="889"/>
      <c r="I31" s="890"/>
      <c r="J31" s="891"/>
      <c r="K31" s="892"/>
      <c r="L31" s="893"/>
      <c r="M31" s="894"/>
    </row>
    <row r="32" spans="1:37" ht="18" customHeight="1">
      <c r="A32" s="253" t="s">
        <v>1793</v>
      </c>
      <c r="B32" s="235" t="s">
        <v>1875</v>
      </c>
      <c r="C32" s="13">
        <f>ROUND(C6*F32,0)</f>
        <v>4299</v>
      </c>
      <c r="D32" s="3326" t="s">
        <v>3049</v>
      </c>
      <c r="E32" s="235" t="s">
        <v>1825</v>
      </c>
      <c r="F32" s="267">
        <f>'数据-取费表'!E29</f>
        <v>5.5000000000000007E-2</v>
      </c>
      <c r="G32" s="652"/>
      <c r="H32" s="895"/>
      <c r="I32" s="896"/>
      <c r="J32" s="897"/>
      <c r="K32" s="898"/>
      <c r="L32" s="899"/>
      <c r="M32" s="900"/>
    </row>
    <row r="33" spans="1:18" ht="18" customHeight="1">
      <c r="A33" s="253" t="s">
        <v>1797</v>
      </c>
      <c r="B33" s="235" t="s">
        <v>1821</v>
      </c>
      <c r="C33" s="13">
        <f>ROUND(C6*F33,0)</f>
        <v>4690</v>
      </c>
      <c r="D33" s="1364" t="s">
        <v>2631</v>
      </c>
      <c r="E33" s="235" t="s">
        <v>1800</v>
      </c>
      <c r="F33" s="258">
        <v>0.06</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3</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2570</v>
      </c>
      <c r="H35" s="889"/>
      <c r="I35" s="282" t="s">
        <v>1879</v>
      </c>
      <c r="J35" s="283">
        <f>'数据-取费表'!B18</f>
        <v>0</v>
      </c>
      <c r="K35" s="902"/>
      <c r="L35" s="901"/>
      <c r="M35" s="901"/>
    </row>
    <row r="36" spans="1:18" ht="18" customHeight="1">
      <c r="A36" s="1018" t="s">
        <v>1781</v>
      </c>
      <c r="B36" s="235" t="s">
        <v>1880</v>
      </c>
      <c r="C36" s="13">
        <f ca="1">ROUND(C29*F36,0)</f>
        <v>6143</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510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783</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61834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988657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3028</v>
      </c>
      <c r="F41" s="270">
        <f>IF('数据-取费表'!B29="租赁期内按合同租金",'数据-取费表'!B35,IF(E41="收益年期(n)",'数据-取费表'!B34,'数据-取费表'!B13))</f>
        <v>26.4</v>
      </c>
      <c r="H41" s="908"/>
      <c r="I41" s="135" t="s">
        <v>1762</v>
      </c>
      <c r="J41" s="136">
        <f ca="1">ROUND(C13/C40,3)</f>
        <v>0.51600000000000001</v>
      </c>
      <c r="K41" s="905"/>
      <c r="L41" s="908"/>
      <c r="M41" s="908"/>
      <c r="Q41" s="656"/>
    </row>
    <row r="42" spans="1:18" s="652" customFormat="1" ht="18" customHeight="1">
      <c r="A42" s="241"/>
      <c r="B42" s="242"/>
      <c r="C42" s="243"/>
      <c r="D42" s="264"/>
      <c r="E42" s="235" t="s">
        <v>1866</v>
      </c>
      <c r="F42" s="245">
        <f>'数据-取费表'!B32</f>
        <v>1.4999999999999999E-2</v>
      </c>
      <c r="H42" s="908"/>
      <c r="I42" s="135" t="s">
        <v>1763</v>
      </c>
      <c r="J42" s="137">
        <f ca="1">1-J41</f>
        <v>0.48399999999999999</v>
      </c>
      <c r="K42" s="905"/>
      <c r="L42" s="908"/>
      <c r="M42" s="908"/>
      <c r="Q42" s="656"/>
    </row>
    <row r="43" spans="1:18" s="652" customFormat="1" ht="18" customHeight="1" thickBot="1">
      <c r="A43" s="271" t="s">
        <v>24</v>
      </c>
      <c r="B43" s="272" t="s">
        <v>1891</v>
      </c>
      <c r="C43" s="273">
        <f ca="1">ROUND(C40/F43,0)</f>
        <v>7064</v>
      </c>
      <c r="D43" s="274" t="s">
        <v>1892</v>
      </c>
      <c r="E43" s="275" t="s">
        <v>1893</v>
      </c>
      <c r="F43" s="276">
        <f>IF(D1="仅计算典型户型",'数据-取费表'!E5,'数据-取费表'!B5)</f>
        <v>139.96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988657</v>
      </c>
      <c r="R45" s="1008" t="s">
        <v>1900</v>
      </c>
    </row>
    <row r="46" spans="1:18" s="652" customFormat="1" ht="18" customHeight="1" thickBot="1">
      <c r="A46" s="649"/>
      <c r="D46" s="649"/>
      <c r="E46" s="649"/>
      <c r="F46" s="649"/>
      <c r="K46" s="653"/>
      <c r="O46" s="1005" t="s">
        <v>768</v>
      </c>
      <c r="P46" s="1006" t="s">
        <v>1901</v>
      </c>
      <c r="Q46" s="1007">
        <f ca="1">J61</f>
        <v>36414</v>
      </c>
      <c r="R46" s="1008" t="s">
        <v>1902</v>
      </c>
    </row>
    <row r="47" spans="1:18" s="652" customFormat="1" ht="22.2" thickBot="1">
      <c r="A47" s="1455" t="s">
        <v>1903</v>
      </c>
      <c r="C47" s="950" t="e">
        <f ca="1">IF(C2="元",C69-C40,ROUND((C69-C40)/10000,0))</f>
        <v>#VALUE!</v>
      </c>
      <c r="D47" s="1456" t="str">
        <f>C2</f>
        <v>万元</v>
      </c>
      <c r="E47" s="649"/>
      <c r="F47" s="649"/>
      <c r="I47" s="1457" t="s">
        <v>1904</v>
      </c>
      <c r="J47" s="981"/>
      <c r="K47" s="982"/>
      <c r="L47" s="995">
        <f ca="1">IF(M48="住宅",0,IF(L49&gt;J52,L61,J61))</f>
        <v>36414</v>
      </c>
      <c r="O47" s="1009" t="s">
        <v>769</v>
      </c>
      <c r="P47" s="1006" t="s">
        <v>1905</v>
      </c>
      <c r="Q47" s="1007">
        <f ca="1">C29</f>
        <v>614323</v>
      </c>
      <c r="R47" s="1008" t="s">
        <v>1900</v>
      </c>
    </row>
    <row r="48" spans="1:18" s="652" customFormat="1" ht="16.2" thickBot="1">
      <c r="A48" s="228" t="s">
        <v>1906</v>
      </c>
      <c r="B48" s="229" t="s">
        <v>1907</v>
      </c>
      <c r="C48" s="229" t="s">
        <v>1908</v>
      </c>
      <c r="D48" s="229" t="s">
        <v>1909</v>
      </c>
      <c r="E48" s="944" t="s">
        <v>1910</v>
      </c>
      <c r="F48" s="945"/>
      <c r="I48" s="1458" t="s">
        <v>1911</v>
      </c>
      <c r="J48" s="1459" t="s">
        <v>3029</v>
      </c>
      <c r="K48" s="1460" t="s">
        <v>1912</v>
      </c>
      <c r="L48" s="983">
        <f>'数据-取费表'!B11</f>
        <v>40</v>
      </c>
      <c r="M48" s="996" t="str">
        <f>IF('数据-取费表'!B10="住宅","住宅","非住宅")</f>
        <v>非住宅</v>
      </c>
      <c r="O48" s="1009" t="s">
        <v>770</v>
      </c>
      <c r="P48" s="1006" t="s">
        <v>1913</v>
      </c>
      <c r="Q48" s="1010">
        <f>J59</f>
        <v>0.4</v>
      </c>
      <c r="R48" s="1008"/>
    </row>
    <row r="49" spans="1:18" s="652" customFormat="1" ht="16.2" thickBot="1">
      <c r="A49" s="1056" t="s">
        <v>781</v>
      </c>
      <c r="B49" s="233" t="s">
        <v>1914</v>
      </c>
      <c r="C49" s="1057">
        <f ca="1">C50+C54+C56</f>
        <v>0</v>
      </c>
      <c r="D49" s="1058"/>
      <c r="E49" s="44"/>
      <c r="F49" s="15"/>
      <c r="I49" s="1461" t="s">
        <v>1915</v>
      </c>
      <c r="J49" s="1462" t="s">
        <v>3030</v>
      </c>
      <c r="K49" s="1463" t="s">
        <v>1916</v>
      </c>
      <c r="L49" s="821">
        <f>'数据-取费表'!B13</f>
        <v>26.4</v>
      </c>
      <c r="O49" s="1009" t="s">
        <v>771</v>
      </c>
      <c r="P49" s="1006" t="s">
        <v>1917</v>
      </c>
      <c r="Q49" s="1010">
        <f>J53</f>
        <v>7.4999999999999997E-2</v>
      </c>
      <c r="R49" s="1008"/>
    </row>
    <row r="50" spans="1:18" s="652" customFormat="1" ht="16.2" thickBot="1">
      <c r="A50" s="260" t="s">
        <v>1774</v>
      </c>
      <c r="B50" s="1370" t="s">
        <v>1918</v>
      </c>
      <c r="C50" s="234">
        <f>ROUND(F50*F52*F51*(1-F53),0)</f>
        <v>0</v>
      </c>
      <c r="D50" s="42" t="s">
        <v>2461</v>
      </c>
      <c r="E50" s="1464" t="s">
        <v>1919</v>
      </c>
      <c r="F50" s="946"/>
      <c r="I50" s="1461" t="s">
        <v>1920</v>
      </c>
      <c r="J50" s="821">
        <f>'数据-取费表'!B27</f>
        <v>2012</v>
      </c>
      <c r="K50" s="1465" t="s">
        <v>1921</v>
      </c>
      <c r="L50" s="984"/>
      <c r="O50" s="1009" t="s">
        <v>772</v>
      </c>
      <c r="P50" s="1006" t="s">
        <v>1922</v>
      </c>
      <c r="Q50" s="1007">
        <f>J54</f>
        <v>26.4</v>
      </c>
      <c r="R50" s="1008" t="s">
        <v>1923</v>
      </c>
    </row>
    <row r="51" spans="1:18" s="652" customFormat="1" ht="16.2" thickBot="1">
      <c r="A51" s="237"/>
      <c r="B51" s="238"/>
      <c r="C51" s="239"/>
      <c r="D51" s="240"/>
      <c r="E51" s="255" t="s">
        <v>1777</v>
      </c>
      <c r="F51" s="943">
        <f>F7</f>
        <v>139.96</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103</v>
      </c>
      <c r="R51" s="1008" t="s">
        <v>774</v>
      </c>
    </row>
    <row r="52" spans="1:18" s="652" customFormat="1" ht="16.2" thickBot="1">
      <c r="A52" s="237"/>
      <c r="B52" s="238"/>
      <c r="C52" s="239"/>
      <c r="D52" s="240"/>
      <c r="E52" s="235" t="s">
        <v>1779</v>
      </c>
      <c r="F52" s="236">
        <f>F8</f>
        <v>365</v>
      </c>
      <c r="I52" s="1466" t="s">
        <v>1926</v>
      </c>
      <c r="J52" s="986">
        <f>IF(J50="",J51,J50+J51-YEAR('数据-取费表'!B2))</f>
        <v>50</v>
      </c>
      <c r="K52" s="1467" t="s">
        <v>1927</v>
      </c>
      <c r="L52" s="987">
        <f ca="1">ROUND(-PV('数据-取费表'!B15,J52,(C40-C13*J35)),0)</f>
        <v>18048848</v>
      </c>
      <c r="O52" s="999" t="s">
        <v>1928</v>
      </c>
      <c r="P52" s="1000"/>
      <c r="Q52" s="996"/>
      <c r="R52" s="1000"/>
    </row>
    <row r="53" spans="1:18" s="652" customFormat="1" ht="16.2"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2468</v>
      </c>
      <c r="J54" s="989">
        <f>IF(M48="住宅",IF(E1="——",MAX(J52,L49),MAX(J52,L49-'数据-取费表'!B26)),IF(E1="——",MIN(J52,L49),MIN(J52,L49-'数据-取费表'!B26)))</f>
        <v>26.4</v>
      </c>
      <c r="K54" s="3622" t="s">
        <v>2459</v>
      </c>
      <c r="L54" s="3623"/>
      <c r="O54" s="1005" t="s">
        <v>767</v>
      </c>
      <c r="P54" s="1006" t="s">
        <v>1899</v>
      </c>
      <c r="Q54" s="1007">
        <f ca="1">C40+J29</f>
        <v>988657</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f>ROUND(IF(J48="钢混",J58/J51,1-(1-2%)*(J51-J58)/J51),3)</f>
        <v>0.39300000000000002</v>
      </c>
      <c r="K56" s="1474"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509888</v>
      </c>
      <c r="D57" s="941"/>
      <c r="E57" s="942"/>
      <c r="F57" s="949"/>
      <c r="I57" s="1475" t="s">
        <v>1936</v>
      </c>
      <c r="J57" s="993" t="s">
        <v>3031</v>
      </c>
      <c r="K57" s="1461" t="s">
        <v>1937</v>
      </c>
      <c r="L57" s="821" t="str">
        <f>IF(L49&lt;J52,"——",L49-J52)</f>
        <v>——</v>
      </c>
      <c r="O57" s="1009" t="s">
        <v>770</v>
      </c>
      <c r="P57" s="1006" t="s">
        <v>1938</v>
      </c>
      <c r="Q57" s="1010">
        <f>L53</f>
        <v>0</v>
      </c>
      <c r="R57" s="1008"/>
    </row>
    <row r="58" spans="1:18" s="652" customFormat="1" ht="31.8" thickBot="1">
      <c r="A58" s="948"/>
      <c r="B58" s="235" t="s">
        <v>1868</v>
      </c>
      <c r="C58" s="104">
        <f ca="1">C29</f>
        <v>614323</v>
      </c>
      <c r="D58" s="941"/>
      <c r="E58" s="942"/>
      <c r="F58" s="949"/>
      <c r="I58" s="1476" t="s">
        <v>1939</v>
      </c>
      <c r="J58" s="992">
        <f>IF(OR(M48="住宅",J52&lt;L49,J57="是"),"——",J52-L49)</f>
        <v>23.6</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t="e">
        <f ca="1">ROUND(C60+C65+C66+C67,0)</f>
        <v>#VALUE!</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4" t="e">
        <f>ROUND(IF(AND(项目基本情况!B7="自然人",项目基本情况!B6="北京市"),C50*F60/(1+'数据-取费表'!F30),C61+C62+C63),0)</f>
        <v>#VALUE!</v>
      </c>
      <c r="D60" s="1256" t="s">
        <v>1873</v>
      </c>
      <c r="E60" s="1259" t="s">
        <v>1874</v>
      </c>
      <c r="F60" s="2743">
        <f>IF(项目基本情况!B7="企业","——",IF('数据-取费表'!B10="住宅",IF(F50*F51*F52/12/(1+'数据-取费表'!F30)&gt;100000,4%,2.5%),IF(F50*F51*F52/12/(1+'数据-取费表'!F30)&gt;100000,12%,7%)))</f>
        <v>7.0000000000000007E-2</v>
      </c>
      <c r="I60" s="1476" t="s">
        <v>1946</v>
      </c>
      <c r="J60" s="992">
        <f ca="1">IF(OR(M48="住宅",J52&lt;L49,J57="是"),"——",ROUND(C29*J59,0))</f>
        <v>245729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99</v>
      </c>
      <c r="R60" s="1008" t="s">
        <v>774</v>
      </c>
    </row>
    <row r="61" spans="1:18" s="652" customFormat="1" ht="16.2"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36414</v>
      </c>
      <c r="K61" s="1478" t="s">
        <v>1948</v>
      </c>
      <c r="L61" s="991">
        <f>IF(OR(M48="住宅",L49&lt;J52),0,ROUND(L58*(L59/L60-1),0))</f>
        <v>0</v>
      </c>
      <c r="O61" s="999" t="s">
        <v>1949</v>
      </c>
      <c r="P61" s="1000"/>
      <c r="Q61" s="996"/>
      <c r="R61" s="1000"/>
    </row>
    <row r="62" spans="1:18" s="652" customFormat="1" ht="16.2"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0.06</v>
      </c>
      <c r="O62" s="1001" t="s">
        <v>1895</v>
      </c>
      <c r="P62" s="1002" t="s">
        <v>1896</v>
      </c>
      <c r="Q62" s="1003" t="s">
        <v>1897</v>
      </c>
      <c r="R62" s="1004" t="s">
        <v>1898</v>
      </c>
    </row>
    <row r="63" spans="1:18" s="652" customFormat="1" ht="16.2" thickBot="1">
      <c r="A63" s="260" t="s">
        <v>18</v>
      </c>
      <c r="B63" s="36" t="s">
        <v>1951</v>
      </c>
      <c r="C63" s="14" t="str">
        <f>IF(项目基本情况!B7="自然人","——",ROUND(F63*F64,0))</f>
        <v>——</v>
      </c>
      <c r="D63" s="261" t="s">
        <v>1952</v>
      </c>
      <c r="E63" s="235" t="s">
        <v>1953</v>
      </c>
      <c r="F63" s="262">
        <f t="shared" si="0"/>
        <v>3</v>
      </c>
      <c r="I63" s="1479" t="s">
        <v>1954</v>
      </c>
      <c r="J63" s="1251" t="s">
        <v>1955</v>
      </c>
      <c r="K63" s="1251" t="s">
        <v>1956</v>
      </c>
      <c r="L63" s="1251" t="s">
        <v>1957</v>
      </c>
      <c r="M63" s="1250" t="s">
        <v>1958</v>
      </c>
      <c r="O63" s="1005" t="s">
        <v>767</v>
      </c>
      <c r="P63" s="1006" t="s">
        <v>1899</v>
      </c>
      <c r="Q63" s="1007">
        <f ca="1">C40+J29</f>
        <v>988657</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6143</v>
      </c>
      <c r="D65" s="1259" t="s">
        <v>1881</v>
      </c>
      <c r="E65" s="235" t="s">
        <v>1825</v>
      </c>
      <c r="F65" s="265">
        <f t="shared" si="0"/>
        <v>0.01</v>
      </c>
      <c r="I65" s="1479" t="s">
        <v>1961</v>
      </c>
      <c r="J65" s="1251">
        <v>50</v>
      </c>
      <c r="K65" s="1251">
        <v>35</v>
      </c>
      <c r="L65" s="1251">
        <v>60</v>
      </c>
      <c r="M65" s="1250">
        <v>0</v>
      </c>
      <c r="O65" s="1009" t="s">
        <v>769</v>
      </c>
      <c r="P65" s="1006" t="s">
        <v>1935</v>
      </c>
      <c r="Q65" s="1011">
        <f ca="1">L52</f>
        <v>18048848</v>
      </c>
      <c r="R65" s="1012" t="s">
        <v>1962</v>
      </c>
    </row>
    <row r="66" spans="1:18" s="652" customFormat="1" ht="19.2" thickBot="1">
      <c r="A66" s="253" t="s">
        <v>20</v>
      </c>
      <c r="B66" s="235" t="s">
        <v>1840</v>
      </c>
      <c r="C66" s="13">
        <f ca="1">ROUND(C57*F66,0)</f>
        <v>510</v>
      </c>
      <c r="D66" s="1259" t="s">
        <v>1841</v>
      </c>
      <c r="E66" s="235" t="s">
        <v>1842</v>
      </c>
      <c r="F66" s="266">
        <f t="shared" si="0"/>
        <v>1E-3</v>
      </c>
      <c r="I66" s="1479" t="s">
        <v>1963</v>
      </c>
      <c r="J66" s="1251">
        <v>40</v>
      </c>
      <c r="K66" s="1251">
        <v>30</v>
      </c>
      <c r="L66" s="1251">
        <v>50</v>
      </c>
      <c r="M66" s="1249">
        <v>0.02</v>
      </c>
      <c r="O66" s="1009" t="s">
        <v>770</v>
      </c>
      <c r="P66" s="1013" t="s">
        <v>1964</v>
      </c>
      <c r="Q66" s="1007">
        <f ca="1">ROUND(Q67-Q68*Q69,0)</f>
        <v>61834</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61834</v>
      </c>
      <c r="R67" s="1008" t="s">
        <v>1900</v>
      </c>
    </row>
    <row r="68" spans="1:18" ht="24.6" thickBot="1">
      <c r="A68" s="248" t="s">
        <v>22</v>
      </c>
      <c r="B68" s="41" t="s">
        <v>1850</v>
      </c>
      <c r="C68" s="250" t="e">
        <f ca="1">C49-C59</f>
        <v>#VALUE!</v>
      </c>
      <c r="D68" s="1256" t="s">
        <v>1851</v>
      </c>
      <c r="E68" s="1258"/>
      <c r="F68" s="268"/>
      <c r="H68" s="652"/>
      <c r="I68" s="652"/>
      <c r="J68" s="652"/>
      <c r="K68" s="652"/>
      <c r="L68" s="652"/>
      <c r="M68" s="652"/>
      <c r="O68" s="1009" t="s">
        <v>776</v>
      </c>
      <c r="P68" s="1013" t="s">
        <v>1966</v>
      </c>
      <c r="Q68" s="1007">
        <f ca="1">C13</f>
        <v>509888</v>
      </c>
      <c r="R68" s="1008" t="s">
        <v>1900</v>
      </c>
    </row>
    <row r="69" spans="1:18" ht="16.2" thickBot="1">
      <c r="A69" s="232" t="s">
        <v>23</v>
      </c>
      <c r="B69" s="233" t="s">
        <v>1888</v>
      </c>
      <c r="C69" s="234" t="e">
        <f ca="1">ROUND(C68*(1-((1+F71)/(1+F69))^F70)/(F69-F71),0)</f>
        <v>#VALUE!</v>
      </c>
      <c r="D69" s="261" t="s">
        <v>1856</v>
      </c>
      <c r="E69" s="235" t="s">
        <v>1857</v>
      </c>
      <c r="F69" s="245">
        <f>F40</f>
        <v>5.5E-2</v>
      </c>
      <c r="H69" s="652"/>
      <c r="I69" s="652"/>
      <c r="J69" s="652"/>
      <c r="K69" s="652"/>
      <c r="L69" s="652"/>
      <c r="M69" s="652"/>
      <c r="O69" s="1009" t="s">
        <v>777</v>
      </c>
      <c r="P69" s="1013" t="s">
        <v>1967</v>
      </c>
      <c r="Q69" s="1010">
        <f>J35</f>
        <v>0</v>
      </c>
      <c r="R69" s="1008"/>
    </row>
    <row r="70" spans="1:18" ht="16.2" thickBot="1">
      <c r="A70" s="237"/>
      <c r="B70" s="238"/>
      <c r="C70" s="239"/>
      <c r="D70" s="269" t="s">
        <v>1890</v>
      </c>
      <c r="E70" s="235" t="s">
        <v>1862</v>
      </c>
      <c r="F70" s="270">
        <f>F41</f>
        <v>26.4</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t="e">
        <f ca="1">ROUND(C69/F72,0)</f>
        <v>#VALUE!</v>
      </c>
      <c r="D72" s="274" t="s">
        <v>1892</v>
      </c>
      <c r="E72" s="275" t="s">
        <v>1893</v>
      </c>
      <c r="F72" s="276">
        <f>F43</f>
        <v>139.96</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99</v>
      </c>
      <c r="R73" s="1008" t="s">
        <v>774</v>
      </c>
    </row>
    <row r="74" spans="1:18">
      <c r="A74" s="652"/>
      <c r="B74" s="656"/>
      <c r="C74" s="656"/>
      <c r="D74" s="652"/>
      <c r="E74" s="652"/>
      <c r="F74" s="652"/>
    </row>
    <row r="75" spans="1:18">
      <c r="A75" s="652"/>
      <c r="B75" s="656"/>
      <c r="C75" s="656"/>
      <c r="D75" s="652"/>
      <c r="E75" s="652"/>
      <c r="F75" s="652"/>
    </row>
  </sheetData>
  <sheetProtection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Q28" sqref="Q28"/>
    </sheetView>
  </sheetViews>
  <sheetFormatPr defaultColWidth="9" defaultRowHeight="13.2"/>
  <cols>
    <col min="1" max="1" width="12.33203125" style="32" customWidth="1"/>
    <col min="2" max="2" width="9.21875" style="16" customWidth="1"/>
    <col min="3" max="3" width="8.4414062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 ca="1">B23</f>
        <v>567</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f ca="1">B24</f>
        <v>6836</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7" t="s">
        <v>1973</v>
      </c>
      <c r="D4" s="3628"/>
      <c r="E4" s="3628"/>
      <c r="F4" s="3628"/>
      <c r="G4" s="3628"/>
      <c r="H4" s="3628"/>
      <c r="I4" s="3628"/>
      <c r="J4" s="3628"/>
      <c r="K4" s="3628"/>
      <c r="L4" s="3628"/>
      <c r="M4" s="3628"/>
      <c r="N4" s="3628"/>
      <c r="O4" s="3628"/>
      <c r="P4" s="3628"/>
      <c r="Q4" s="3628"/>
      <c r="R4" s="3628"/>
      <c r="S4" s="3629"/>
      <c r="T4" s="575" t="s">
        <v>1974</v>
      </c>
      <c r="U4" s="957"/>
      <c r="V4" s="957"/>
      <c r="X4" s="957"/>
      <c r="Y4" s="957"/>
    </row>
    <row r="5" spans="1:44" s="587" customFormat="1" ht="39.6">
      <c r="A5" s="961"/>
      <c r="B5" s="583" t="s">
        <v>1975</v>
      </c>
      <c r="C5" s="584" t="str">
        <f t="shared" ref="C5:L5" si="0">C6&amp;"(含)"&amp;"-"&amp;D6</f>
        <v>0(含)-50</v>
      </c>
      <c r="D5" s="585" t="str">
        <f t="shared" si="0"/>
        <v>50(含)-100</v>
      </c>
      <c r="E5" s="585" t="str">
        <f t="shared" si="0"/>
        <v>100(含)-200</v>
      </c>
      <c r="F5" s="585" t="str">
        <f t="shared" si="0"/>
        <v>200(含)-300</v>
      </c>
      <c r="G5" s="585" t="str">
        <f t="shared" si="0"/>
        <v>300(含)-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50</v>
      </c>
      <c r="E6" s="590">
        <v>100</v>
      </c>
      <c r="F6" s="590">
        <v>200</v>
      </c>
      <c r="G6" s="590">
        <v>300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v>100</v>
      </c>
      <c r="D7" s="842">
        <v>99</v>
      </c>
      <c r="E7" s="842">
        <v>98</v>
      </c>
      <c r="F7" s="842">
        <v>97</v>
      </c>
      <c r="G7" s="842">
        <v>96</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3327" t="s">
        <v>3050</v>
      </c>
      <c r="C16" s="3328" t="s">
        <v>3051</v>
      </c>
      <c r="D16" s="3329" t="s">
        <v>3053</v>
      </c>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v>100</v>
      </c>
      <c r="D17" s="867">
        <f>'比较法-商业'!D117</f>
        <v>90</v>
      </c>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t="s">
        <v>3035</v>
      </c>
      <c r="D20" s="966" t="s">
        <v>3036</v>
      </c>
      <c r="E20" s="966" t="s">
        <v>3037</v>
      </c>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v>100</v>
      </c>
      <c r="D21" s="978">
        <v>70</v>
      </c>
      <c r="E21" s="978">
        <v>60</v>
      </c>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1984</v>
      </c>
      <c r="B23" s="224">
        <f ca="1">IF(F23="——",IF(C23="万元",T25,S25),IF(C23="万元",T25-H23,S25-H23))</f>
        <v>567</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1985</v>
      </c>
      <c r="B24" s="224">
        <f ca="1">ROUND(B23*10000/B25,0)</f>
        <v>6836</v>
      </c>
      <c r="C24" s="822"/>
      <c r="D24" s="37"/>
      <c r="E24" s="37"/>
      <c r="F24" s="37"/>
      <c r="G24" s="37"/>
      <c r="H24" s="37"/>
      <c r="I24" s="37"/>
      <c r="J24" s="37"/>
      <c r="K24" s="37"/>
      <c r="L24" s="37"/>
      <c r="M24" s="37"/>
      <c r="N24" s="37"/>
      <c r="O24" s="37"/>
      <c r="P24" s="37"/>
      <c r="Q24" s="37"/>
      <c r="R24" s="645"/>
      <c r="S24" s="13" t="s">
        <v>1986</v>
      </c>
      <c r="T24" s="1260" t="s">
        <v>1987</v>
      </c>
      <c r="U24" s="2173" t="s">
        <v>1988</v>
      </c>
      <c r="V24" s="2905"/>
      <c r="W24" s="2906" t="s">
        <v>1989</v>
      </c>
      <c r="X24" s="2173" t="s">
        <v>1990</v>
      </c>
      <c r="Y24" s="2905"/>
      <c r="Z24" s="2907" t="s">
        <v>1989</v>
      </c>
    </row>
    <row r="25" spans="1:45">
      <c r="A25" s="250" t="s">
        <v>1991</v>
      </c>
      <c r="B25" s="13">
        <f>SUM(B27:B10000)</f>
        <v>829.41000000000008</v>
      </c>
      <c r="C25" s="3624" t="s">
        <v>45</v>
      </c>
      <c r="D25" s="3625"/>
      <c r="E25" s="3625"/>
      <c r="F25" s="3625"/>
      <c r="G25" s="3625"/>
      <c r="H25" s="3625"/>
      <c r="I25" s="3625"/>
      <c r="J25" s="3625"/>
      <c r="K25" s="3625"/>
      <c r="L25" s="3625"/>
      <c r="M25" s="3625"/>
      <c r="N25" s="3625"/>
      <c r="O25" s="3625"/>
      <c r="P25" s="3625"/>
      <c r="Q25" s="3626"/>
      <c r="R25" s="597">
        <f ca="1">IF(C23="万元",ROUND(T25*10000/B25,0),ROUND(S25/B25,0))</f>
        <v>6836</v>
      </c>
      <c r="S25" s="13">
        <f ca="1">SUM(S27:S10000)</f>
        <v>5669152</v>
      </c>
      <c r="T25" s="13">
        <f ca="1">SUM(T27:T10000)</f>
        <v>567</v>
      </c>
      <c r="U25" s="17">
        <f>SUM(U27:U10000)</f>
        <v>0</v>
      </c>
      <c r="V25" s="17">
        <f>SUM(V27:V10000)</f>
        <v>0</v>
      </c>
      <c r="W25" s="2909"/>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层高</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139.96</v>
      </c>
      <c r="C27" s="859">
        <v>1</v>
      </c>
      <c r="D27" s="601"/>
      <c r="E27" s="859">
        <v>1</v>
      </c>
      <c r="F27" s="601"/>
      <c r="G27" s="859">
        <v>1</v>
      </c>
      <c r="H27" s="601"/>
      <c r="I27" s="859">
        <v>1</v>
      </c>
      <c r="J27" s="601"/>
      <c r="K27" s="859">
        <v>1</v>
      </c>
      <c r="L27" s="601" t="s">
        <v>3043</v>
      </c>
      <c r="M27" s="859">
        <v>1</v>
      </c>
      <c r="N27" s="601"/>
      <c r="O27" s="859">
        <v>1</v>
      </c>
      <c r="P27" s="601" t="s">
        <v>3038</v>
      </c>
      <c r="Q27" s="859">
        <v>1</v>
      </c>
      <c r="R27" s="865">
        <f ca="1">'结果表 (1修多)'!G20</f>
        <v>11230</v>
      </c>
      <c r="S27" s="600">
        <f ca="1">ROUND(R27*B27,0)</f>
        <v>1571751</v>
      </c>
      <c r="T27" s="600">
        <f ca="1">ROUND(R27*B27/10000,0)</f>
        <v>157</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f>信息!B2</f>
        <v>689.45</v>
      </c>
      <c r="C28" s="13">
        <f t="shared" ref="C28:C91" si="14">IF(B28="",1,(LOOKUP(B28,$6:$6,$7:$7)-LOOKUP($B$27,$6:$6,$7:$7)+100)/100)</f>
        <v>0.98</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t="s">
        <v>3052</v>
      </c>
      <c r="M28" s="13">
        <f t="shared" ref="M28:M91" si="19">(SUMIF($16:$16,L28,$17:$17)-SUMIF($16:$16,$L$27,$17:$17)+100)/100</f>
        <v>0.9</v>
      </c>
      <c r="N28" s="601"/>
      <c r="O28" s="13">
        <f t="shared" ref="O28:O91" si="20">(SUMIF($18:$18,N28,$19:$19)-SUMIF($18:$18,$N$27,$19:$19)+100)/100</f>
        <v>1</v>
      </c>
      <c r="P28" s="601" t="s">
        <v>3039</v>
      </c>
      <c r="Q28" s="13">
        <f t="shared" ref="Q28:Q91" si="21">(SUMIF($20:$20,P28,$21:$21)-SUMIF($20:$20,$P$27,$21:$21)+100)/100</f>
        <v>0.6</v>
      </c>
      <c r="R28" s="597">
        <f ca="1">IF(B28="",0,ROUND($R$27*C28*E28*G28*I28*K28*M28*O28*Q28,0))</f>
        <v>5943</v>
      </c>
      <c r="S28" s="250">
        <f ca="1">ROUND(R28*B28,0)</f>
        <v>4097401</v>
      </c>
      <c r="T28" s="859">
        <f ca="1">ROUND(R28*B28/10000,0)</f>
        <v>410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0</v>
      </c>
      <c r="N29" s="601"/>
      <c r="O29" s="13">
        <f t="shared" si="20"/>
        <v>1</v>
      </c>
      <c r="P29" s="601"/>
      <c r="Q29" s="13">
        <f t="shared" si="21"/>
        <v>0</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0</v>
      </c>
      <c r="N30" s="601"/>
      <c r="O30" s="13">
        <f t="shared" si="20"/>
        <v>1</v>
      </c>
      <c r="P30" s="601"/>
      <c r="Q30" s="13">
        <f t="shared" si="21"/>
        <v>0</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0</v>
      </c>
      <c r="N31" s="601"/>
      <c r="O31" s="13">
        <f t="shared" si="20"/>
        <v>1</v>
      </c>
      <c r="P31" s="601"/>
      <c r="Q31" s="13">
        <f t="shared" si="21"/>
        <v>0</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0</v>
      </c>
      <c r="N32" s="601"/>
      <c r="O32" s="13">
        <f t="shared" si="20"/>
        <v>1</v>
      </c>
      <c r="P32" s="601"/>
      <c r="Q32" s="13">
        <f t="shared" si="21"/>
        <v>0</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0</v>
      </c>
      <c r="N33" s="601"/>
      <c r="O33" s="13">
        <f t="shared" si="20"/>
        <v>1</v>
      </c>
      <c r="P33" s="601"/>
      <c r="Q33" s="13">
        <f t="shared" si="21"/>
        <v>0</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0</v>
      </c>
      <c r="N34" s="601"/>
      <c r="O34" s="13">
        <f t="shared" si="20"/>
        <v>1</v>
      </c>
      <c r="P34" s="601"/>
      <c r="Q34" s="13">
        <f t="shared" si="21"/>
        <v>0</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0</v>
      </c>
      <c r="N35" s="601"/>
      <c r="O35" s="13">
        <f t="shared" si="20"/>
        <v>1</v>
      </c>
      <c r="P35" s="601"/>
      <c r="Q35" s="13">
        <f t="shared" si="21"/>
        <v>0</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0</v>
      </c>
      <c r="N36" s="601"/>
      <c r="O36" s="13">
        <f t="shared" si="20"/>
        <v>1</v>
      </c>
      <c r="P36" s="601"/>
      <c r="Q36" s="13">
        <f t="shared" si="21"/>
        <v>0</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0</v>
      </c>
      <c r="N37" s="601"/>
      <c r="O37" s="13">
        <f t="shared" si="20"/>
        <v>1</v>
      </c>
      <c r="P37" s="601"/>
      <c r="Q37" s="13">
        <f t="shared" si="21"/>
        <v>0</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0</v>
      </c>
      <c r="N38" s="601"/>
      <c r="O38" s="13">
        <f t="shared" si="20"/>
        <v>1</v>
      </c>
      <c r="P38" s="601"/>
      <c r="Q38" s="13">
        <f t="shared" si="21"/>
        <v>0</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0</v>
      </c>
      <c r="N39" s="601"/>
      <c r="O39" s="13">
        <f t="shared" si="20"/>
        <v>1</v>
      </c>
      <c r="P39" s="601"/>
      <c r="Q39" s="13">
        <f t="shared" si="21"/>
        <v>0</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0</v>
      </c>
      <c r="N40" s="601"/>
      <c r="O40" s="13">
        <f t="shared" si="20"/>
        <v>1</v>
      </c>
      <c r="P40" s="601"/>
      <c r="Q40" s="13">
        <f t="shared" si="21"/>
        <v>0</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0</v>
      </c>
      <c r="N41" s="601"/>
      <c r="O41" s="13">
        <f t="shared" si="20"/>
        <v>1</v>
      </c>
      <c r="P41" s="601"/>
      <c r="Q41" s="13">
        <f t="shared" si="21"/>
        <v>0</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0</v>
      </c>
      <c r="N42" s="601"/>
      <c r="O42" s="13">
        <f t="shared" si="20"/>
        <v>1</v>
      </c>
      <c r="P42" s="601"/>
      <c r="Q42" s="13">
        <f t="shared" si="21"/>
        <v>0</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0</v>
      </c>
      <c r="N43" s="601"/>
      <c r="O43" s="13">
        <f t="shared" si="20"/>
        <v>1</v>
      </c>
      <c r="P43" s="601"/>
      <c r="Q43" s="13">
        <f t="shared" si="21"/>
        <v>0</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0</v>
      </c>
      <c r="N44" s="601"/>
      <c r="O44" s="13">
        <f t="shared" si="20"/>
        <v>1</v>
      </c>
      <c r="P44" s="601"/>
      <c r="Q44" s="13">
        <f t="shared" si="21"/>
        <v>0</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0</v>
      </c>
      <c r="N45" s="601"/>
      <c r="O45" s="13">
        <f t="shared" si="20"/>
        <v>1</v>
      </c>
      <c r="P45" s="601"/>
      <c r="Q45" s="13">
        <f t="shared" si="21"/>
        <v>0</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0</v>
      </c>
      <c r="N46" s="601"/>
      <c r="O46" s="13">
        <f t="shared" si="20"/>
        <v>1</v>
      </c>
      <c r="P46" s="601"/>
      <c r="Q46" s="13">
        <f t="shared" si="21"/>
        <v>0</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0</v>
      </c>
      <c r="N47" s="601"/>
      <c r="O47" s="13">
        <f t="shared" si="20"/>
        <v>1</v>
      </c>
      <c r="P47" s="601"/>
      <c r="Q47" s="13">
        <f t="shared" si="21"/>
        <v>0</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0</v>
      </c>
      <c r="N48" s="601"/>
      <c r="O48" s="13">
        <f t="shared" si="20"/>
        <v>1</v>
      </c>
      <c r="P48" s="601"/>
      <c r="Q48" s="13">
        <f t="shared" si="21"/>
        <v>0</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0</v>
      </c>
      <c r="N49" s="601"/>
      <c r="O49" s="13">
        <f t="shared" si="20"/>
        <v>1</v>
      </c>
      <c r="P49" s="601"/>
      <c r="Q49" s="13">
        <f t="shared" si="21"/>
        <v>0</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0</v>
      </c>
      <c r="N50" s="601"/>
      <c r="O50" s="13">
        <f t="shared" si="20"/>
        <v>1</v>
      </c>
      <c r="P50" s="601"/>
      <c r="Q50" s="13">
        <f t="shared" si="21"/>
        <v>0</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0</v>
      </c>
      <c r="N51" s="601"/>
      <c r="O51" s="13">
        <f t="shared" si="20"/>
        <v>1</v>
      </c>
      <c r="P51" s="601"/>
      <c r="Q51" s="13">
        <f t="shared" si="21"/>
        <v>0</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0</v>
      </c>
      <c r="N52" s="601"/>
      <c r="O52" s="13">
        <f t="shared" si="20"/>
        <v>1</v>
      </c>
      <c r="P52" s="601"/>
      <c r="Q52" s="13">
        <f t="shared" si="21"/>
        <v>0</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0</v>
      </c>
      <c r="N53" s="601"/>
      <c r="O53" s="13">
        <f t="shared" si="20"/>
        <v>1</v>
      </c>
      <c r="P53" s="601"/>
      <c r="Q53" s="13">
        <f t="shared" si="21"/>
        <v>0</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0</v>
      </c>
      <c r="N54" s="601"/>
      <c r="O54" s="13">
        <f t="shared" si="20"/>
        <v>1</v>
      </c>
      <c r="P54" s="601"/>
      <c r="Q54" s="13">
        <f t="shared" si="21"/>
        <v>0</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0</v>
      </c>
      <c r="N55" s="601"/>
      <c r="O55" s="13">
        <f t="shared" si="20"/>
        <v>1</v>
      </c>
      <c r="P55" s="601"/>
      <c r="Q55" s="13">
        <f t="shared" si="21"/>
        <v>0</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0</v>
      </c>
      <c r="N56" s="601"/>
      <c r="O56" s="13">
        <f t="shared" si="20"/>
        <v>1</v>
      </c>
      <c r="P56" s="601"/>
      <c r="Q56" s="13">
        <f t="shared" si="21"/>
        <v>0</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0</v>
      </c>
      <c r="N57" s="601"/>
      <c r="O57" s="13">
        <f t="shared" si="20"/>
        <v>1</v>
      </c>
      <c r="P57" s="601"/>
      <c r="Q57" s="13">
        <f t="shared" si="21"/>
        <v>0</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0</v>
      </c>
      <c r="N58" s="601"/>
      <c r="O58" s="13">
        <f t="shared" si="20"/>
        <v>1</v>
      </c>
      <c r="P58" s="601"/>
      <c r="Q58" s="13">
        <f t="shared" si="21"/>
        <v>0</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0</v>
      </c>
      <c r="N59" s="601"/>
      <c r="O59" s="13">
        <f t="shared" si="20"/>
        <v>1</v>
      </c>
      <c r="P59" s="601"/>
      <c r="Q59" s="13">
        <f t="shared" si="21"/>
        <v>0</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0</v>
      </c>
      <c r="N60" s="601"/>
      <c r="O60" s="13">
        <f t="shared" si="20"/>
        <v>1</v>
      </c>
      <c r="P60" s="601"/>
      <c r="Q60" s="13">
        <f t="shared" si="21"/>
        <v>0</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0</v>
      </c>
      <c r="N61" s="601"/>
      <c r="O61" s="13">
        <f t="shared" si="20"/>
        <v>1</v>
      </c>
      <c r="P61" s="601"/>
      <c r="Q61" s="13">
        <f t="shared" si="21"/>
        <v>0</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0</v>
      </c>
      <c r="N62" s="601"/>
      <c r="O62" s="13">
        <f t="shared" si="20"/>
        <v>1</v>
      </c>
      <c r="P62" s="601"/>
      <c r="Q62" s="13">
        <f t="shared" si="21"/>
        <v>0</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0</v>
      </c>
      <c r="N63" s="601"/>
      <c r="O63" s="13">
        <f t="shared" si="20"/>
        <v>1</v>
      </c>
      <c r="P63" s="601"/>
      <c r="Q63" s="13">
        <f t="shared" si="21"/>
        <v>0</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0</v>
      </c>
      <c r="N64" s="601"/>
      <c r="O64" s="13">
        <f t="shared" si="20"/>
        <v>1</v>
      </c>
      <c r="P64" s="601"/>
      <c r="Q64" s="13">
        <f t="shared" si="21"/>
        <v>0</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0</v>
      </c>
      <c r="N65" s="601"/>
      <c r="O65" s="13">
        <f t="shared" si="20"/>
        <v>1</v>
      </c>
      <c r="P65" s="601"/>
      <c r="Q65" s="13">
        <f t="shared" si="21"/>
        <v>0</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0</v>
      </c>
      <c r="N66" s="601"/>
      <c r="O66" s="13">
        <f t="shared" si="20"/>
        <v>1</v>
      </c>
      <c r="P66" s="601"/>
      <c r="Q66" s="13">
        <f t="shared" si="21"/>
        <v>0</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0</v>
      </c>
      <c r="N67" s="601"/>
      <c r="O67" s="13">
        <f t="shared" si="20"/>
        <v>1</v>
      </c>
      <c r="P67" s="601"/>
      <c r="Q67" s="13">
        <f t="shared" si="21"/>
        <v>0</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0</v>
      </c>
      <c r="N68" s="601"/>
      <c r="O68" s="13">
        <f t="shared" si="20"/>
        <v>1</v>
      </c>
      <c r="P68" s="601"/>
      <c r="Q68" s="13">
        <f t="shared" si="21"/>
        <v>0</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0</v>
      </c>
      <c r="N69" s="601"/>
      <c r="O69" s="13">
        <f t="shared" si="20"/>
        <v>1</v>
      </c>
      <c r="P69" s="601"/>
      <c r="Q69" s="13">
        <f t="shared" si="21"/>
        <v>0</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0</v>
      </c>
      <c r="N70" s="601"/>
      <c r="O70" s="13">
        <f t="shared" si="20"/>
        <v>1</v>
      </c>
      <c r="P70" s="601"/>
      <c r="Q70" s="13">
        <f t="shared" si="21"/>
        <v>0</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0</v>
      </c>
      <c r="N71" s="601"/>
      <c r="O71" s="13">
        <f t="shared" si="20"/>
        <v>1</v>
      </c>
      <c r="P71" s="601"/>
      <c r="Q71" s="13">
        <f t="shared" si="21"/>
        <v>0</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0</v>
      </c>
      <c r="N72" s="601"/>
      <c r="O72" s="13">
        <f t="shared" si="20"/>
        <v>1</v>
      </c>
      <c r="P72" s="601"/>
      <c r="Q72" s="13">
        <f t="shared" si="21"/>
        <v>0</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0</v>
      </c>
      <c r="N73" s="601"/>
      <c r="O73" s="13">
        <f t="shared" si="20"/>
        <v>1</v>
      </c>
      <c r="P73" s="601"/>
      <c r="Q73" s="13">
        <f t="shared" si="21"/>
        <v>0</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0</v>
      </c>
      <c r="N74" s="601"/>
      <c r="O74" s="13">
        <f t="shared" si="20"/>
        <v>1</v>
      </c>
      <c r="P74" s="601"/>
      <c r="Q74" s="13">
        <f t="shared" si="21"/>
        <v>0</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0</v>
      </c>
      <c r="N75" s="601"/>
      <c r="O75" s="13">
        <f t="shared" si="20"/>
        <v>1</v>
      </c>
      <c r="P75" s="601"/>
      <c r="Q75" s="13">
        <f t="shared" si="21"/>
        <v>0</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0</v>
      </c>
      <c r="N76" s="601"/>
      <c r="O76" s="13">
        <f t="shared" si="20"/>
        <v>1</v>
      </c>
      <c r="P76" s="601"/>
      <c r="Q76" s="13">
        <f t="shared" si="21"/>
        <v>0</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0</v>
      </c>
      <c r="N77" s="601"/>
      <c r="O77" s="13">
        <f t="shared" si="20"/>
        <v>1</v>
      </c>
      <c r="P77" s="601"/>
      <c r="Q77" s="13">
        <f t="shared" si="21"/>
        <v>0</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0</v>
      </c>
      <c r="N78" s="601"/>
      <c r="O78" s="13">
        <f t="shared" si="20"/>
        <v>1</v>
      </c>
      <c r="P78" s="601"/>
      <c r="Q78" s="13">
        <f t="shared" si="21"/>
        <v>0</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0</v>
      </c>
      <c r="N79" s="601"/>
      <c r="O79" s="13">
        <f t="shared" si="20"/>
        <v>1</v>
      </c>
      <c r="P79" s="601"/>
      <c r="Q79" s="13">
        <f t="shared" si="21"/>
        <v>0</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0</v>
      </c>
      <c r="N80" s="601"/>
      <c r="O80" s="13">
        <f t="shared" si="20"/>
        <v>1</v>
      </c>
      <c r="P80" s="601"/>
      <c r="Q80" s="13">
        <f t="shared" si="21"/>
        <v>0</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0</v>
      </c>
      <c r="N81" s="601"/>
      <c r="O81" s="13">
        <f t="shared" si="20"/>
        <v>1</v>
      </c>
      <c r="P81" s="601"/>
      <c r="Q81" s="13">
        <f t="shared" si="21"/>
        <v>0</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0</v>
      </c>
      <c r="N82" s="601"/>
      <c r="O82" s="13">
        <f t="shared" si="20"/>
        <v>1</v>
      </c>
      <c r="P82" s="601"/>
      <c r="Q82" s="13">
        <f t="shared" si="21"/>
        <v>0</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0</v>
      </c>
      <c r="N83" s="601"/>
      <c r="O83" s="13">
        <f t="shared" si="20"/>
        <v>1</v>
      </c>
      <c r="P83" s="601"/>
      <c r="Q83" s="13">
        <f t="shared" si="21"/>
        <v>0</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0</v>
      </c>
      <c r="N84" s="601"/>
      <c r="O84" s="13">
        <f t="shared" si="20"/>
        <v>1</v>
      </c>
      <c r="P84" s="601"/>
      <c r="Q84" s="13">
        <f t="shared" si="21"/>
        <v>0</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0</v>
      </c>
      <c r="N85" s="601"/>
      <c r="O85" s="13">
        <f t="shared" si="20"/>
        <v>1</v>
      </c>
      <c r="P85" s="601"/>
      <c r="Q85" s="13">
        <f t="shared" si="21"/>
        <v>0</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0</v>
      </c>
      <c r="N86" s="601"/>
      <c r="O86" s="13">
        <f t="shared" si="20"/>
        <v>1</v>
      </c>
      <c r="P86" s="601"/>
      <c r="Q86" s="13">
        <f t="shared" si="21"/>
        <v>0</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0</v>
      </c>
      <c r="N87" s="601"/>
      <c r="O87" s="13">
        <f t="shared" si="20"/>
        <v>1</v>
      </c>
      <c r="P87" s="601"/>
      <c r="Q87" s="13">
        <f t="shared" si="21"/>
        <v>0</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0</v>
      </c>
      <c r="N88" s="601"/>
      <c r="O88" s="13">
        <f t="shared" si="20"/>
        <v>1</v>
      </c>
      <c r="P88" s="601"/>
      <c r="Q88" s="13">
        <f t="shared" si="21"/>
        <v>0</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0</v>
      </c>
      <c r="N89" s="601"/>
      <c r="O89" s="13">
        <f t="shared" si="20"/>
        <v>1</v>
      </c>
      <c r="P89" s="601"/>
      <c r="Q89" s="13">
        <f t="shared" si="21"/>
        <v>0</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0</v>
      </c>
      <c r="N90" s="601"/>
      <c r="O90" s="13">
        <f t="shared" si="20"/>
        <v>1</v>
      </c>
      <c r="P90" s="601"/>
      <c r="Q90" s="13">
        <f t="shared" si="21"/>
        <v>0</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0</v>
      </c>
      <c r="N91" s="601"/>
      <c r="O91" s="13">
        <f t="shared" si="20"/>
        <v>1</v>
      </c>
      <c r="P91" s="601"/>
      <c r="Q91" s="13">
        <f t="shared" si="21"/>
        <v>0</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0</v>
      </c>
      <c r="N92" s="601"/>
      <c r="O92" s="13">
        <f t="shared" ref="O92:O155" si="35">(SUMIF($18:$18,N92,$19:$19)-SUMIF($18:$18,$N$27,$19:$19)+100)/100</f>
        <v>1</v>
      </c>
      <c r="P92" s="601"/>
      <c r="Q92" s="13">
        <f t="shared" ref="Q92:Q155" si="36">(SUMIF($20:$20,P92,$21:$21)-SUMIF($20:$20,$P$27,$21:$21)+100)/100</f>
        <v>0</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0</v>
      </c>
      <c r="N93" s="601"/>
      <c r="O93" s="13">
        <f t="shared" si="35"/>
        <v>1</v>
      </c>
      <c r="P93" s="601"/>
      <c r="Q93" s="13">
        <f t="shared" si="36"/>
        <v>0</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0</v>
      </c>
      <c r="N94" s="601"/>
      <c r="O94" s="13">
        <f t="shared" si="35"/>
        <v>1</v>
      </c>
      <c r="P94" s="601"/>
      <c r="Q94" s="13">
        <f t="shared" si="36"/>
        <v>0</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0</v>
      </c>
      <c r="N95" s="601"/>
      <c r="O95" s="13">
        <f t="shared" si="35"/>
        <v>1</v>
      </c>
      <c r="P95" s="601"/>
      <c r="Q95" s="13">
        <f t="shared" si="36"/>
        <v>0</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0</v>
      </c>
      <c r="N96" s="601"/>
      <c r="O96" s="13">
        <f t="shared" si="35"/>
        <v>1</v>
      </c>
      <c r="P96" s="601"/>
      <c r="Q96" s="13">
        <f t="shared" si="36"/>
        <v>0</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0</v>
      </c>
      <c r="N97" s="601"/>
      <c r="O97" s="13">
        <f t="shared" si="35"/>
        <v>1</v>
      </c>
      <c r="P97" s="601"/>
      <c r="Q97" s="13">
        <f t="shared" si="36"/>
        <v>0</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0</v>
      </c>
      <c r="N98" s="601"/>
      <c r="O98" s="13">
        <f t="shared" si="35"/>
        <v>1</v>
      </c>
      <c r="P98" s="601"/>
      <c r="Q98" s="13">
        <f t="shared" si="36"/>
        <v>0</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0</v>
      </c>
      <c r="N99" s="601"/>
      <c r="O99" s="13">
        <f t="shared" si="35"/>
        <v>1</v>
      </c>
      <c r="P99" s="601"/>
      <c r="Q99" s="13">
        <f t="shared" si="36"/>
        <v>0</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0</v>
      </c>
      <c r="N100" s="601"/>
      <c r="O100" s="13">
        <f t="shared" si="35"/>
        <v>1</v>
      </c>
      <c r="P100" s="601"/>
      <c r="Q100" s="13">
        <f t="shared" si="36"/>
        <v>0</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0</v>
      </c>
      <c r="N101" s="601"/>
      <c r="O101" s="13">
        <f t="shared" si="35"/>
        <v>1</v>
      </c>
      <c r="P101" s="601"/>
      <c r="Q101" s="13">
        <f t="shared" si="36"/>
        <v>0</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0</v>
      </c>
      <c r="N102" s="601"/>
      <c r="O102" s="13">
        <f t="shared" si="35"/>
        <v>1</v>
      </c>
      <c r="P102" s="601"/>
      <c r="Q102" s="13">
        <f t="shared" si="36"/>
        <v>0</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0</v>
      </c>
      <c r="N103" s="601"/>
      <c r="O103" s="13">
        <f t="shared" si="35"/>
        <v>1</v>
      </c>
      <c r="P103" s="601"/>
      <c r="Q103" s="13">
        <f t="shared" si="36"/>
        <v>0</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0</v>
      </c>
      <c r="N104" s="601"/>
      <c r="O104" s="13">
        <f t="shared" si="35"/>
        <v>1</v>
      </c>
      <c r="P104" s="601"/>
      <c r="Q104" s="13">
        <f t="shared" si="36"/>
        <v>0</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0</v>
      </c>
      <c r="N105" s="601"/>
      <c r="O105" s="13">
        <f t="shared" si="35"/>
        <v>1</v>
      </c>
      <c r="P105" s="601"/>
      <c r="Q105" s="13">
        <f t="shared" si="36"/>
        <v>0</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0</v>
      </c>
      <c r="N106" s="601"/>
      <c r="O106" s="13">
        <f t="shared" si="35"/>
        <v>1</v>
      </c>
      <c r="P106" s="601"/>
      <c r="Q106" s="13">
        <f t="shared" si="36"/>
        <v>0</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0</v>
      </c>
      <c r="N107" s="601"/>
      <c r="O107" s="13">
        <f t="shared" si="35"/>
        <v>1</v>
      </c>
      <c r="P107" s="601"/>
      <c r="Q107" s="13">
        <f t="shared" si="36"/>
        <v>0</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0</v>
      </c>
      <c r="N108" s="601"/>
      <c r="O108" s="13">
        <f t="shared" si="35"/>
        <v>1</v>
      </c>
      <c r="P108" s="601"/>
      <c r="Q108" s="13">
        <f t="shared" si="36"/>
        <v>0</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0</v>
      </c>
      <c r="N109" s="601"/>
      <c r="O109" s="13">
        <f t="shared" si="35"/>
        <v>1</v>
      </c>
      <c r="P109" s="601"/>
      <c r="Q109" s="13">
        <f t="shared" si="36"/>
        <v>0</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0</v>
      </c>
      <c r="N110" s="601"/>
      <c r="O110" s="13">
        <f t="shared" si="35"/>
        <v>1</v>
      </c>
      <c r="P110" s="601"/>
      <c r="Q110" s="13">
        <f t="shared" si="36"/>
        <v>0</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0</v>
      </c>
      <c r="N111" s="601"/>
      <c r="O111" s="13">
        <f t="shared" si="35"/>
        <v>1</v>
      </c>
      <c r="P111" s="601"/>
      <c r="Q111" s="13">
        <f t="shared" si="36"/>
        <v>0</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0</v>
      </c>
      <c r="N112" s="601"/>
      <c r="O112" s="13">
        <f t="shared" si="35"/>
        <v>1</v>
      </c>
      <c r="P112" s="601"/>
      <c r="Q112" s="13">
        <f t="shared" si="36"/>
        <v>0</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0</v>
      </c>
      <c r="N113" s="601"/>
      <c r="O113" s="13">
        <f t="shared" si="35"/>
        <v>1</v>
      </c>
      <c r="P113" s="601"/>
      <c r="Q113" s="13">
        <f t="shared" si="36"/>
        <v>0</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0</v>
      </c>
      <c r="N114" s="601"/>
      <c r="O114" s="13">
        <f t="shared" si="35"/>
        <v>1</v>
      </c>
      <c r="P114" s="601"/>
      <c r="Q114" s="13">
        <f t="shared" si="36"/>
        <v>0</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0</v>
      </c>
      <c r="N115" s="601"/>
      <c r="O115" s="13">
        <f t="shared" si="35"/>
        <v>1</v>
      </c>
      <c r="P115" s="601"/>
      <c r="Q115" s="13">
        <f t="shared" si="36"/>
        <v>0</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0</v>
      </c>
      <c r="N116" s="601"/>
      <c r="O116" s="13">
        <f t="shared" si="35"/>
        <v>1</v>
      </c>
      <c r="P116" s="601"/>
      <c r="Q116" s="13">
        <f t="shared" si="36"/>
        <v>0</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0</v>
      </c>
      <c r="N117" s="601"/>
      <c r="O117" s="13">
        <f t="shared" si="35"/>
        <v>1</v>
      </c>
      <c r="P117" s="601"/>
      <c r="Q117" s="13">
        <f t="shared" si="36"/>
        <v>0</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0</v>
      </c>
      <c r="N118" s="601"/>
      <c r="O118" s="13">
        <f t="shared" si="35"/>
        <v>1</v>
      </c>
      <c r="P118" s="601"/>
      <c r="Q118" s="13">
        <f t="shared" si="36"/>
        <v>0</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0</v>
      </c>
      <c r="N119" s="601"/>
      <c r="O119" s="13">
        <f t="shared" si="35"/>
        <v>1</v>
      </c>
      <c r="P119" s="601"/>
      <c r="Q119" s="13">
        <f t="shared" si="36"/>
        <v>0</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0</v>
      </c>
      <c r="N120" s="601"/>
      <c r="O120" s="13">
        <f t="shared" si="35"/>
        <v>1</v>
      </c>
      <c r="P120" s="601"/>
      <c r="Q120" s="13">
        <f t="shared" si="36"/>
        <v>0</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0</v>
      </c>
      <c r="N121" s="601"/>
      <c r="O121" s="13">
        <f t="shared" si="35"/>
        <v>1</v>
      </c>
      <c r="P121" s="601"/>
      <c r="Q121" s="13">
        <f t="shared" si="36"/>
        <v>0</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0</v>
      </c>
      <c r="N122" s="601"/>
      <c r="O122" s="13">
        <f t="shared" si="35"/>
        <v>1</v>
      </c>
      <c r="P122" s="601"/>
      <c r="Q122" s="13">
        <f t="shared" si="36"/>
        <v>0</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0</v>
      </c>
      <c r="N123" s="601"/>
      <c r="O123" s="13">
        <f t="shared" si="35"/>
        <v>1</v>
      </c>
      <c r="P123" s="601"/>
      <c r="Q123" s="13">
        <f t="shared" si="36"/>
        <v>0</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0</v>
      </c>
      <c r="N124" s="601"/>
      <c r="O124" s="13">
        <f t="shared" si="35"/>
        <v>1</v>
      </c>
      <c r="P124" s="601"/>
      <c r="Q124" s="13">
        <f t="shared" si="36"/>
        <v>0</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0</v>
      </c>
      <c r="N125" s="601"/>
      <c r="O125" s="13">
        <f t="shared" si="35"/>
        <v>1</v>
      </c>
      <c r="P125" s="601"/>
      <c r="Q125" s="13">
        <f t="shared" si="36"/>
        <v>0</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0</v>
      </c>
      <c r="N126" s="601"/>
      <c r="O126" s="13">
        <f t="shared" si="35"/>
        <v>1</v>
      </c>
      <c r="P126" s="601"/>
      <c r="Q126" s="13">
        <f t="shared" si="36"/>
        <v>0</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0</v>
      </c>
      <c r="N127" s="601"/>
      <c r="O127" s="13">
        <f t="shared" si="35"/>
        <v>1</v>
      </c>
      <c r="P127" s="601"/>
      <c r="Q127" s="13">
        <f t="shared" si="36"/>
        <v>0</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0</v>
      </c>
      <c r="N128" s="601"/>
      <c r="O128" s="13">
        <f t="shared" si="35"/>
        <v>1</v>
      </c>
      <c r="P128" s="601"/>
      <c r="Q128" s="13">
        <f t="shared" si="36"/>
        <v>0</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0</v>
      </c>
      <c r="N129" s="601"/>
      <c r="O129" s="13">
        <f t="shared" si="35"/>
        <v>1</v>
      </c>
      <c r="P129" s="601"/>
      <c r="Q129" s="13">
        <f t="shared" si="36"/>
        <v>0</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0</v>
      </c>
      <c r="N130" s="601"/>
      <c r="O130" s="13">
        <f t="shared" si="35"/>
        <v>1</v>
      </c>
      <c r="P130" s="601"/>
      <c r="Q130" s="13">
        <f t="shared" si="36"/>
        <v>0</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0</v>
      </c>
      <c r="N131" s="601"/>
      <c r="O131" s="13">
        <f t="shared" si="35"/>
        <v>1</v>
      </c>
      <c r="P131" s="601"/>
      <c r="Q131" s="13">
        <f t="shared" si="36"/>
        <v>0</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0</v>
      </c>
      <c r="N132" s="601"/>
      <c r="O132" s="13">
        <f t="shared" si="35"/>
        <v>1</v>
      </c>
      <c r="P132" s="601"/>
      <c r="Q132" s="13">
        <f t="shared" si="36"/>
        <v>0</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0</v>
      </c>
      <c r="N133" s="601"/>
      <c r="O133" s="13">
        <f t="shared" si="35"/>
        <v>1</v>
      </c>
      <c r="P133" s="601"/>
      <c r="Q133" s="13">
        <f t="shared" si="36"/>
        <v>0</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0</v>
      </c>
      <c r="N134" s="601"/>
      <c r="O134" s="13">
        <f t="shared" si="35"/>
        <v>1</v>
      </c>
      <c r="P134" s="601"/>
      <c r="Q134" s="13">
        <f t="shared" si="36"/>
        <v>0</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0</v>
      </c>
      <c r="N135" s="601"/>
      <c r="O135" s="13">
        <f t="shared" si="35"/>
        <v>1</v>
      </c>
      <c r="P135" s="601"/>
      <c r="Q135" s="13">
        <f t="shared" si="36"/>
        <v>0</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0</v>
      </c>
      <c r="N136" s="601"/>
      <c r="O136" s="13">
        <f t="shared" si="35"/>
        <v>1</v>
      </c>
      <c r="P136" s="601"/>
      <c r="Q136" s="13">
        <f t="shared" si="36"/>
        <v>0</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0</v>
      </c>
      <c r="N137" s="601"/>
      <c r="O137" s="13">
        <f t="shared" si="35"/>
        <v>1</v>
      </c>
      <c r="P137" s="601"/>
      <c r="Q137" s="13">
        <f t="shared" si="36"/>
        <v>0</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0</v>
      </c>
      <c r="N138" s="601"/>
      <c r="O138" s="13">
        <f t="shared" si="35"/>
        <v>1</v>
      </c>
      <c r="P138" s="601"/>
      <c r="Q138" s="13">
        <f t="shared" si="36"/>
        <v>0</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0</v>
      </c>
      <c r="N139" s="601"/>
      <c r="O139" s="13">
        <f t="shared" si="35"/>
        <v>1</v>
      </c>
      <c r="P139" s="601"/>
      <c r="Q139" s="13">
        <f t="shared" si="36"/>
        <v>0</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0</v>
      </c>
      <c r="N140" s="601"/>
      <c r="O140" s="13">
        <f t="shared" si="35"/>
        <v>1</v>
      </c>
      <c r="P140" s="601"/>
      <c r="Q140" s="13">
        <f t="shared" si="36"/>
        <v>0</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0</v>
      </c>
      <c r="N141" s="601"/>
      <c r="O141" s="13">
        <f t="shared" si="35"/>
        <v>1</v>
      </c>
      <c r="P141" s="601"/>
      <c r="Q141" s="13">
        <f t="shared" si="36"/>
        <v>0</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0</v>
      </c>
      <c r="N142" s="601"/>
      <c r="O142" s="13">
        <f t="shared" si="35"/>
        <v>1</v>
      </c>
      <c r="P142" s="601"/>
      <c r="Q142" s="13">
        <f t="shared" si="36"/>
        <v>0</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0</v>
      </c>
      <c r="N143" s="601"/>
      <c r="O143" s="13">
        <f t="shared" si="35"/>
        <v>1</v>
      </c>
      <c r="P143" s="601"/>
      <c r="Q143" s="13">
        <f t="shared" si="36"/>
        <v>0</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0</v>
      </c>
      <c r="N144" s="601"/>
      <c r="O144" s="13">
        <f t="shared" si="35"/>
        <v>1</v>
      </c>
      <c r="P144" s="601"/>
      <c r="Q144" s="13">
        <f t="shared" si="36"/>
        <v>0</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0</v>
      </c>
      <c r="N145" s="601"/>
      <c r="O145" s="13">
        <f t="shared" si="35"/>
        <v>1</v>
      </c>
      <c r="P145" s="601"/>
      <c r="Q145" s="13">
        <f t="shared" si="36"/>
        <v>0</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0</v>
      </c>
      <c r="N146" s="601"/>
      <c r="O146" s="13">
        <f t="shared" si="35"/>
        <v>1</v>
      </c>
      <c r="P146" s="601"/>
      <c r="Q146" s="13">
        <f t="shared" si="36"/>
        <v>0</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0</v>
      </c>
      <c r="N147" s="601"/>
      <c r="O147" s="13">
        <f t="shared" si="35"/>
        <v>1</v>
      </c>
      <c r="P147" s="601"/>
      <c r="Q147" s="13">
        <f t="shared" si="36"/>
        <v>0</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0</v>
      </c>
      <c r="N148" s="601"/>
      <c r="O148" s="13">
        <f t="shared" si="35"/>
        <v>1</v>
      </c>
      <c r="P148" s="601"/>
      <c r="Q148" s="13">
        <f t="shared" si="36"/>
        <v>0</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0</v>
      </c>
      <c r="N149" s="601"/>
      <c r="O149" s="13">
        <f t="shared" si="35"/>
        <v>1</v>
      </c>
      <c r="P149" s="601"/>
      <c r="Q149" s="13">
        <f t="shared" si="36"/>
        <v>0</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0</v>
      </c>
      <c r="N150" s="601"/>
      <c r="O150" s="13">
        <f t="shared" si="35"/>
        <v>1</v>
      </c>
      <c r="P150" s="601"/>
      <c r="Q150" s="13">
        <f t="shared" si="36"/>
        <v>0</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0</v>
      </c>
      <c r="N151" s="601"/>
      <c r="O151" s="13">
        <f t="shared" si="35"/>
        <v>1</v>
      </c>
      <c r="P151" s="601"/>
      <c r="Q151" s="13">
        <f t="shared" si="36"/>
        <v>0</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0</v>
      </c>
      <c r="N152" s="601"/>
      <c r="O152" s="13">
        <f t="shared" si="35"/>
        <v>1</v>
      </c>
      <c r="P152" s="601"/>
      <c r="Q152" s="13">
        <f t="shared" si="36"/>
        <v>0</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0</v>
      </c>
      <c r="N153" s="601"/>
      <c r="O153" s="13">
        <f t="shared" si="35"/>
        <v>1</v>
      </c>
      <c r="P153" s="601"/>
      <c r="Q153" s="13">
        <f t="shared" si="36"/>
        <v>0</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0</v>
      </c>
      <c r="N154" s="601"/>
      <c r="O154" s="13">
        <f t="shared" si="35"/>
        <v>1</v>
      </c>
      <c r="P154" s="601"/>
      <c r="Q154" s="13">
        <f t="shared" si="36"/>
        <v>0</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0</v>
      </c>
      <c r="N155" s="601"/>
      <c r="O155" s="13">
        <f t="shared" si="35"/>
        <v>1</v>
      </c>
      <c r="P155" s="601"/>
      <c r="Q155" s="13">
        <f t="shared" si="36"/>
        <v>0</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0</v>
      </c>
      <c r="N156" s="601"/>
      <c r="O156" s="13">
        <f t="shared" ref="O156:O219" si="50">(SUMIF($18:$18,N156,$19:$19)-SUMIF($18:$18,$N$27,$19:$19)+100)/100</f>
        <v>1</v>
      </c>
      <c r="P156" s="601"/>
      <c r="Q156" s="13">
        <f t="shared" ref="Q156:Q219" si="51">(SUMIF($20:$20,P156,$21:$21)-SUMIF($20:$20,$P$27,$21:$21)+100)/100</f>
        <v>0</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0</v>
      </c>
      <c r="N157" s="601"/>
      <c r="O157" s="13">
        <f t="shared" si="50"/>
        <v>1</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0</v>
      </c>
      <c r="N158" s="601"/>
      <c r="O158" s="13">
        <f t="shared" si="50"/>
        <v>1</v>
      </c>
      <c r="P158" s="601"/>
      <c r="Q158" s="13">
        <f t="shared" si="51"/>
        <v>0</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0</v>
      </c>
      <c r="N159" s="601"/>
      <c r="O159" s="13">
        <f t="shared" si="50"/>
        <v>1</v>
      </c>
      <c r="P159" s="601"/>
      <c r="Q159" s="13">
        <f t="shared" si="51"/>
        <v>0</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0</v>
      </c>
      <c r="N160" s="601"/>
      <c r="O160" s="13">
        <f t="shared" si="50"/>
        <v>1</v>
      </c>
      <c r="P160" s="601"/>
      <c r="Q160" s="13">
        <f t="shared" si="51"/>
        <v>0</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0</v>
      </c>
      <c r="N161" s="601"/>
      <c r="O161" s="13">
        <f t="shared" si="50"/>
        <v>1</v>
      </c>
      <c r="P161" s="601"/>
      <c r="Q161" s="13">
        <f t="shared" si="51"/>
        <v>0</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0</v>
      </c>
      <c r="N162" s="601"/>
      <c r="O162" s="13">
        <f t="shared" si="50"/>
        <v>1</v>
      </c>
      <c r="P162" s="601"/>
      <c r="Q162" s="13">
        <f t="shared" si="51"/>
        <v>0</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0</v>
      </c>
      <c r="N163" s="601"/>
      <c r="O163" s="13">
        <f t="shared" si="50"/>
        <v>1</v>
      </c>
      <c r="P163" s="601"/>
      <c r="Q163" s="13">
        <f t="shared" si="51"/>
        <v>0</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0</v>
      </c>
      <c r="N164" s="601"/>
      <c r="O164" s="13">
        <f t="shared" si="50"/>
        <v>1</v>
      </c>
      <c r="P164" s="601"/>
      <c r="Q164" s="13">
        <f t="shared" si="51"/>
        <v>0</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0</v>
      </c>
      <c r="N165" s="601"/>
      <c r="O165" s="13">
        <f t="shared" si="50"/>
        <v>1</v>
      </c>
      <c r="P165" s="601"/>
      <c r="Q165" s="13">
        <f t="shared" si="51"/>
        <v>0</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0</v>
      </c>
      <c r="N166" s="601"/>
      <c r="O166" s="13">
        <f t="shared" si="50"/>
        <v>1</v>
      </c>
      <c r="P166" s="601"/>
      <c r="Q166" s="13">
        <f t="shared" si="51"/>
        <v>0</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0</v>
      </c>
      <c r="N167" s="601"/>
      <c r="O167" s="13">
        <f t="shared" si="50"/>
        <v>1</v>
      </c>
      <c r="P167" s="601"/>
      <c r="Q167" s="13">
        <f t="shared" si="51"/>
        <v>0</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0</v>
      </c>
      <c r="N168" s="601"/>
      <c r="O168" s="13">
        <f t="shared" si="50"/>
        <v>1</v>
      </c>
      <c r="P168" s="601"/>
      <c r="Q168" s="13">
        <f t="shared" si="51"/>
        <v>0</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0</v>
      </c>
      <c r="N169" s="601"/>
      <c r="O169" s="13">
        <f t="shared" si="50"/>
        <v>1</v>
      </c>
      <c r="P169" s="601"/>
      <c r="Q169" s="13">
        <f t="shared" si="51"/>
        <v>0</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0</v>
      </c>
      <c r="N170" s="601"/>
      <c r="O170" s="13">
        <f t="shared" si="50"/>
        <v>1</v>
      </c>
      <c r="P170" s="601"/>
      <c r="Q170" s="13">
        <f t="shared" si="51"/>
        <v>0</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0</v>
      </c>
      <c r="N171" s="601"/>
      <c r="O171" s="13">
        <f t="shared" si="50"/>
        <v>1</v>
      </c>
      <c r="P171" s="601"/>
      <c r="Q171" s="13">
        <f t="shared" si="51"/>
        <v>0</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0</v>
      </c>
      <c r="N172" s="601"/>
      <c r="O172" s="13">
        <f t="shared" si="50"/>
        <v>1</v>
      </c>
      <c r="P172" s="601"/>
      <c r="Q172" s="13">
        <f t="shared" si="51"/>
        <v>0</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0</v>
      </c>
      <c r="N173" s="601"/>
      <c r="O173" s="13">
        <f t="shared" si="50"/>
        <v>1</v>
      </c>
      <c r="P173" s="601"/>
      <c r="Q173" s="13">
        <f t="shared" si="51"/>
        <v>0</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0</v>
      </c>
      <c r="N174" s="601"/>
      <c r="O174" s="13">
        <f t="shared" si="50"/>
        <v>1</v>
      </c>
      <c r="P174" s="601"/>
      <c r="Q174" s="13">
        <f t="shared" si="51"/>
        <v>0</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0</v>
      </c>
      <c r="N175" s="601"/>
      <c r="O175" s="13">
        <f t="shared" si="50"/>
        <v>1</v>
      </c>
      <c r="P175" s="601"/>
      <c r="Q175" s="13">
        <f t="shared" si="51"/>
        <v>0</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0</v>
      </c>
      <c r="N176" s="601"/>
      <c r="O176" s="13">
        <f t="shared" si="50"/>
        <v>1</v>
      </c>
      <c r="P176" s="601"/>
      <c r="Q176" s="13">
        <f t="shared" si="51"/>
        <v>0</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0</v>
      </c>
      <c r="N177" s="601"/>
      <c r="O177" s="13">
        <f t="shared" si="50"/>
        <v>1</v>
      </c>
      <c r="P177" s="601"/>
      <c r="Q177" s="13">
        <f t="shared" si="51"/>
        <v>0</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0</v>
      </c>
      <c r="N178" s="601"/>
      <c r="O178" s="13">
        <f t="shared" si="50"/>
        <v>1</v>
      </c>
      <c r="P178" s="601"/>
      <c r="Q178" s="13">
        <f t="shared" si="51"/>
        <v>0</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0</v>
      </c>
      <c r="N179" s="601"/>
      <c r="O179" s="13">
        <f t="shared" si="50"/>
        <v>1</v>
      </c>
      <c r="P179" s="601"/>
      <c r="Q179" s="13">
        <f t="shared" si="51"/>
        <v>0</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0</v>
      </c>
      <c r="N180" s="601"/>
      <c r="O180" s="13">
        <f t="shared" si="50"/>
        <v>1</v>
      </c>
      <c r="P180" s="601"/>
      <c r="Q180" s="13">
        <f t="shared" si="51"/>
        <v>0</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0</v>
      </c>
      <c r="N181" s="601"/>
      <c r="O181" s="13">
        <f t="shared" si="50"/>
        <v>1</v>
      </c>
      <c r="P181" s="601"/>
      <c r="Q181" s="13">
        <f t="shared" si="51"/>
        <v>0</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0</v>
      </c>
      <c r="N182" s="601"/>
      <c r="O182" s="13">
        <f t="shared" si="50"/>
        <v>1</v>
      </c>
      <c r="P182" s="601"/>
      <c r="Q182" s="13">
        <f t="shared" si="51"/>
        <v>0</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0</v>
      </c>
      <c r="N183" s="601"/>
      <c r="O183" s="13">
        <f t="shared" si="50"/>
        <v>1</v>
      </c>
      <c r="P183" s="601"/>
      <c r="Q183" s="13">
        <f t="shared" si="51"/>
        <v>0</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0</v>
      </c>
      <c r="N184" s="601"/>
      <c r="O184" s="13">
        <f t="shared" si="50"/>
        <v>1</v>
      </c>
      <c r="P184" s="601"/>
      <c r="Q184" s="13">
        <f t="shared" si="51"/>
        <v>0</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0</v>
      </c>
      <c r="N185" s="601"/>
      <c r="O185" s="13">
        <f t="shared" si="50"/>
        <v>1</v>
      </c>
      <c r="P185" s="601"/>
      <c r="Q185" s="13">
        <f t="shared" si="51"/>
        <v>0</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0</v>
      </c>
      <c r="N186" s="601"/>
      <c r="O186" s="13">
        <f t="shared" si="50"/>
        <v>1</v>
      </c>
      <c r="P186" s="601"/>
      <c r="Q186" s="13">
        <f t="shared" si="51"/>
        <v>0</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0</v>
      </c>
      <c r="N187" s="601"/>
      <c r="O187" s="13">
        <f t="shared" si="50"/>
        <v>1</v>
      </c>
      <c r="P187" s="601"/>
      <c r="Q187" s="13">
        <f t="shared" si="51"/>
        <v>0</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0</v>
      </c>
      <c r="N188" s="601"/>
      <c r="O188" s="13">
        <f t="shared" si="50"/>
        <v>1</v>
      </c>
      <c r="P188" s="601"/>
      <c r="Q188" s="13">
        <f t="shared" si="51"/>
        <v>0</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0</v>
      </c>
      <c r="N189" s="601"/>
      <c r="O189" s="13">
        <f t="shared" si="50"/>
        <v>1</v>
      </c>
      <c r="P189" s="601"/>
      <c r="Q189" s="13">
        <f t="shared" si="51"/>
        <v>0</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0</v>
      </c>
      <c r="N190" s="601"/>
      <c r="O190" s="13">
        <f t="shared" si="50"/>
        <v>1</v>
      </c>
      <c r="P190" s="601"/>
      <c r="Q190" s="13">
        <f t="shared" si="51"/>
        <v>0</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0</v>
      </c>
      <c r="N191" s="601"/>
      <c r="O191" s="13">
        <f t="shared" si="50"/>
        <v>1</v>
      </c>
      <c r="P191" s="601"/>
      <c r="Q191" s="13">
        <f t="shared" si="51"/>
        <v>0</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0</v>
      </c>
      <c r="N192" s="601"/>
      <c r="O192" s="13">
        <f t="shared" si="50"/>
        <v>1</v>
      </c>
      <c r="P192" s="601"/>
      <c r="Q192" s="13">
        <f t="shared" si="51"/>
        <v>0</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0</v>
      </c>
      <c r="N193" s="601"/>
      <c r="O193" s="13">
        <f t="shared" si="50"/>
        <v>1</v>
      </c>
      <c r="P193" s="601"/>
      <c r="Q193" s="13">
        <f t="shared" si="51"/>
        <v>0</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0</v>
      </c>
      <c r="N194" s="601"/>
      <c r="O194" s="13">
        <f t="shared" si="50"/>
        <v>1</v>
      </c>
      <c r="P194" s="601"/>
      <c r="Q194" s="13">
        <f t="shared" si="51"/>
        <v>0</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0</v>
      </c>
      <c r="N195" s="601"/>
      <c r="O195" s="13">
        <f t="shared" si="50"/>
        <v>1</v>
      </c>
      <c r="P195" s="601"/>
      <c r="Q195" s="13">
        <f t="shared" si="51"/>
        <v>0</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0</v>
      </c>
      <c r="N196" s="601"/>
      <c r="O196" s="13">
        <f t="shared" si="50"/>
        <v>1</v>
      </c>
      <c r="P196" s="601"/>
      <c r="Q196" s="13">
        <f t="shared" si="51"/>
        <v>0</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0</v>
      </c>
      <c r="N197" s="601"/>
      <c r="O197" s="13">
        <f t="shared" si="50"/>
        <v>1</v>
      </c>
      <c r="P197" s="601"/>
      <c r="Q197" s="13">
        <f t="shared" si="51"/>
        <v>0</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0</v>
      </c>
      <c r="N198" s="601"/>
      <c r="O198" s="13">
        <f t="shared" si="50"/>
        <v>1</v>
      </c>
      <c r="P198" s="601"/>
      <c r="Q198" s="13">
        <f t="shared" si="51"/>
        <v>0</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0</v>
      </c>
      <c r="N199" s="601"/>
      <c r="O199" s="13">
        <f t="shared" si="50"/>
        <v>1</v>
      </c>
      <c r="P199" s="601"/>
      <c r="Q199" s="13">
        <f t="shared" si="51"/>
        <v>0</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0</v>
      </c>
      <c r="N200" s="601"/>
      <c r="O200" s="13">
        <f t="shared" si="50"/>
        <v>1</v>
      </c>
      <c r="P200" s="601"/>
      <c r="Q200" s="13">
        <f t="shared" si="51"/>
        <v>0</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0</v>
      </c>
      <c r="N201" s="601"/>
      <c r="O201" s="13">
        <f t="shared" si="50"/>
        <v>1</v>
      </c>
      <c r="P201" s="601"/>
      <c r="Q201" s="13">
        <f t="shared" si="51"/>
        <v>0</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0</v>
      </c>
      <c r="N202" s="601"/>
      <c r="O202" s="13">
        <f t="shared" si="50"/>
        <v>1</v>
      </c>
      <c r="P202" s="601"/>
      <c r="Q202" s="13">
        <f t="shared" si="51"/>
        <v>0</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0</v>
      </c>
      <c r="N203" s="601"/>
      <c r="O203" s="13">
        <f t="shared" si="50"/>
        <v>1</v>
      </c>
      <c r="P203" s="601"/>
      <c r="Q203" s="13">
        <f t="shared" si="51"/>
        <v>0</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0</v>
      </c>
      <c r="N204" s="601"/>
      <c r="O204" s="13">
        <f t="shared" si="50"/>
        <v>1</v>
      </c>
      <c r="P204" s="601"/>
      <c r="Q204" s="13">
        <f t="shared" si="51"/>
        <v>0</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0</v>
      </c>
      <c r="N205" s="601"/>
      <c r="O205" s="13">
        <f t="shared" si="50"/>
        <v>1</v>
      </c>
      <c r="P205" s="601"/>
      <c r="Q205" s="13">
        <f t="shared" si="51"/>
        <v>0</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0</v>
      </c>
      <c r="N206" s="601"/>
      <c r="O206" s="13">
        <f t="shared" si="50"/>
        <v>1</v>
      </c>
      <c r="P206" s="601"/>
      <c r="Q206" s="13">
        <f t="shared" si="51"/>
        <v>0</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0</v>
      </c>
      <c r="N207" s="601"/>
      <c r="O207" s="13">
        <f t="shared" si="50"/>
        <v>1</v>
      </c>
      <c r="P207" s="601"/>
      <c r="Q207" s="13">
        <f t="shared" si="51"/>
        <v>0</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0</v>
      </c>
      <c r="N208" s="601"/>
      <c r="O208" s="13">
        <f t="shared" si="50"/>
        <v>1</v>
      </c>
      <c r="P208" s="601"/>
      <c r="Q208" s="13">
        <f t="shared" si="51"/>
        <v>0</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0</v>
      </c>
      <c r="N209" s="601"/>
      <c r="O209" s="13">
        <f t="shared" si="50"/>
        <v>1</v>
      </c>
      <c r="P209" s="601"/>
      <c r="Q209" s="13">
        <f t="shared" si="51"/>
        <v>0</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0</v>
      </c>
      <c r="N210" s="601"/>
      <c r="O210" s="13">
        <f t="shared" si="50"/>
        <v>1</v>
      </c>
      <c r="P210" s="601"/>
      <c r="Q210" s="13">
        <f t="shared" si="51"/>
        <v>0</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0</v>
      </c>
      <c r="N211" s="601"/>
      <c r="O211" s="13">
        <f t="shared" si="50"/>
        <v>1</v>
      </c>
      <c r="P211" s="601"/>
      <c r="Q211" s="13">
        <f t="shared" si="51"/>
        <v>0</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0</v>
      </c>
      <c r="N212" s="601"/>
      <c r="O212" s="13">
        <f t="shared" si="50"/>
        <v>1</v>
      </c>
      <c r="P212" s="601"/>
      <c r="Q212" s="13">
        <f t="shared" si="51"/>
        <v>0</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0</v>
      </c>
      <c r="N213" s="601"/>
      <c r="O213" s="13">
        <f t="shared" si="50"/>
        <v>1</v>
      </c>
      <c r="P213" s="601"/>
      <c r="Q213" s="13">
        <f t="shared" si="51"/>
        <v>0</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0</v>
      </c>
      <c r="N214" s="601"/>
      <c r="O214" s="13">
        <f t="shared" si="50"/>
        <v>1</v>
      </c>
      <c r="P214" s="601"/>
      <c r="Q214" s="13">
        <f t="shared" si="51"/>
        <v>0</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0</v>
      </c>
      <c r="N215" s="601"/>
      <c r="O215" s="13">
        <f t="shared" si="50"/>
        <v>1</v>
      </c>
      <c r="P215" s="601"/>
      <c r="Q215" s="13">
        <f t="shared" si="51"/>
        <v>0</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0</v>
      </c>
      <c r="N216" s="601"/>
      <c r="O216" s="13">
        <f t="shared" si="50"/>
        <v>1</v>
      </c>
      <c r="P216" s="601"/>
      <c r="Q216" s="13">
        <f t="shared" si="51"/>
        <v>0</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0</v>
      </c>
      <c r="N217" s="601"/>
      <c r="O217" s="13">
        <f t="shared" si="50"/>
        <v>1</v>
      </c>
      <c r="P217" s="601"/>
      <c r="Q217" s="13">
        <f t="shared" si="51"/>
        <v>0</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0</v>
      </c>
      <c r="N218" s="601"/>
      <c r="O218" s="13">
        <f t="shared" si="50"/>
        <v>1</v>
      </c>
      <c r="P218" s="601"/>
      <c r="Q218" s="13">
        <f t="shared" si="51"/>
        <v>0</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0</v>
      </c>
      <c r="N219" s="601"/>
      <c r="O219" s="13">
        <f t="shared" si="50"/>
        <v>1</v>
      </c>
      <c r="P219" s="601"/>
      <c r="Q219" s="13">
        <f t="shared" si="51"/>
        <v>0</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0</v>
      </c>
      <c r="N220" s="601"/>
      <c r="O220" s="13">
        <f t="shared" ref="O220:O283" si="65">(SUMIF($18:$18,N220,$19:$19)-SUMIF($18:$18,$N$27,$19:$19)+100)/100</f>
        <v>1</v>
      </c>
      <c r="P220" s="601"/>
      <c r="Q220" s="13">
        <f t="shared" ref="Q220:Q283" si="66">(SUMIF($20:$20,P220,$21:$21)-SUMIF($20:$20,$P$27,$21:$21)+100)/100</f>
        <v>0</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0</v>
      </c>
      <c r="N221" s="601"/>
      <c r="O221" s="13">
        <f t="shared" si="65"/>
        <v>1</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0</v>
      </c>
      <c r="N222" s="601"/>
      <c r="O222" s="13">
        <f t="shared" si="65"/>
        <v>1</v>
      </c>
      <c r="P222" s="601"/>
      <c r="Q222" s="13">
        <f t="shared" si="66"/>
        <v>0</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0</v>
      </c>
      <c r="N223" s="601"/>
      <c r="O223" s="13">
        <f t="shared" si="65"/>
        <v>1</v>
      </c>
      <c r="P223" s="601"/>
      <c r="Q223" s="13">
        <f t="shared" si="66"/>
        <v>0</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0</v>
      </c>
      <c r="N224" s="601"/>
      <c r="O224" s="13">
        <f t="shared" si="65"/>
        <v>1</v>
      </c>
      <c r="P224" s="601"/>
      <c r="Q224" s="13">
        <f t="shared" si="66"/>
        <v>0</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0</v>
      </c>
      <c r="N225" s="601"/>
      <c r="O225" s="13">
        <f t="shared" si="65"/>
        <v>1</v>
      </c>
      <c r="P225" s="601"/>
      <c r="Q225" s="13">
        <f t="shared" si="66"/>
        <v>0</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0</v>
      </c>
      <c r="N226" s="601"/>
      <c r="O226" s="13">
        <f t="shared" si="65"/>
        <v>1</v>
      </c>
      <c r="P226" s="601"/>
      <c r="Q226" s="13">
        <f t="shared" si="66"/>
        <v>0</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0</v>
      </c>
      <c r="N227" s="601"/>
      <c r="O227" s="13">
        <f t="shared" si="65"/>
        <v>1</v>
      </c>
      <c r="P227" s="601"/>
      <c r="Q227" s="13">
        <f t="shared" si="66"/>
        <v>0</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0</v>
      </c>
      <c r="N228" s="601"/>
      <c r="O228" s="13">
        <f t="shared" si="65"/>
        <v>1</v>
      </c>
      <c r="P228" s="601"/>
      <c r="Q228" s="13">
        <f t="shared" si="66"/>
        <v>0</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0</v>
      </c>
      <c r="N229" s="601"/>
      <c r="O229" s="13">
        <f t="shared" si="65"/>
        <v>1</v>
      </c>
      <c r="P229" s="601"/>
      <c r="Q229" s="13">
        <f t="shared" si="66"/>
        <v>0</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0</v>
      </c>
      <c r="N230" s="601"/>
      <c r="O230" s="13">
        <f t="shared" si="65"/>
        <v>1</v>
      </c>
      <c r="P230" s="601"/>
      <c r="Q230" s="13">
        <f t="shared" si="66"/>
        <v>0</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0</v>
      </c>
      <c r="N231" s="601"/>
      <c r="O231" s="13">
        <f t="shared" si="65"/>
        <v>1</v>
      </c>
      <c r="P231" s="601"/>
      <c r="Q231" s="13">
        <f t="shared" si="66"/>
        <v>0</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0</v>
      </c>
      <c r="N232" s="601"/>
      <c r="O232" s="13">
        <f t="shared" si="65"/>
        <v>1</v>
      </c>
      <c r="P232" s="601"/>
      <c r="Q232" s="13">
        <f t="shared" si="66"/>
        <v>0</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0</v>
      </c>
      <c r="N233" s="601"/>
      <c r="O233" s="13">
        <f t="shared" si="65"/>
        <v>1</v>
      </c>
      <c r="P233" s="601"/>
      <c r="Q233" s="13">
        <f t="shared" si="66"/>
        <v>0</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0</v>
      </c>
      <c r="N234" s="601"/>
      <c r="O234" s="13">
        <f t="shared" si="65"/>
        <v>1</v>
      </c>
      <c r="P234" s="601"/>
      <c r="Q234" s="13">
        <f t="shared" si="66"/>
        <v>0</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0</v>
      </c>
      <c r="N235" s="601"/>
      <c r="O235" s="13">
        <f t="shared" si="65"/>
        <v>1</v>
      </c>
      <c r="P235" s="601"/>
      <c r="Q235" s="13">
        <f t="shared" si="66"/>
        <v>0</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0</v>
      </c>
      <c r="N236" s="601"/>
      <c r="O236" s="13">
        <f t="shared" si="65"/>
        <v>1</v>
      </c>
      <c r="P236" s="601"/>
      <c r="Q236" s="13">
        <f t="shared" si="66"/>
        <v>0</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0</v>
      </c>
      <c r="N237" s="601"/>
      <c r="O237" s="13">
        <f t="shared" si="65"/>
        <v>1</v>
      </c>
      <c r="P237" s="601"/>
      <c r="Q237" s="13">
        <f t="shared" si="66"/>
        <v>0</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0</v>
      </c>
      <c r="N238" s="601"/>
      <c r="O238" s="13">
        <f t="shared" si="65"/>
        <v>1</v>
      </c>
      <c r="P238" s="601"/>
      <c r="Q238" s="13">
        <f t="shared" si="66"/>
        <v>0</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0</v>
      </c>
      <c r="N239" s="601"/>
      <c r="O239" s="13">
        <f t="shared" si="65"/>
        <v>1</v>
      </c>
      <c r="P239" s="601"/>
      <c r="Q239" s="13">
        <f t="shared" si="66"/>
        <v>0</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0</v>
      </c>
      <c r="N240" s="601"/>
      <c r="O240" s="13">
        <f t="shared" si="65"/>
        <v>1</v>
      </c>
      <c r="P240" s="601"/>
      <c r="Q240" s="13">
        <f t="shared" si="66"/>
        <v>0</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0</v>
      </c>
      <c r="N241" s="601"/>
      <c r="O241" s="13">
        <f t="shared" si="65"/>
        <v>1</v>
      </c>
      <c r="P241" s="601"/>
      <c r="Q241" s="13">
        <f t="shared" si="66"/>
        <v>0</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0</v>
      </c>
      <c r="N242" s="601"/>
      <c r="O242" s="13">
        <f t="shared" si="65"/>
        <v>1</v>
      </c>
      <c r="P242" s="601"/>
      <c r="Q242" s="13">
        <f t="shared" si="66"/>
        <v>0</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0</v>
      </c>
      <c r="N243" s="601"/>
      <c r="O243" s="13">
        <f t="shared" si="65"/>
        <v>1</v>
      </c>
      <c r="P243" s="601"/>
      <c r="Q243" s="13">
        <f t="shared" si="66"/>
        <v>0</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0</v>
      </c>
      <c r="N244" s="601"/>
      <c r="O244" s="13">
        <f t="shared" si="65"/>
        <v>1</v>
      </c>
      <c r="P244" s="601"/>
      <c r="Q244" s="13">
        <f t="shared" si="66"/>
        <v>0</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0</v>
      </c>
      <c r="N245" s="601"/>
      <c r="O245" s="13">
        <f t="shared" si="65"/>
        <v>1</v>
      </c>
      <c r="P245" s="601"/>
      <c r="Q245" s="13">
        <f t="shared" si="66"/>
        <v>0</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0</v>
      </c>
      <c r="N246" s="601"/>
      <c r="O246" s="13">
        <f t="shared" si="65"/>
        <v>1</v>
      </c>
      <c r="P246" s="601"/>
      <c r="Q246" s="13">
        <f t="shared" si="66"/>
        <v>0</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0</v>
      </c>
      <c r="N247" s="601"/>
      <c r="O247" s="13">
        <f t="shared" si="65"/>
        <v>1</v>
      </c>
      <c r="P247" s="601"/>
      <c r="Q247" s="13">
        <f t="shared" si="66"/>
        <v>0</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0</v>
      </c>
      <c r="N248" s="601"/>
      <c r="O248" s="13">
        <f t="shared" si="65"/>
        <v>1</v>
      </c>
      <c r="P248" s="601"/>
      <c r="Q248" s="13">
        <f t="shared" si="66"/>
        <v>0</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0</v>
      </c>
      <c r="N249" s="601"/>
      <c r="O249" s="13">
        <f t="shared" si="65"/>
        <v>1</v>
      </c>
      <c r="P249" s="601"/>
      <c r="Q249" s="13">
        <f t="shared" si="66"/>
        <v>0</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0</v>
      </c>
      <c r="N250" s="601"/>
      <c r="O250" s="13">
        <f t="shared" si="65"/>
        <v>1</v>
      </c>
      <c r="P250" s="601"/>
      <c r="Q250" s="13">
        <f t="shared" si="66"/>
        <v>0</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0</v>
      </c>
      <c r="N251" s="601"/>
      <c r="O251" s="13">
        <f t="shared" si="65"/>
        <v>1</v>
      </c>
      <c r="P251" s="601"/>
      <c r="Q251" s="13">
        <f t="shared" si="66"/>
        <v>0</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0</v>
      </c>
      <c r="N252" s="601"/>
      <c r="O252" s="13">
        <f t="shared" si="65"/>
        <v>1</v>
      </c>
      <c r="P252" s="601"/>
      <c r="Q252" s="13">
        <f t="shared" si="66"/>
        <v>0</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0</v>
      </c>
      <c r="N253" s="601"/>
      <c r="O253" s="13">
        <f t="shared" si="65"/>
        <v>1</v>
      </c>
      <c r="P253" s="601"/>
      <c r="Q253" s="13">
        <f t="shared" si="66"/>
        <v>0</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0</v>
      </c>
      <c r="N254" s="601"/>
      <c r="O254" s="13">
        <f t="shared" si="65"/>
        <v>1</v>
      </c>
      <c r="P254" s="601"/>
      <c r="Q254" s="13">
        <f t="shared" si="66"/>
        <v>0</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0</v>
      </c>
      <c r="N255" s="601"/>
      <c r="O255" s="13">
        <f t="shared" si="65"/>
        <v>1</v>
      </c>
      <c r="P255" s="601"/>
      <c r="Q255" s="13">
        <f t="shared" si="66"/>
        <v>0</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0</v>
      </c>
      <c r="N256" s="601"/>
      <c r="O256" s="13">
        <f t="shared" si="65"/>
        <v>1</v>
      </c>
      <c r="P256" s="601"/>
      <c r="Q256" s="13">
        <f t="shared" si="66"/>
        <v>0</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0</v>
      </c>
      <c r="N257" s="601"/>
      <c r="O257" s="13">
        <f t="shared" si="65"/>
        <v>1</v>
      </c>
      <c r="P257" s="601"/>
      <c r="Q257" s="13">
        <f t="shared" si="66"/>
        <v>0</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0</v>
      </c>
      <c r="N258" s="601"/>
      <c r="O258" s="13">
        <f t="shared" si="65"/>
        <v>1</v>
      </c>
      <c r="P258" s="601"/>
      <c r="Q258" s="13">
        <f t="shared" si="66"/>
        <v>0</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0</v>
      </c>
      <c r="N259" s="601"/>
      <c r="O259" s="13">
        <f t="shared" si="65"/>
        <v>1</v>
      </c>
      <c r="P259" s="601"/>
      <c r="Q259" s="13">
        <f t="shared" si="66"/>
        <v>0</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0</v>
      </c>
      <c r="N260" s="601"/>
      <c r="O260" s="13">
        <f t="shared" si="65"/>
        <v>1</v>
      </c>
      <c r="P260" s="601"/>
      <c r="Q260" s="13">
        <f t="shared" si="66"/>
        <v>0</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0</v>
      </c>
      <c r="N261" s="601"/>
      <c r="O261" s="13">
        <f t="shared" si="65"/>
        <v>1</v>
      </c>
      <c r="P261" s="601"/>
      <c r="Q261" s="13">
        <f t="shared" si="66"/>
        <v>0</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0</v>
      </c>
      <c r="N262" s="601"/>
      <c r="O262" s="13">
        <f t="shared" si="65"/>
        <v>1</v>
      </c>
      <c r="P262" s="601"/>
      <c r="Q262" s="13">
        <f t="shared" si="66"/>
        <v>0</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0</v>
      </c>
      <c r="N263" s="601"/>
      <c r="O263" s="13">
        <f t="shared" si="65"/>
        <v>1</v>
      </c>
      <c r="P263" s="601"/>
      <c r="Q263" s="13">
        <f t="shared" si="66"/>
        <v>0</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0</v>
      </c>
      <c r="N264" s="601"/>
      <c r="O264" s="13">
        <f t="shared" si="65"/>
        <v>1</v>
      </c>
      <c r="P264" s="601"/>
      <c r="Q264" s="13">
        <f t="shared" si="66"/>
        <v>0</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0</v>
      </c>
      <c r="N265" s="601"/>
      <c r="O265" s="13">
        <f t="shared" si="65"/>
        <v>1</v>
      </c>
      <c r="P265" s="601"/>
      <c r="Q265" s="13">
        <f t="shared" si="66"/>
        <v>0</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0</v>
      </c>
      <c r="N266" s="601"/>
      <c r="O266" s="13">
        <f t="shared" si="65"/>
        <v>1</v>
      </c>
      <c r="P266" s="601"/>
      <c r="Q266" s="13">
        <f t="shared" si="66"/>
        <v>0</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0</v>
      </c>
      <c r="N267" s="601"/>
      <c r="O267" s="13">
        <f t="shared" si="65"/>
        <v>1</v>
      </c>
      <c r="P267" s="601"/>
      <c r="Q267" s="13">
        <f t="shared" si="66"/>
        <v>0</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0</v>
      </c>
      <c r="N268" s="601"/>
      <c r="O268" s="13">
        <f t="shared" si="65"/>
        <v>1</v>
      </c>
      <c r="P268" s="601"/>
      <c r="Q268" s="13">
        <f t="shared" si="66"/>
        <v>0</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0</v>
      </c>
      <c r="N269" s="601"/>
      <c r="O269" s="13">
        <f t="shared" si="65"/>
        <v>1</v>
      </c>
      <c r="P269" s="601"/>
      <c r="Q269" s="13">
        <f t="shared" si="66"/>
        <v>0</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0</v>
      </c>
      <c r="N270" s="601"/>
      <c r="O270" s="13">
        <f t="shared" si="65"/>
        <v>1</v>
      </c>
      <c r="P270" s="601"/>
      <c r="Q270" s="13">
        <f t="shared" si="66"/>
        <v>0</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0</v>
      </c>
      <c r="N271" s="601"/>
      <c r="O271" s="13">
        <f t="shared" si="65"/>
        <v>1</v>
      </c>
      <c r="P271" s="601"/>
      <c r="Q271" s="13">
        <f t="shared" si="66"/>
        <v>0</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0</v>
      </c>
      <c r="N272" s="601"/>
      <c r="O272" s="13">
        <f t="shared" si="65"/>
        <v>1</v>
      </c>
      <c r="P272" s="601"/>
      <c r="Q272" s="13">
        <f t="shared" si="66"/>
        <v>0</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0</v>
      </c>
      <c r="N273" s="601"/>
      <c r="O273" s="13">
        <f t="shared" si="65"/>
        <v>1</v>
      </c>
      <c r="P273" s="601"/>
      <c r="Q273" s="13">
        <f t="shared" si="66"/>
        <v>0</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0</v>
      </c>
      <c r="N274" s="601"/>
      <c r="O274" s="13">
        <f t="shared" si="65"/>
        <v>1</v>
      </c>
      <c r="P274" s="601"/>
      <c r="Q274" s="13">
        <f t="shared" si="66"/>
        <v>0</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0</v>
      </c>
      <c r="N275" s="601"/>
      <c r="O275" s="13">
        <f t="shared" si="65"/>
        <v>1</v>
      </c>
      <c r="P275" s="601"/>
      <c r="Q275" s="13">
        <f t="shared" si="66"/>
        <v>0</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0</v>
      </c>
      <c r="N276" s="601"/>
      <c r="O276" s="13">
        <f t="shared" si="65"/>
        <v>1</v>
      </c>
      <c r="P276" s="601"/>
      <c r="Q276" s="13">
        <f t="shared" si="66"/>
        <v>0</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0</v>
      </c>
      <c r="N277" s="601"/>
      <c r="O277" s="13">
        <f t="shared" si="65"/>
        <v>1</v>
      </c>
      <c r="P277" s="601"/>
      <c r="Q277" s="13">
        <f t="shared" si="66"/>
        <v>0</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0</v>
      </c>
      <c r="N278" s="601"/>
      <c r="O278" s="13">
        <f t="shared" si="65"/>
        <v>1</v>
      </c>
      <c r="P278" s="601"/>
      <c r="Q278" s="13">
        <f t="shared" si="66"/>
        <v>0</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0</v>
      </c>
      <c r="N279" s="601"/>
      <c r="O279" s="13">
        <f t="shared" si="65"/>
        <v>1</v>
      </c>
      <c r="P279" s="601"/>
      <c r="Q279" s="13">
        <f t="shared" si="66"/>
        <v>0</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0</v>
      </c>
      <c r="N280" s="601"/>
      <c r="O280" s="13">
        <f t="shared" si="65"/>
        <v>1</v>
      </c>
      <c r="P280" s="601"/>
      <c r="Q280" s="13">
        <f t="shared" si="66"/>
        <v>0</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0</v>
      </c>
      <c r="N281" s="601"/>
      <c r="O281" s="13">
        <f t="shared" si="65"/>
        <v>1</v>
      </c>
      <c r="P281" s="601"/>
      <c r="Q281" s="13">
        <f t="shared" si="66"/>
        <v>0</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0</v>
      </c>
      <c r="N282" s="601"/>
      <c r="O282" s="13">
        <f t="shared" si="65"/>
        <v>1</v>
      </c>
      <c r="P282" s="601"/>
      <c r="Q282" s="13">
        <f t="shared" si="66"/>
        <v>0</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0</v>
      </c>
      <c r="N283" s="601"/>
      <c r="O283" s="13">
        <f t="shared" si="65"/>
        <v>1</v>
      </c>
      <c r="P283" s="601"/>
      <c r="Q283" s="13">
        <f t="shared" si="66"/>
        <v>0</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0</v>
      </c>
      <c r="N284" s="601"/>
      <c r="O284" s="13">
        <f t="shared" ref="O284:O347" si="80">(SUMIF($18:$18,N284,$19:$19)-SUMIF($18:$18,$N$27,$19:$19)+100)/100</f>
        <v>1</v>
      </c>
      <c r="P284" s="601"/>
      <c r="Q284" s="13">
        <f t="shared" ref="Q284:Q347" si="81">(SUMIF($20:$20,P284,$21:$21)-SUMIF($20:$20,$P$27,$21:$21)+100)/100</f>
        <v>0</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0</v>
      </c>
      <c r="N285" s="601"/>
      <c r="O285" s="13">
        <f t="shared" si="80"/>
        <v>1</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0</v>
      </c>
      <c r="N286" s="601"/>
      <c r="O286" s="13">
        <f t="shared" si="80"/>
        <v>1</v>
      </c>
      <c r="P286" s="601"/>
      <c r="Q286" s="13">
        <f t="shared" si="81"/>
        <v>0</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0</v>
      </c>
      <c r="N287" s="601"/>
      <c r="O287" s="13">
        <f t="shared" si="80"/>
        <v>1</v>
      </c>
      <c r="P287" s="601"/>
      <c r="Q287" s="13">
        <f t="shared" si="81"/>
        <v>0</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0</v>
      </c>
      <c r="N288" s="601"/>
      <c r="O288" s="13">
        <f t="shared" si="80"/>
        <v>1</v>
      </c>
      <c r="P288" s="601"/>
      <c r="Q288" s="13">
        <f t="shared" si="81"/>
        <v>0</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0</v>
      </c>
      <c r="N289" s="601"/>
      <c r="O289" s="13">
        <f t="shared" si="80"/>
        <v>1</v>
      </c>
      <c r="P289" s="601"/>
      <c r="Q289" s="13">
        <f t="shared" si="81"/>
        <v>0</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0</v>
      </c>
      <c r="N290" s="601"/>
      <c r="O290" s="13">
        <f t="shared" si="80"/>
        <v>1</v>
      </c>
      <c r="P290" s="601"/>
      <c r="Q290" s="13">
        <f t="shared" si="81"/>
        <v>0</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0</v>
      </c>
      <c r="N291" s="601"/>
      <c r="O291" s="13">
        <f t="shared" si="80"/>
        <v>1</v>
      </c>
      <c r="P291" s="601"/>
      <c r="Q291" s="13">
        <f t="shared" si="81"/>
        <v>0</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0</v>
      </c>
      <c r="N292" s="601"/>
      <c r="O292" s="13">
        <f t="shared" si="80"/>
        <v>1</v>
      </c>
      <c r="P292" s="601"/>
      <c r="Q292" s="13">
        <f t="shared" si="81"/>
        <v>0</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0</v>
      </c>
      <c r="N293" s="601"/>
      <c r="O293" s="13">
        <f t="shared" si="80"/>
        <v>1</v>
      </c>
      <c r="P293" s="601"/>
      <c r="Q293" s="13">
        <f t="shared" si="81"/>
        <v>0</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0</v>
      </c>
      <c r="N294" s="601"/>
      <c r="O294" s="13">
        <f t="shared" si="80"/>
        <v>1</v>
      </c>
      <c r="P294" s="601"/>
      <c r="Q294" s="13">
        <f t="shared" si="81"/>
        <v>0</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0</v>
      </c>
      <c r="N295" s="601"/>
      <c r="O295" s="13">
        <f t="shared" si="80"/>
        <v>1</v>
      </c>
      <c r="P295" s="601"/>
      <c r="Q295" s="13">
        <f t="shared" si="81"/>
        <v>0</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0</v>
      </c>
      <c r="N296" s="601"/>
      <c r="O296" s="13">
        <f t="shared" si="80"/>
        <v>1</v>
      </c>
      <c r="P296" s="601"/>
      <c r="Q296" s="13">
        <f t="shared" si="81"/>
        <v>0</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0</v>
      </c>
      <c r="N297" s="601"/>
      <c r="O297" s="13">
        <f t="shared" si="80"/>
        <v>1</v>
      </c>
      <c r="P297" s="601"/>
      <c r="Q297" s="13">
        <f t="shared" si="81"/>
        <v>0</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0</v>
      </c>
      <c r="N298" s="601"/>
      <c r="O298" s="13">
        <f t="shared" si="80"/>
        <v>1</v>
      </c>
      <c r="P298" s="601"/>
      <c r="Q298" s="13">
        <f t="shared" si="81"/>
        <v>0</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0</v>
      </c>
      <c r="N299" s="601"/>
      <c r="O299" s="13">
        <f t="shared" si="80"/>
        <v>1</v>
      </c>
      <c r="P299" s="601"/>
      <c r="Q299" s="13">
        <f t="shared" si="81"/>
        <v>0</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0</v>
      </c>
      <c r="N300" s="601"/>
      <c r="O300" s="13">
        <f t="shared" si="80"/>
        <v>1</v>
      </c>
      <c r="P300" s="601"/>
      <c r="Q300" s="13">
        <f t="shared" si="81"/>
        <v>0</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0</v>
      </c>
      <c r="N301" s="601"/>
      <c r="O301" s="13">
        <f t="shared" si="80"/>
        <v>1</v>
      </c>
      <c r="P301" s="601"/>
      <c r="Q301" s="13">
        <f t="shared" si="81"/>
        <v>0</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0</v>
      </c>
      <c r="N302" s="601"/>
      <c r="O302" s="13">
        <f t="shared" si="80"/>
        <v>1</v>
      </c>
      <c r="P302" s="601"/>
      <c r="Q302" s="13">
        <f t="shared" si="81"/>
        <v>0</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0</v>
      </c>
      <c r="N303" s="601"/>
      <c r="O303" s="13">
        <f t="shared" si="80"/>
        <v>1</v>
      </c>
      <c r="P303" s="601"/>
      <c r="Q303" s="13">
        <f t="shared" si="81"/>
        <v>0</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0</v>
      </c>
      <c r="N304" s="601"/>
      <c r="O304" s="13">
        <f t="shared" si="80"/>
        <v>1</v>
      </c>
      <c r="P304" s="601"/>
      <c r="Q304" s="13">
        <f t="shared" si="81"/>
        <v>0</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0</v>
      </c>
      <c r="N305" s="601"/>
      <c r="O305" s="13">
        <f t="shared" si="80"/>
        <v>1</v>
      </c>
      <c r="P305" s="601"/>
      <c r="Q305" s="13">
        <f t="shared" si="81"/>
        <v>0</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0</v>
      </c>
      <c r="N306" s="601"/>
      <c r="O306" s="13">
        <f t="shared" si="80"/>
        <v>1</v>
      </c>
      <c r="P306" s="601"/>
      <c r="Q306" s="13">
        <f t="shared" si="81"/>
        <v>0</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0</v>
      </c>
      <c r="N307" s="601"/>
      <c r="O307" s="13">
        <f t="shared" si="80"/>
        <v>1</v>
      </c>
      <c r="P307" s="601"/>
      <c r="Q307" s="13">
        <f t="shared" si="81"/>
        <v>0</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0</v>
      </c>
      <c r="N308" s="601"/>
      <c r="O308" s="13">
        <f t="shared" si="80"/>
        <v>1</v>
      </c>
      <c r="P308" s="601"/>
      <c r="Q308" s="13">
        <f t="shared" si="81"/>
        <v>0</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0</v>
      </c>
      <c r="N309" s="601"/>
      <c r="O309" s="13">
        <f t="shared" si="80"/>
        <v>1</v>
      </c>
      <c r="P309" s="601"/>
      <c r="Q309" s="13">
        <f t="shared" si="81"/>
        <v>0</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0</v>
      </c>
      <c r="N310" s="601"/>
      <c r="O310" s="13">
        <f t="shared" si="80"/>
        <v>1</v>
      </c>
      <c r="P310" s="601"/>
      <c r="Q310" s="13">
        <f t="shared" si="81"/>
        <v>0</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0</v>
      </c>
      <c r="N311" s="601"/>
      <c r="O311" s="13">
        <f t="shared" si="80"/>
        <v>1</v>
      </c>
      <c r="P311" s="601"/>
      <c r="Q311" s="13">
        <f t="shared" si="81"/>
        <v>0</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0</v>
      </c>
      <c r="N312" s="601"/>
      <c r="O312" s="13">
        <f t="shared" si="80"/>
        <v>1</v>
      </c>
      <c r="P312" s="601"/>
      <c r="Q312" s="13">
        <f t="shared" si="81"/>
        <v>0</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0</v>
      </c>
      <c r="N313" s="601"/>
      <c r="O313" s="13">
        <f t="shared" si="80"/>
        <v>1</v>
      </c>
      <c r="P313" s="601"/>
      <c r="Q313" s="13">
        <f t="shared" si="81"/>
        <v>0</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0</v>
      </c>
      <c r="N314" s="601"/>
      <c r="O314" s="13">
        <f t="shared" si="80"/>
        <v>1</v>
      </c>
      <c r="P314" s="601"/>
      <c r="Q314" s="13">
        <f t="shared" si="81"/>
        <v>0</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0</v>
      </c>
      <c r="N315" s="601"/>
      <c r="O315" s="13">
        <f t="shared" si="80"/>
        <v>1</v>
      </c>
      <c r="P315" s="601"/>
      <c r="Q315" s="13">
        <f t="shared" si="81"/>
        <v>0</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0</v>
      </c>
      <c r="N316" s="601"/>
      <c r="O316" s="13">
        <f t="shared" si="80"/>
        <v>1</v>
      </c>
      <c r="P316" s="601"/>
      <c r="Q316" s="13">
        <f t="shared" si="81"/>
        <v>0</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0</v>
      </c>
      <c r="N317" s="601"/>
      <c r="O317" s="13">
        <f t="shared" si="80"/>
        <v>1</v>
      </c>
      <c r="P317" s="601"/>
      <c r="Q317" s="13">
        <f t="shared" si="81"/>
        <v>0</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0</v>
      </c>
      <c r="N318" s="601"/>
      <c r="O318" s="13">
        <f t="shared" si="80"/>
        <v>1</v>
      </c>
      <c r="P318" s="601"/>
      <c r="Q318" s="13">
        <f t="shared" si="81"/>
        <v>0</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0</v>
      </c>
      <c r="N319" s="601"/>
      <c r="O319" s="13">
        <f t="shared" si="80"/>
        <v>1</v>
      </c>
      <c r="P319" s="601"/>
      <c r="Q319" s="13">
        <f t="shared" si="81"/>
        <v>0</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0</v>
      </c>
      <c r="N320" s="601"/>
      <c r="O320" s="13">
        <f t="shared" si="80"/>
        <v>1</v>
      </c>
      <c r="P320" s="601"/>
      <c r="Q320" s="13">
        <f t="shared" si="81"/>
        <v>0</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0</v>
      </c>
      <c r="N321" s="601"/>
      <c r="O321" s="13">
        <f t="shared" si="80"/>
        <v>1</v>
      </c>
      <c r="P321" s="601"/>
      <c r="Q321" s="13">
        <f t="shared" si="81"/>
        <v>0</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0</v>
      </c>
      <c r="N322" s="601"/>
      <c r="O322" s="13">
        <f t="shared" si="80"/>
        <v>1</v>
      </c>
      <c r="P322" s="601"/>
      <c r="Q322" s="13">
        <f t="shared" si="81"/>
        <v>0</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0</v>
      </c>
      <c r="N323" s="601"/>
      <c r="O323" s="13">
        <f t="shared" si="80"/>
        <v>1</v>
      </c>
      <c r="P323" s="601"/>
      <c r="Q323" s="13">
        <f t="shared" si="81"/>
        <v>0</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0</v>
      </c>
      <c r="N324" s="601"/>
      <c r="O324" s="13">
        <f t="shared" si="80"/>
        <v>1</v>
      </c>
      <c r="P324" s="601"/>
      <c r="Q324" s="13">
        <f t="shared" si="81"/>
        <v>0</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0</v>
      </c>
      <c r="N325" s="601"/>
      <c r="O325" s="13">
        <f t="shared" si="80"/>
        <v>1</v>
      </c>
      <c r="P325" s="601"/>
      <c r="Q325" s="13">
        <f t="shared" si="81"/>
        <v>0</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0</v>
      </c>
      <c r="N326" s="601"/>
      <c r="O326" s="13">
        <f t="shared" si="80"/>
        <v>1</v>
      </c>
      <c r="P326" s="601"/>
      <c r="Q326" s="13">
        <f t="shared" si="81"/>
        <v>0</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0</v>
      </c>
      <c r="N327" s="601"/>
      <c r="O327" s="13">
        <f t="shared" si="80"/>
        <v>1</v>
      </c>
      <c r="P327" s="601"/>
      <c r="Q327" s="13">
        <f t="shared" si="81"/>
        <v>0</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0</v>
      </c>
      <c r="N328" s="601"/>
      <c r="O328" s="13">
        <f t="shared" si="80"/>
        <v>1</v>
      </c>
      <c r="P328" s="601"/>
      <c r="Q328" s="13">
        <f t="shared" si="81"/>
        <v>0</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0</v>
      </c>
      <c r="N329" s="601"/>
      <c r="O329" s="13">
        <f t="shared" si="80"/>
        <v>1</v>
      </c>
      <c r="P329" s="601"/>
      <c r="Q329" s="13">
        <f t="shared" si="81"/>
        <v>0</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0</v>
      </c>
      <c r="N330" s="601"/>
      <c r="O330" s="13">
        <f t="shared" si="80"/>
        <v>1</v>
      </c>
      <c r="P330" s="601"/>
      <c r="Q330" s="13">
        <f t="shared" si="81"/>
        <v>0</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0</v>
      </c>
      <c r="N331" s="601"/>
      <c r="O331" s="13">
        <f t="shared" si="80"/>
        <v>1</v>
      </c>
      <c r="P331" s="601"/>
      <c r="Q331" s="13">
        <f t="shared" si="81"/>
        <v>0</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0</v>
      </c>
      <c r="N332" s="601"/>
      <c r="O332" s="13">
        <f t="shared" si="80"/>
        <v>1</v>
      </c>
      <c r="P332" s="601"/>
      <c r="Q332" s="13">
        <f t="shared" si="81"/>
        <v>0</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0</v>
      </c>
      <c r="N333" s="601"/>
      <c r="O333" s="13">
        <f t="shared" si="80"/>
        <v>1</v>
      </c>
      <c r="P333" s="601"/>
      <c r="Q333" s="13">
        <f t="shared" si="81"/>
        <v>0</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0</v>
      </c>
      <c r="N334" s="601"/>
      <c r="O334" s="13">
        <f t="shared" si="80"/>
        <v>1</v>
      </c>
      <c r="P334" s="601"/>
      <c r="Q334" s="13">
        <f t="shared" si="81"/>
        <v>0</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0</v>
      </c>
      <c r="N335" s="601"/>
      <c r="O335" s="13">
        <f t="shared" si="80"/>
        <v>1</v>
      </c>
      <c r="P335" s="601"/>
      <c r="Q335" s="13">
        <f t="shared" si="81"/>
        <v>0</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0</v>
      </c>
      <c r="N336" s="601"/>
      <c r="O336" s="13">
        <f t="shared" si="80"/>
        <v>1</v>
      </c>
      <c r="P336" s="601"/>
      <c r="Q336" s="13">
        <f t="shared" si="81"/>
        <v>0</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0</v>
      </c>
      <c r="N337" s="601"/>
      <c r="O337" s="13">
        <f t="shared" si="80"/>
        <v>1</v>
      </c>
      <c r="P337" s="601"/>
      <c r="Q337" s="13">
        <f t="shared" si="81"/>
        <v>0</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0</v>
      </c>
      <c r="N338" s="601"/>
      <c r="O338" s="13">
        <f t="shared" si="80"/>
        <v>1</v>
      </c>
      <c r="P338" s="601"/>
      <c r="Q338" s="13">
        <f t="shared" si="81"/>
        <v>0</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0</v>
      </c>
      <c r="N339" s="601"/>
      <c r="O339" s="13">
        <f t="shared" si="80"/>
        <v>1</v>
      </c>
      <c r="P339" s="601"/>
      <c r="Q339" s="13">
        <f t="shared" si="81"/>
        <v>0</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0</v>
      </c>
      <c r="N340" s="601"/>
      <c r="O340" s="13">
        <f t="shared" si="80"/>
        <v>1</v>
      </c>
      <c r="P340" s="601"/>
      <c r="Q340" s="13">
        <f t="shared" si="81"/>
        <v>0</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0</v>
      </c>
      <c r="N341" s="601"/>
      <c r="O341" s="13">
        <f t="shared" si="80"/>
        <v>1</v>
      </c>
      <c r="P341" s="601"/>
      <c r="Q341" s="13">
        <f t="shared" si="81"/>
        <v>0</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0</v>
      </c>
      <c r="N342" s="601"/>
      <c r="O342" s="13">
        <f t="shared" si="80"/>
        <v>1</v>
      </c>
      <c r="P342" s="601"/>
      <c r="Q342" s="13">
        <f t="shared" si="81"/>
        <v>0</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0</v>
      </c>
      <c r="N343" s="601"/>
      <c r="O343" s="13">
        <f t="shared" si="80"/>
        <v>1</v>
      </c>
      <c r="P343" s="601"/>
      <c r="Q343" s="13">
        <f t="shared" si="81"/>
        <v>0</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0</v>
      </c>
      <c r="N344" s="601"/>
      <c r="O344" s="13">
        <f t="shared" si="80"/>
        <v>1</v>
      </c>
      <c r="P344" s="601"/>
      <c r="Q344" s="13">
        <f t="shared" si="81"/>
        <v>0</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0</v>
      </c>
      <c r="N345" s="601"/>
      <c r="O345" s="13">
        <f t="shared" si="80"/>
        <v>1</v>
      </c>
      <c r="P345" s="601"/>
      <c r="Q345" s="13">
        <f t="shared" si="81"/>
        <v>0</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0</v>
      </c>
      <c r="N346" s="601"/>
      <c r="O346" s="13">
        <f t="shared" si="80"/>
        <v>1</v>
      </c>
      <c r="P346" s="601"/>
      <c r="Q346" s="13">
        <f t="shared" si="81"/>
        <v>0</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0</v>
      </c>
      <c r="N347" s="601"/>
      <c r="O347" s="13">
        <f t="shared" si="80"/>
        <v>1</v>
      </c>
      <c r="P347" s="601"/>
      <c r="Q347" s="13">
        <f t="shared" si="81"/>
        <v>0</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0</v>
      </c>
      <c r="N348" s="601"/>
      <c r="O348" s="13">
        <f t="shared" ref="O348:O411" si="95">(SUMIF($18:$18,N348,$19:$19)-SUMIF($18:$18,$N$27,$19:$19)+100)/100</f>
        <v>1</v>
      </c>
      <c r="P348" s="601"/>
      <c r="Q348" s="13">
        <f t="shared" ref="Q348:Q411" si="96">(SUMIF($20:$20,P348,$21:$21)-SUMIF($20:$20,$P$27,$21:$21)+100)/100</f>
        <v>0</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0</v>
      </c>
      <c r="N349" s="601"/>
      <c r="O349" s="13">
        <f t="shared" si="95"/>
        <v>1</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0</v>
      </c>
      <c r="N350" s="601"/>
      <c r="O350" s="13">
        <f t="shared" si="95"/>
        <v>1</v>
      </c>
      <c r="P350" s="601"/>
      <c r="Q350" s="13">
        <f t="shared" si="96"/>
        <v>0</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0</v>
      </c>
      <c r="N351" s="601"/>
      <c r="O351" s="13">
        <f t="shared" si="95"/>
        <v>1</v>
      </c>
      <c r="P351" s="601"/>
      <c r="Q351" s="13">
        <f t="shared" si="96"/>
        <v>0</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0</v>
      </c>
      <c r="N352" s="601"/>
      <c r="O352" s="13">
        <f t="shared" si="95"/>
        <v>1</v>
      </c>
      <c r="P352" s="601"/>
      <c r="Q352" s="13">
        <f t="shared" si="96"/>
        <v>0</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0</v>
      </c>
      <c r="N353" s="601"/>
      <c r="O353" s="13">
        <f t="shared" si="95"/>
        <v>1</v>
      </c>
      <c r="P353" s="601"/>
      <c r="Q353" s="13">
        <f t="shared" si="96"/>
        <v>0</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0</v>
      </c>
      <c r="N354" s="601"/>
      <c r="O354" s="13">
        <f t="shared" si="95"/>
        <v>1</v>
      </c>
      <c r="P354" s="601"/>
      <c r="Q354" s="13">
        <f t="shared" si="96"/>
        <v>0</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0</v>
      </c>
      <c r="N355" s="601"/>
      <c r="O355" s="13">
        <f t="shared" si="95"/>
        <v>1</v>
      </c>
      <c r="P355" s="601"/>
      <c r="Q355" s="13">
        <f t="shared" si="96"/>
        <v>0</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0</v>
      </c>
      <c r="N356" s="601"/>
      <c r="O356" s="13">
        <f t="shared" si="95"/>
        <v>1</v>
      </c>
      <c r="P356" s="601"/>
      <c r="Q356" s="13">
        <f t="shared" si="96"/>
        <v>0</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0</v>
      </c>
      <c r="N357" s="601"/>
      <c r="O357" s="13">
        <f t="shared" si="95"/>
        <v>1</v>
      </c>
      <c r="P357" s="601"/>
      <c r="Q357" s="13">
        <f t="shared" si="96"/>
        <v>0</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0</v>
      </c>
      <c r="N358" s="601"/>
      <c r="O358" s="13">
        <f t="shared" si="95"/>
        <v>1</v>
      </c>
      <c r="P358" s="601"/>
      <c r="Q358" s="13">
        <f t="shared" si="96"/>
        <v>0</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0</v>
      </c>
      <c r="N359" s="601"/>
      <c r="O359" s="13">
        <f t="shared" si="95"/>
        <v>1</v>
      </c>
      <c r="P359" s="601"/>
      <c r="Q359" s="13">
        <f t="shared" si="96"/>
        <v>0</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0</v>
      </c>
      <c r="N360" s="601"/>
      <c r="O360" s="13">
        <f t="shared" si="95"/>
        <v>1</v>
      </c>
      <c r="P360" s="601"/>
      <c r="Q360" s="13">
        <f t="shared" si="96"/>
        <v>0</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0</v>
      </c>
      <c r="N361" s="601"/>
      <c r="O361" s="13">
        <f t="shared" si="95"/>
        <v>1</v>
      </c>
      <c r="P361" s="601"/>
      <c r="Q361" s="13">
        <f t="shared" si="96"/>
        <v>0</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0</v>
      </c>
      <c r="N362" s="601"/>
      <c r="O362" s="13">
        <f t="shared" si="95"/>
        <v>1</v>
      </c>
      <c r="P362" s="601"/>
      <c r="Q362" s="13">
        <f t="shared" si="96"/>
        <v>0</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0</v>
      </c>
      <c r="N363" s="601"/>
      <c r="O363" s="13">
        <f t="shared" si="95"/>
        <v>1</v>
      </c>
      <c r="P363" s="601"/>
      <c r="Q363" s="13">
        <f t="shared" si="96"/>
        <v>0</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0</v>
      </c>
      <c r="N364" s="601"/>
      <c r="O364" s="13">
        <f t="shared" si="95"/>
        <v>1</v>
      </c>
      <c r="P364" s="601"/>
      <c r="Q364" s="13">
        <f t="shared" si="96"/>
        <v>0</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0</v>
      </c>
      <c r="N365" s="601"/>
      <c r="O365" s="13">
        <f t="shared" si="95"/>
        <v>1</v>
      </c>
      <c r="P365" s="601"/>
      <c r="Q365" s="13">
        <f t="shared" si="96"/>
        <v>0</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0</v>
      </c>
      <c r="N366" s="601"/>
      <c r="O366" s="13">
        <f t="shared" si="95"/>
        <v>1</v>
      </c>
      <c r="P366" s="601"/>
      <c r="Q366" s="13">
        <f t="shared" si="96"/>
        <v>0</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0</v>
      </c>
      <c r="N367" s="601"/>
      <c r="O367" s="13">
        <f t="shared" si="95"/>
        <v>1</v>
      </c>
      <c r="P367" s="601"/>
      <c r="Q367" s="13">
        <f t="shared" si="96"/>
        <v>0</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0</v>
      </c>
      <c r="N368" s="601"/>
      <c r="O368" s="13">
        <f t="shared" si="95"/>
        <v>1</v>
      </c>
      <c r="P368" s="601"/>
      <c r="Q368" s="13">
        <f t="shared" si="96"/>
        <v>0</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0</v>
      </c>
      <c r="N369" s="601"/>
      <c r="O369" s="13">
        <f t="shared" si="95"/>
        <v>1</v>
      </c>
      <c r="P369" s="601"/>
      <c r="Q369" s="13">
        <f t="shared" si="96"/>
        <v>0</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0</v>
      </c>
      <c r="N370" s="601"/>
      <c r="O370" s="13">
        <f t="shared" si="95"/>
        <v>1</v>
      </c>
      <c r="P370" s="601"/>
      <c r="Q370" s="13">
        <f t="shared" si="96"/>
        <v>0</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0</v>
      </c>
      <c r="N371" s="601"/>
      <c r="O371" s="13">
        <f t="shared" si="95"/>
        <v>1</v>
      </c>
      <c r="P371" s="601"/>
      <c r="Q371" s="13">
        <f t="shared" si="96"/>
        <v>0</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0</v>
      </c>
      <c r="N372" s="601"/>
      <c r="O372" s="13">
        <f t="shared" si="95"/>
        <v>1</v>
      </c>
      <c r="P372" s="601"/>
      <c r="Q372" s="13">
        <f t="shared" si="96"/>
        <v>0</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0</v>
      </c>
      <c r="N373" s="601"/>
      <c r="O373" s="13">
        <f t="shared" si="95"/>
        <v>1</v>
      </c>
      <c r="P373" s="601"/>
      <c r="Q373" s="13">
        <f t="shared" si="96"/>
        <v>0</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0</v>
      </c>
      <c r="N374" s="601"/>
      <c r="O374" s="13">
        <f t="shared" si="95"/>
        <v>1</v>
      </c>
      <c r="P374" s="601"/>
      <c r="Q374" s="13">
        <f t="shared" si="96"/>
        <v>0</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0</v>
      </c>
      <c r="N375" s="601"/>
      <c r="O375" s="13">
        <f t="shared" si="95"/>
        <v>1</v>
      </c>
      <c r="P375" s="601"/>
      <c r="Q375" s="13">
        <f t="shared" si="96"/>
        <v>0</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0</v>
      </c>
      <c r="N376" s="601"/>
      <c r="O376" s="13">
        <f t="shared" si="95"/>
        <v>1</v>
      </c>
      <c r="P376" s="601"/>
      <c r="Q376" s="13">
        <f t="shared" si="96"/>
        <v>0</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0</v>
      </c>
      <c r="N377" s="601"/>
      <c r="O377" s="13">
        <f t="shared" si="95"/>
        <v>1</v>
      </c>
      <c r="P377" s="601"/>
      <c r="Q377" s="13">
        <f t="shared" si="96"/>
        <v>0</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0</v>
      </c>
      <c r="N378" s="601"/>
      <c r="O378" s="13">
        <f t="shared" si="95"/>
        <v>1</v>
      </c>
      <c r="P378" s="601"/>
      <c r="Q378" s="13">
        <f t="shared" si="96"/>
        <v>0</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0</v>
      </c>
      <c r="N379" s="601"/>
      <c r="O379" s="13">
        <f t="shared" si="95"/>
        <v>1</v>
      </c>
      <c r="P379" s="601"/>
      <c r="Q379" s="13">
        <f t="shared" si="96"/>
        <v>0</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0</v>
      </c>
      <c r="N380" s="601"/>
      <c r="O380" s="13">
        <f t="shared" si="95"/>
        <v>1</v>
      </c>
      <c r="P380" s="601"/>
      <c r="Q380" s="13">
        <f t="shared" si="96"/>
        <v>0</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0</v>
      </c>
      <c r="N381" s="601"/>
      <c r="O381" s="13">
        <f t="shared" si="95"/>
        <v>1</v>
      </c>
      <c r="P381" s="601"/>
      <c r="Q381" s="13">
        <f t="shared" si="96"/>
        <v>0</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0</v>
      </c>
      <c r="N382" s="601"/>
      <c r="O382" s="13">
        <f t="shared" si="95"/>
        <v>1</v>
      </c>
      <c r="P382" s="601"/>
      <c r="Q382" s="13">
        <f t="shared" si="96"/>
        <v>0</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0</v>
      </c>
      <c r="N383" s="601"/>
      <c r="O383" s="13">
        <f t="shared" si="95"/>
        <v>1</v>
      </c>
      <c r="P383" s="601"/>
      <c r="Q383" s="13">
        <f t="shared" si="96"/>
        <v>0</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0</v>
      </c>
      <c r="N384" s="601"/>
      <c r="O384" s="13">
        <f t="shared" si="95"/>
        <v>1</v>
      </c>
      <c r="P384" s="601"/>
      <c r="Q384" s="13">
        <f t="shared" si="96"/>
        <v>0</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0</v>
      </c>
      <c r="N385" s="601"/>
      <c r="O385" s="13">
        <f t="shared" si="95"/>
        <v>1</v>
      </c>
      <c r="P385" s="601"/>
      <c r="Q385" s="13">
        <f t="shared" si="96"/>
        <v>0</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0</v>
      </c>
      <c r="N386" s="601"/>
      <c r="O386" s="13">
        <f t="shared" si="95"/>
        <v>1</v>
      </c>
      <c r="P386" s="601"/>
      <c r="Q386" s="13">
        <f t="shared" si="96"/>
        <v>0</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0</v>
      </c>
      <c r="N387" s="601"/>
      <c r="O387" s="13">
        <f t="shared" si="95"/>
        <v>1</v>
      </c>
      <c r="P387" s="601"/>
      <c r="Q387" s="13">
        <f t="shared" si="96"/>
        <v>0</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0</v>
      </c>
      <c r="N388" s="601"/>
      <c r="O388" s="13">
        <f t="shared" si="95"/>
        <v>1</v>
      </c>
      <c r="P388" s="601"/>
      <c r="Q388" s="13">
        <f t="shared" si="96"/>
        <v>0</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0</v>
      </c>
      <c r="N389" s="601"/>
      <c r="O389" s="13">
        <f t="shared" si="95"/>
        <v>1</v>
      </c>
      <c r="P389" s="601"/>
      <c r="Q389" s="13">
        <f t="shared" si="96"/>
        <v>0</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0</v>
      </c>
      <c r="N390" s="601"/>
      <c r="O390" s="13">
        <f t="shared" si="95"/>
        <v>1</v>
      </c>
      <c r="P390" s="601"/>
      <c r="Q390" s="13">
        <f t="shared" si="96"/>
        <v>0</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0</v>
      </c>
      <c r="N391" s="601"/>
      <c r="O391" s="13">
        <f t="shared" si="95"/>
        <v>1</v>
      </c>
      <c r="P391" s="601"/>
      <c r="Q391" s="13">
        <f t="shared" si="96"/>
        <v>0</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0</v>
      </c>
      <c r="N392" s="601"/>
      <c r="O392" s="13">
        <f t="shared" si="95"/>
        <v>1</v>
      </c>
      <c r="P392" s="601"/>
      <c r="Q392" s="13">
        <f t="shared" si="96"/>
        <v>0</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0</v>
      </c>
      <c r="N393" s="601"/>
      <c r="O393" s="13">
        <f t="shared" si="95"/>
        <v>1</v>
      </c>
      <c r="P393" s="601"/>
      <c r="Q393" s="13">
        <f t="shared" si="96"/>
        <v>0</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0</v>
      </c>
      <c r="N394" s="601"/>
      <c r="O394" s="13">
        <f t="shared" si="95"/>
        <v>1</v>
      </c>
      <c r="P394" s="601"/>
      <c r="Q394" s="13">
        <f t="shared" si="96"/>
        <v>0</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0</v>
      </c>
      <c r="N395" s="601"/>
      <c r="O395" s="13">
        <f t="shared" si="95"/>
        <v>1</v>
      </c>
      <c r="P395" s="601"/>
      <c r="Q395" s="13">
        <f t="shared" si="96"/>
        <v>0</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0</v>
      </c>
      <c r="N396" s="601"/>
      <c r="O396" s="13">
        <f t="shared" si="95"/>
        <v>1</v>
      </c>
      <c r="P396" s="601"/>
      <c r="Q396" s="13">
        <f t="shared" si="96"/>
        <v>0</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0</v>
      </c>
      <c r="N397" s="601"/>
      <c r="O397" s="13">
        <f t="shared" si="95"/>
        <v>1</v>
      </c>
      <c r="P397" s="601"/>
      <c r="Q397" s="13">
        <f t="shared" si="96"/>
        <v>0</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0</v>
      </c>
      <c r="N398" s="601"/>
      <c r="O398" s="13">
        <f t="shared" si="95"/>
        <v>1</v>
      </c>
      <c r="P398" s="601"/>
      <c r="Q398" s="13">
        <f t="shared" si="96"/>
        <v>0</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0</v>
      </c>
      <c r="N399" s="601"/>
      <c r="O399" s="13">
        <f t="shared" si="95"/>
        <v>1</v>
      </c>
      <c r="P399" s="601"/>
      <c r="Q399" s="13">
        <f t="shared" si="96"/>
        <v>0</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0</v>
      </c>
      <c r="N400" s="601"/>
      <c r="O400" s="13">
        <f t="shared" si="95"/>
        <v>1</v>
      </c>
      <c r="P400" s="601"/>
      <c r="Q400" s="13">
        <f t="shared" si="96"/>
        <v>0</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0</v>
      </c>
      <c r="N401" s="601"/>
      <c r="O401" s="13">
        <f t="shared" si="95"/>
        <v>1</v>
      </c>
      <c r="P401" s="601"/>
      <c r="Q401" s="13">
        <f t="shared" si="96"/>
        <v>0</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0</v>
      </c>
      <c r="N402" s="601"/>
      <c r="O402" s="13">
        <f t="shared" si="95"/>
        <v>1</v>
      </c>
      <c r="P402" s="601"/>
      <c r="Q402" s="13">
        <f t="shared" si="96"/>
        <v>0</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0</v>
      </c>
      <c r="N403" s="601"/>
      <c r="O403" s="13">
        <f t="shared" si="95"/>
        <v>1</v>
      </c>
      <c r="P403" s="601"/>
      <c r="Q403" s="13">
        <f t="shared" si="96"/>
        <v>0</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0</v>
      </c>
      <c r="N404" s="601"/>
      <c r="O404" s="13">
        <f t="shared" si="95"/>
        <v>1</v>
      </c>
      <c r="P404" s="601"/>
      <c r="Q404" s="13">
        <f t="shared" si="96"/>
        <v>0</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0</v>
      </c>
      <c r="N405" s="601"/>
      <c r="O405" s="13">
        <f t="shared" si="95"/>
        <v>1</v>
      </c>
      <c r="P405" s="601"/>
      <c r="Q405" s="13">
        <f t="shared" si="96"/>
        <v>0</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0</v>
      </c>
      <c r="N406" s="601"/>
      <c r="O406" s="13">
        <f t="shared" si="95"/>
        <v>1</v>
      </c>
      <c r="P406" s="601"/>
      <c r="Q406" s="13">
        <f t="shared" si="96"/>
        <v>0</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0</v>
      </c>
      <c r="N407" s="601"/>
      <c r="O407" s="13">
        <f t="shared" si="95"/>
        <v>1</v>
      </c>
      <c r="P407" s="601"/>
      <c r="Q407" s="13">
        <f t="shared" si="96"/>
        <v>0</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0</v>
      </c>
      <c r="N408" s="601"/>
      <c r="O408" s="13">
        <f t="shared" si="95"/>
        <v>1</v>
      </c>
      <c r="P408" s="601"/>
      <c r="Q408" s="13">
        <f t="shared" si="96"/>
        <v>0</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0</v>
      </c>
      <c r="N409" s="601"/>
      <c r="O409" s="13">
        <f t="shared" si="95"/>
        <v>1</v>
      </c>
      <c r="P409" s="601"/>
      <c r="Q409" s="13">
        <f t="shared" si="96"/>
        <v>0</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0</v>
      </c>
      <c r="N410" s="601"/>
      <c r="O410" s="13">
        <f t="shared" si="95"/>
        <v>1</v>
      </c>
      <c r="P410" s="601"/>
      <c r="Q410" s="13">
        <f t="shared" si="96"/>
        <v>0</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0</v>
      </c>
      <c r="N411" s="601"/>
      <c r="O411" s="13">
        <f t="shared" si="95"/>
        <v>1</v>
      </c>
      <c r="P411" s="601"/>
      <c r="Q411" s="13">
        <f t="shared" si="96"/>
        <v>0</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0</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0</v>
      </c>
      <c r="N413" s="601"/>
      <c r="O413" s="13">
        <f t="shared" si="110"/>
        <v>1</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0</v>
      </c>
      <c r="N414" s="601"/>
      <c r="O414" s="13">
        <f t="shared" si="110"/>
        <v>1</v>
      </c>
      <c r="P414" s="601"/>
      <c r="Q414" s="13">
        <f t="shared" si="111"/>
        <v>0</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0</v>
      </c>
      <c r="N415" s="601"/>
      <c r="O415" s="13">
        <f t="shared" si="110"/>
        <v>1</v>
      </c>
      <c r="P415" s="601"/>
      <c r="Q415" s="13">
        <f t="shared" si="111"/>
        <v>0</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0</v>
      </c>
      <c r="N416" s="601"/>
      <c r="O416" s="13">
        <f t="shared" si="110"/>
        <v>1</v>
      </c>
      <c r="P416" s="601"/>
      <c r="Q416" s="13">
        <f t="shared" si="111"/>
        <v>0</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0</v>
      </c>
      <c r="N417" s="601"/>
      <c r="O417" s="13">
        <f t="shared" si="110"/>
        <v>1</v>
      </c>
      <c r="P417" s="601"/>
      <c r="Q417" s="13">
        <f t="shared" si="111"/>
        <v>0</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0</v>
      </c>
      <c r="N418" s="601"/>
      <c r="O418" s="13">
        <f t="shared" si="110"/>
        <v>1</v>
      </c>
      <c r="P418" s="601"/>
      <c r="Q418" s="13">
        <f t="shared" si="111"/>
        <v>0</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0</v>
      </c>
      <c r="N419" s="601"/>
      <c r="O419" s="13">
        <f t="shared" si="110"/>
        <v>1</v>
      </c>
      <c r="P419" s="601"/>
      <c r="Q419" s="13">
        <f t="shared" si="111"/>
        <v>0</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0</v>
      </c>
      <c r="N420" s="601"/>
      <c r="O420" s="13">
        <f t="shared" si="110"/>
        <v>1</v>
      </c>
      <c r="P420" s="601"/>
      <c r="Q420" s="13">
        <f t="shared" si="111"/>
        <v>0</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0</v>
      </c>
      <c r="N421" s="601"/>
      <c r="O421" s="13">
        <f t="shared" si="110"/>
        <v>1</v>
      </c>
      <c r="P421" s="601"/>
      <c r="Q421" s="13">
        <f t="shared" si="111"/>
        <v>0</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0</v>
      </c>
      <c r="N422" s="601"/>
      <c r="O422" s="13">
        <f t="shared" si="110"/>
        <v>1</v>
      </c>
      <c r="P422" s="601"/>
      <c r="Q422" s="13">
        <f t="shared" si="111"/>
        <v>0</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0</v>
      </c>
      <c r="N423" s="601"/>
      <c r="O423" s="13">
        <f t="shared" si="110"/>
        <v>1</v>
      </c>
      <c r="P423" s="601"/>
      <c r="Q423" s="13">
        <f t="shared" si="111"/>
        <v>0</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0</v>
      </c>
      <c r="N424" s="601"/>
      <c r="O424" s="13">
        <f t="shared" si="110"/>
        <v>1</v>
      </c>
      <c r="P424" s="601"/>
      <c r="Q424" s="13">
        <f t="shared" si="111"/>
        <v>0</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0</v>
      </c>
      <c r="N425" s="601"/>
      <c r="O425" s="13">
        <f t="shared" si="110"/>
        <v>1</v>
      </c>
      <c r="P425" s="601"/>
      <c r="Q425" s="13">
        <f t="shared" si="111"/>
        <v>0</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0</v>
      </c>
      <c r="N426" s="601"/>
      <c r="O426" s="13">
        <f t="shared" si="110"/>
        <v>1</v>
      </c>
      <c r="P426" s="601"/>
      <c r="Q426" s="13">
        <f t="shared" si="111"/>
        <v>0</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0</v>
      </c>
      <c r="N427" s="601"/>
      <c r="O427" s="13">
        <f t="shared" si="110"/>
        <v>1</v>
      </c>
      <c r="P427" s="601"/>
      <c r="Q427" s="13">
        <f t="shared" si="111"/>
        <v>0</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0</v>
      </c>
      <c r="N428" s="601"/>
      <c r="O428" s="13">
        <f t="shared" si="110"/>
        <v>1</v>
      </c>
      <c r="P428" s="601"/>
      <c r="Q428" s="13">
        <f t="shared" si="111"/>
        <v>0</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0</v>
      </c>
      <c r="N429" s="601"/>
      <c r="O429" s="13">
        <f t="shared" si="110"/>
        <v>1</v>
      </c>
      <c r="P429" s="601"/>
      <c r="Q429" s="13">
        <f t="shared" si="111"/>
        <v>0</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0</v>
      </c>
      <c r="N430" s="601"/>
      <c r="O430" s="13">
        <f t="shared" si="110"/>
        <v>1</v>
      </c>
      <c r="P430" s="601"/>
      <c r="Q430" s="13">
        <f t="shared" si="111"/>
        <v>0</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0</v>
      </c>
      <c r="N431" s="601"/>
      <c r="O431" s="13">
        <f t="shared" si="110"/>
        <v>1</v>
      </c>
      <c r="P431" s="601"/>
      <c r="Q431" s="13">
        <f t="shared" si="111"/>
        <v>0</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0</v>
      </c>
      <c r="N432" s="601"/>
      <c r="O432" s="13">
        <f t="shared" si="110"/>
        <v>1</v>
      </c>
      <c r="P432" s="601"/>
      <c r="Q432" s="13">
        <f t="shared" si="111"/>
        <v>0</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0</v>
      </c>
      <c r="N433" s="601"/>
      <c r="O433" s="13">
        <f t="shared" si="110"/>
        <v>1</v>
      </c>
      <c r="P433" s="601"/>
      <c r="Q433" s="13">
        <f t="shared" si="111"/>
        <v>0</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0</v>
      </c>
      <c r="N434" s="601"/>
      <c r="O434" s="13">
        <f t="shared" si="110"/>
        <v>1</v>
      </c>
      <c r="P434" s="601"/>
      <c r="Q434" s="13">
        <f t="shared" si="111"/>
        <v>0</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0</v>
      </c>
      <c r="N435" s="601"/>
      <c r="O435" s="13">
        <f t="shared" si="110"/>
        <v>1</v>
      </c>
      <c r="P435" s="601"/>
      <c r="Q435" s="13">
        <f t="shared" si="111"/>
        <v>0</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0</v>
      </c>
      <c r="N436" s="601"/>
      <c r="O436" s="13">
        <f t="shared" si="110"/>
        <v>1</v>
      </c>
      <c r="P436" s="601"/>
      <c r="Q436" s="13">
        <f t="shared" si="111"/>
        <v>0</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0</v>
      </c>
      <c r="N437" s="601"/>
      <c r="O437" s="13">
        <f t="shared" si="110"/>
        <v>1</v>
      </c>
      <c r="P437" s="601"/>
      <c r="Q437" s="13">
        <f t="shared" si="111"/>
        <v>0</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0</v>
      </c>
      <c r="N438" s="601"/>
      <c r="O438" s="13">
        <f t="shared" si="110"/>
        <v>1</v>
      </c>
      <c r="P438" s="601"/>
      <c r="Q438" s="13">
        <f t="shared" si="111"/>
        <v>0</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0</v>
      </c>
      <c r="N439" s="601"/>
      <c r="O439" s="13">
        <f t="shared" si="110"/>
        <v>1</v>
      </c>
      <c r="P439" s="601"/>
      <c r="Q439" s="13">
        <f t="shared" si="111"/>
        <v>0</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0</v>
      </c>
      <c r="N440" s="601"/>
      <c r="O440" s="13">
        <f t="shared" si="110"/>
        <v>1</v>
      </c>
      <c r="P440" s="601"/>
      <c r="Q440" s="13">
        <f t="shared" si="111"/>
        <v>0</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0</v>
      </c>
      <c r="N441" s="601"/>
      <c r="O441" s="13">
        <f t="shared" si="110"/>
        <v>1</v>
      </c>
      <c r="P441" s="601"/>
      <c r="Q441" s="13">
        <f t="shared" si="111"/>
        <v>0</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0</v>
      </c>
      <c r="N442" s="601"/>
      <c r="O442" s="13">
        <f t="shared" si="110"/>
        <v>1</v>
      </c>
      <c r="P442" s="601"/>
      <c r="Q442" s="13">
        <f t="shared" si="111"/>
        <v>0</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0</v>
      </c>
      <c r="N443" s="601"/>
      <c r="O443" s="13">
        <f t="shared" si="110"/>
        <v>1</v>
      </c>
      <c r="P443" s="601"/>
      <c r="Q443" s="13">
        <f t="shared" si="111"/>
        <v>0</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0</v>
      </c>
      <c r="N444" s="601"/>
      <c r="O444" s="13">
        <f t="shared" si="110"/>
        <v>1</v>
      </c>
      <c r="P444" s="601"/>
      <c r="Q444" s="13">
        <f t="shared" si="111"/>
        <v>0</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0</v>
      </c>
      <c r="N445" s="601"/>
      <c r="O445" s="13">
        <f t="shared" si="110"/>
        <v>1</v>
      </c>
      <c r="P445" s="601"/>
      <c r="Q445" s="13">
        <f t="shared" si="111"/>
        <v>0</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0</v>
      </c>
      <c r="N446" s="601"/>
      <c r="O446" s="13">
        <f t="shared" si="110"/>
        <v>1</v>
      </c>
      <c r="P446" s="601"/>
      <c r="Q446" s="13">
        <f t="shared" si="111"/>
        <v>0</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0</v>
      </c>
      <c r="N447" s="601"/>
      <c r="O447" s="13">
        <f t="shared" si="110"/>
        <v>1</v>
      </c>
      <c r="P447" s="601"/>
      <c r="Q447" s="13">
        <f t="shared" si="111"/>
        <v>0</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0</v>
      </c>
      <c r="N448" s="601"/>
      <c r="O448" s="13">
        <f t="shared" si="110"/>
        <v>1</v>
      </c>
      <c r="P448" s="601"/>
      <c r="Q448" s="13">
        <f t="shared" si="111"/>
        <v>0</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0</v>
      </c>
      <c r="N449" s="601"/>
      <c r="O449" s="13">
        <f t="shared" si="110"/>
        <v>1</v>
      </c>
      <c r="P449" s="601"/>
      <c r="Q449" s="13">
        <f t="shared" si="111"/>
        <v>0</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0</v>
      </c>
      <c r="N450" s="601"/>
      <c r="O450" s="13">
        <f t="shared" si="110"/>
        <v>1</v>
      </c>
      <c r="P450" s="601"/>
      <c r="Q450" s="13">
        <f t="shared" si="111"/>
        <v>0</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0</v>
      </c>
      <c r="N451" s="601"/>
      <c r="O451" s="13">
        <f t="shared" si="110"/>
        <v>1</v>
      </c>
      <c r="P451" s="601"/>
      <c r="Q451" s="13">
        <f t="shared" si="111"/>
        <v>0</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0</v>
      </c>
      <c r="N452" s="601"/>
      <c r="O452" s="13">
        <f t="shared" si="110"/>
        <v>1</v>
      </c>
      <c r="P452" s="601"/>
      <c r="Q452" s="13">
        <f t="shared" si="111"/>
        <v>0</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0</v>
      </c>
      <c r="N453" s="601"/>
      <c r="O453" s="13">
        <f t="shared" si="110"/>
        <v>1</v>
      </c>
      <c r="P453" s="601"/>
      <c r="Q453" s="13">
        <f t="shared" si="111"/>
        <v>0</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0</v>
      </c>
      <c r="N454" s="601"/>
      <c r="O454" s="13">
        <f t="shared" si="110"/>
        <v>1</v>
      </c>
      <c r="P454" s="601"/>
      <c r="Q454" s="13">
        <f t="shared" si="111"/>
        <v>0</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0</v>
      </c>
      <c r="N455" s="601"/>
      <c r="O455" s="13">
        <f t="shared" si="110"/>
        <v>1</v>
      </c>
      <c r="P455" s="601"/>
      <c r="Q455" s="13">
        <f t="shared" si="111"/>
        <v>0</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0</v>
      </c>
      <c r="N456" s="601"/>
      <c r="O456" s="13">
        <f t="shared" si="110"/>
        <v>1</v>
      </c>
      <c r="P456" s="601"/>
      <c r="Q456" s="13">
        <f t="shared" si="111"/>
        <v>0</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0</v>
      </c>
      <c r="N457" s="601"/>
      <c r="O457" s="13">
        <f t="shared" si="110"/>
        <v>1</v>
      </c>
      <c r="P457" s="601"/>
      <c r="Q457" s="13">
        <f t="shared" si="111"/>
        <v>0</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0</v>
      </c>
      <c r="N458" s="601"/>
      <c r="O458" s="13">
        <f t="shared" si="110"/>
        <v>1</v>
      </c>
      <c r="P458" s="601"/>
      <c r="Q458" s="13">
        <f t="shared" si="111"/>
        <v>0</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0</v>
      </c>
      <c r="N459" s="601"/>
      <c r="O459" s="13">
        <f t="shared" si="110"/>
        <v>1</v>
      </c>
      <c r="P459" s="601"/>
      <c r="Q459" s="13">
        <f t="shared" si="111"/>
        <v>0</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0</v>
      </c>
      <c r="N460" s="601"/>
      <c r="O460" s="13">
        <f t="shared" si="110"/>
        <v>1</v>
      </c>
      <c r="P460" s="601"/>
      <c r="Q460" s="13">
        <f t="shared" si="111"/>
        <v>0</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0</v>
      </c>
      <c r="N461" s="601"/>
      <c r="O461" s="13">
        <f t="shared" si="110"/>
        <v>1</v>
      </c>
      <c r="P461" s="601"/>
      <c r="Q461" s="13">
        <f t="shared" si="111"/>
        <v>0</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0</v>
      </c>
      <c r="N462" s="601"/>
      <c r="O462" s="13">
        <f t="shared" si="110"/>
        <v>1</v>
      </c>
      <c r="P462" s="601"/>
      <c r="Q462" s="13">
        <f t="shared" si="111"/>
        <v>0</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0</v>
      </c>
      <c r="N463" s="601"/>
      <c r="O463" s="13">
        <f t="shared" si="110"/>
        <v>1</v>
      </c>
      <c r="P463" s="601"/>
      <c r="Q463" s="13">
        <f t="shared" si="111"/>
        <v>0</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0</v>
      </c>
      <c r="N464" s="601"/>
      <c r="O464" s="13">
        <f t="shared" si="110"/>
        <v>1</v>
      </c>
      <c r="P464" s="601"/>
      <c r="Q464" s="13">
        <f t="shared" si="111"/>
        <v>0</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0</v>
      </c>
      <c r="N465" s="601"/>
      <c r="O465" s="13">
        <f t="shared" si="110"/>
        <v>1</v>
      </c>
      <c r="P465" s="601"/>
      <c r="Q465" s="13">
        <f t="shared" si="111"/>
        <v>0</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0</v>
      </c>
      <c r="N466" s="601"/>
      <c r="O466" s="13">
        <f t="shared" si="110"/>
        <v>1</v>
      </c>
      <c r="P466" s="601"/>
      <c r="Q466" s="13">
        <f t="shared" si="111"/>
        <v>0</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0</v>
      </c>
      <c r="N467" s="601"/>
      <c r="O467" s="13">
        <f t="shared" si="110"/>
        <v>1</v>
      </c>
      <c r="P467" s="601"/>
      <c r="Q467" s="13">
        <f t="shared" si="111"/>
        <v>0</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0</v>
      </c>
      <c r="N468" s="601"/>
      <c r="O468" s="13">
        <f t="shared" si="110"/>
        <v>1</v>
      </c>
      <c r="P468" s="601"/>
      <c r="Q468" s="13">
        <f t="shared" si="111"/>
        <v>0</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0</v>
      </c>
      <c r="N469" s="601"/>
      <c r="O469" s="13">
        <f t="shared" si="110"/>
        <v>1</v>
      </c>
      <c r="P469" s="601"/>
      <c r="Q469" s="13">
        <f t="shared" si="111"/>
        <v>0</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0</v>
      </c>
      <c r="N470" s="601"/>
      <c r="O470" s="13">
        <f t="shared" si="110"/>
        <v>1</v>
      </c>
      <c r="P470" s="601"/>
      <c r="Q470" s="13">
        <f t="shared" si="111"/>
        <v>0</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0</v>
      </c>
      <c r="N471" s="601"/>
      <c r="O471" s="13">
        <f t="shared" si="110"/>
        <v>1</v>
      </c>
      <c r="P471" s="601"/>
      <c r="Q471" s="13">
        <f t="shared" si="111"/>
        <v>0</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0</v>
      </c>
      <c r="N472" s="601"/>
      <c r="O472" s="13">
        <f t="shared" si="110"/>
        <v>1</v>
      </c>
      <c r="P472" s="601"/>
      <c r="Q472" s="13">
        <f t="shared" si="111"/>
        <v>0</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0</v>
      </c>
      <c r="N473" s="601"/>
      <c r="O473" s="13">
        <f t="shared" si="110"/>
        <v>1</v>
      </c>
      <c r="P473" s="601"/>
      <c r="Q473" s="13">
        <f t="shared" si="111"/>
        <v>0</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0</v>
      </c>
      <c r="N474" s="601"/>
      <c r="O474" s="13">
        <f t="shared" si="110"/>
        <v>1</v>
      </c>
      <c r="P474" s="601"/>
      <c r="Q474" s="13">
        <f t="shared" si="111"/>
        <v>0</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0</v>
      </c>
      <c r="N475" s="601"/>
      <c r="O475" s="13">
        <f t="shared" si="110"/>
        <v>1</v>
      </c>
      <c r="P475" s="601"/>
      <c r="Q475" s="13">
        <f t="shared" si="111"/>
        <v>0</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0</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0</v>
      </c>
      <c r="N477" s="601"/>
      <c r="O477" s="13">
        <f t="shared" si="125"/>
        <v>1</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0</v>
      </c>
      <c r="N478" s="601"/>
      <c r="O478" s="13">
        <f t="shared" si="125"/>
        <v>1</v>
      </c>
      <c r="P478" s="601"/>
      <c r="Q478" s="13">
        <f t="shared" si="126"/>
        <v>0</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0</v>
      </c>
      <c r="N479" s="601"/>
      <c r="O479" s="13">
        <f t="shared" si="125"/>
        <v>1</v>
      </c>
      <c r="P479" s="601"/>
      <c r="Q479" s="13">
        <f t="shared" si="126"/>
        <v>0</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0</v>
      </c>
      <c r="N480" s="601"/>
      <c r="O480" s="13">
        <f t="shared" si="125"/>
        <v>1</v>
      </c>
      <c r="P480" s="601"/>
      <c r="Q480" s="13">
        <f t="shared" si="126"/>
        <v>0</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0</v>
      </c>
      <c r="N481" s="601"/>
      <c r="O481" s="13">
        <f t="shared" si="125"/>
        <v>1</v>
      </c>
      <c r="P481" s="601"/>
      <c r="Q481" s="13">
        <f t="shared" si="126"/>
        <v>0</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0</v>
      </c>
      <c r="N482" s="601"/>
      <c r="O482" s="13">
        <f t="shared" si="125"/>
        <v>1</v>
      </c>
      <c r="P482" s="601"/>
      <c r="Q482" s="13">
        <f t="shared" si="126"/>
        <v>0</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0</v>
      </c>
      <c r="N483" s="601"/>
      <c r="O483" s="13">
        <f t="shared" si="125"/>
        <v>1</v>
      </c>
      <c r="P483" s="601"/>
      <c r="Q483" s="13">
        <f t="shared" si="126"/>
        <v>0</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0</v>
      </c>
      <c r="N484" s="601"/>
      <c r="O484" s="13">
        <f t="shared" si="125"/>
        <v>1</v>
      </c>
      <c r="P484" s="601"/>
      <c r="Q484" s="13">
        <f t="shared" si="126"/>
        <v>0</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0</v>
      </c>
      <c r="N485" s="601"/>
      <c r="O485" s="13">
        <f t="shared" si="125"/>
        <v>1</v>
      </c>
      <c r="P485" s="601"/>
      <c r="Q485" s="13">
        <f t="shared" si="126"/>
        <v>0</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0</v>
      </c>
      <c r="N486" s="601"/>
      <c r="O486" s="13">
        <f t="shared" si="125"/>
        <v>1</v>
      </c>
      <c r="P486" s="601"/>
      <c r="Q486" s="13">
        <f t="shared" si="126"/>
        <v>0</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0</v>
      </c>
      <c r="N487" s="601"/>
      <c r="O487" s="13">
        <f t="shared" si="125"/>
        <v>1</v>
      </c>
      <c r="P487" s="601"/>
      <c r="Q487" s="13">
        <f t="shared" si="126"/>
        <v>0</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0</v>
      </c>
      <c r="N488" s="601"/>
      <c r="O488" s="13">
        <f t="shared" si="125"/>
        <v>1</v>
      </c>
      <c r="P488" s="601"/>
      <c r="Q488" s="13">
        <f t="shared" si="126"/>
        <v>0</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0</v>
      </c>
      <c r="N489" s="601"/>
      <c r="O489" s="13">
        <f t="shared" si="125"/>
        <v>1</v>
      </c>
      <c r="P489" s="601"/>
      <c r="Q489" s="13">
        <f t="shared" si="126"/>
        <v>0</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0</v>
      </c>
      <c r="N490" s="601"/>
      <c r="O490" s="13">
        <f t="shared" si="125"/>
        <v>1</v>
      </c>
      <c r="P490" s="601"/>
      <c r="Q490" s="13">
        <f t="shared" si="126"/>
        <v>0</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0</v>
      </c>
      <c r="N491" s="601"/>
      <c r="O491" s="13">
        <f t="shared" si="125"/>
        <v>1</v>
      </c>
      <c r="P491" s="601"/>
      <c r="Q491" s="13">
        <f t="shared" si="126"/>
        <v>0</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0</v>
      </c>
      <c r="N492" s="601"/>
      <c r="O492" s="13">
        <f t="shared" si="125"/>
        <v>1</v>
      </c>
      <c r="P492" s="601"/>
      <c r="Q492" s="13">
        <f t="shared" si="126"/>
        <v>0</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0</v>
      </c>
      <c r="N493" s="601"/>
      <c r="O493" s="13">
        <f t="shared" si="125"/>
        <v>1</v>
      </c>
      <c r="P493" s="601"/>
      <c r="Q493" s="13">
        <f t="shared" si="126"/>
        <v>0</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0</v>
      </c>
      <c r="N494" s="601"/>
      <c r="O494" s="13">
        <f t="shared" si="125"/>
        <v>1</v>
      </c>
      <c r="P494" s="601"/>
      <c r="Q494" s="13">
        <f t="shared" si="126"/>
        <v>0</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0</v>
      </c>
      <c r="N495" s="601"/>
      <c r="O495" s="13">
        <f t="shared" si="125"/>
        <v>1</v>
      </c>
      <c r="P495" s="601"/>
      <c r="Q495" s="13">
        <f t="shared" si="126"/>
        <v>0</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0</v>
      </c>
      <c r="N496" s="601"/>
      <c r="O496" s="13">
        <f t="shared" si="125"/>
        <v>1</v>
      </c>
      <c r="P496" s="601"/>
      <c r="Q496" s="13">
        <f t="shared" si="126"/>
        <v>0</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0</v>
      </c>
      <c r="N497" s="601"/>
      <c r="O497" s="13">
        <f t="shared" si="125"/>
        <v>1</v>
      </c>
      <c r="P497" s="601"/>
      <c r="Q497" s="13">
        <f t="shared" si="126"/>
        <v>0</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0</v>
      </c>
      <c r="N498" s="601"/>
      <c r="O498" s="13">
        <f t="shared" si="125"/>
        <v>1</v>
      </c>
      <c r="P498" s="601"/>
      <c r="Q498" s="13">
        <f t="shared" si="126"/>
        <v>0</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0</v>
      </c>
      <c r="N499" s="601"/>
      <c r="O499" s="13">
        <f t="shared" si="125"/>
        <v>1</v>
      </c>
      <c r="P499" s="601"/>
      <c r="Q499" s="13">
        <f t="shared" si="126"/>
        <v>0</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0</v>
      </c>
      <c r="N500" s="601"/>
      <c r="O500" s="13">
        <f t="shared" si="125"/>
        <v>1</v>
      </c>
      <c r="P500" s="601"/>
      <c r="Q500" s="13">
        <f t="shared" si="126"/>
        <v>0</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0</v>
      </c>
      <c r="N501" s="601"/>
      <c r="O501" s="13">
        <f t="shared" si="125"/>
        <v>1</v>
      </c>
      <c r="P501" s="601"/>
      <c r="Q501" s="13">
        <f t="shared" si="126"/>
        <v>0</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0</v>
      </c>
      <c r="N502" s="601"/>
      <c r="O502" s="13">
        <f t="shared" si="125"/>
        <v>1</v>
      </c>
      <c r="P502" s="601"/>
      <c r="Q502" s="13">
        <f t="shared" si="126"/>
        <v>0</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0</v>
      </c>
      <c r="N503" s="601"/>
      <c r="O503" s="13">
        <f t="shared" si="125"/>
        <v>1</v>
      </c>
      <c r="P503" s="601"/>
      <c r="Q503" s="13">
        <f t="shared" si="126"/>
        <v>0</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0</v>
      </c>
      <c r="N504" s="601"/>
      <c r="O504" s="13">
        <f t="shared" si="125"/>
        <v>1</v>
      </c>
      <c r="P504" s="601"/>
      <c r="Q504" s="13">
        <f t="shared" si="126"/>
        <v>0</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0</v>
      </c>
      <c r="N505" s="601"/>
      <c r="O505" s="13">
        <f t="shared" si="125"/>
        <v>1</v>
      </c>
      <c r="P505" s="601"/>
      <c r="Q505" s="13">
        <f t="shared" si="126"/>
        <v>0</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0</v>
      </c>
      <c r="N506" s="601"/>
      <c r="O506" s="13">
        <f t="shared" si="125"/>
        <v>1</v>
      </c>
      <c r="P506" s="601"/>
      <c r="Q506" s="13">
        <f t="shared" si="126"/>
        <v>0</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0</v>
      </c>
      <c r="N507" s="601"/>
      <c r="O507" s="13">
        <f t="shared" si="125"/>
        <v>1</v>
      </c>
      <c r="P507" s="601"/>
      <c r="Q507" s="13">
        <f t="shared" si="126"/>
        <v>0</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0</v>
      </c>
      <c r="N508" s="601"/>
      <c r="O508" s="13">
        <f t="shared" si="125"/>
        <v>1</v>
      </c>
      <c r="P508" s="601"/>
      <c r="Q508" s="13">
        <f t="shared" si="126"/>
        <v>0</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0</v>
      </c>
      <c r="N509" s="601"/>
      <c r="O509" s="13">
        <f t="shared" si="125"/>
        <v>1</v>
      </c>
      <c r="P509" s="601"/>
      <c r="Q509" s="13">
        <f t="shared" si="126"/>
        <v>0</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0</v>
      </c>
      <c r="N510" s="601"/>
      <c r="O510" s="13">
        <f t="shared" si="125"/>
        <v>1</v>
      </c>
      <c r="P510" s="601"/>
      <c r="Q510" s="13">
        <f t="shared" si="126"/>
        <v>0</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0</v>
      </c>
      <c r="N511" s="601"/>
      <c r="O511" s="13">
        <f t="shared" si="125"/>
        <v>1</v>
      </c>
      <c r="P511" s="601"/>
      <c r="Q511" s="13">
        <f t="shared" si="126"/>
        <v>0</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0</v>
      </c>
      <c r="N512" s="601"/>
      <c r="O512" s="13">
        <f t="shared" si="125"/>
        <v>1</v>
      </c>
      <c r="P512" s="601"/>
      <c r="Q512" s="13">
        <f t="shared" si="126"/>
        <v>0</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0</v>
      </c>
      <c r="N513" s="601"/>
      <c r="O513" s="13">
        <f t="shared" si="125"/>
        <v>1</v>
      </c>
      <c r="P513" s="601"/>
      <c r="Q513" s="13">
        <f t="shared" si="126"/>
        <v>0</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0</v>
      </c>
      <c r="N514" s="601"/>
      <c r="O514" s="13">
        <f t="shared" si="125"/>
        <v>1</v>
      </c>
      <c r="P514" s="601"/>
      <c r="Q514" s="13">
        <f t="shared" si="126"/>
        <v>0</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0</v>
      </c>
      <c r="N515" s="601"/>
      <c r="O515" s="13">
        <f t="shared" si="125"/>
        <v>1</v>
      </c>
      <c r="P515" s="601"/>
      <c r="Q515" s="13">
        <f t="shared" si="126"/>
        <v>0</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0</v>
      </c>
      <c r="N516" s="601"/>
      <c r="O516" s="13">
        <f t="shared" si="125"/>
        <v>1</v>
      </c>
      <c r="P516" s="601"/>
      <c r="Q516" s="13">
        <f t="shared" si="126"/>
        <v>0</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0</v>
      </c>
      <c r="N517" s="601"/>
      <c r="O517" s="13">
        <f t="shared" si="125"/>
        <v>1</v>
      </c>
      <c r="P517" s="601"/>
      <c r="Q517" s="13">
        <f t="shared" si="126"/>
        <v>0</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0</v>
      </c>
      <c r="N518" s="601"/>
      <c r="O518" s="13">
        <f t="shared" si="125"/>
        <v>1</v>
      </c>
      <c r="P518" s="601"/>
      <c r="Q518" s="13">
        <f t="shared" si="126"/>
        <v>0</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0</v>
      </c>
      <c r="N519" s="601"/>
      <c r="O519" s="13">
        <f t="shared" si="125"/>
        <v>1</v>
      </c>
      <c r="P519" s="601"/>
      <c r="Q519" s="13">
        <f t="shared" si="126"/>
        <v>0</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0</v>
      </c>
      <c r="N520" s="601"/>
      <c r="O520" s="13">
        <f t="shared" si="125"/>
        <v>1</v>
      </c>
      <c r="P520" s="601"/>
      <c r="Q520" s="13">
        <f t="shared" si="126"/>
        <v>0</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0</v>
      </c>
      <c r="N521" s="601"/>
      <c r="O521" s="13">
        <f t="shared" si="125"/>
        <v>1</v>
      </c>
      <c r="P521" s="601"/>
      <c r="Q521" s="13">
        <f t="shared" si="126"/>
        <v>0</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0</v>
      </c>
      <c r="N522" s="601"/>
      <c r="O522" s="13">
        <f t="shared" si="125"/>
        <v>1</v>
      </c>
      <c r="P522" s="601"/>
      <c r="Q522" s="13">
        <f t="shared" si="126"/>
        <v>0</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0</v>
      </c>
      <c r="N523" s="601"/>
      <c r="O523" s="13">
        <f t="shared" si="125"/>
        <v>1</v>
      </c>
      <c r="P523" s="601"/>
      <c r="Q523" s="13">
        <f t="shared" si="126"/>
        <v>0</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0</v>
      </c>
      <c r="N524" s="601"/>
      <c r="O524" s="13">
        <f t="shared" si="125"/>
        <v>1</v>
      </c>
      <c r="P524" s="601"/>
      <c r="Q524" s="13">
        <f t="shared" si="126"/>
        <v>0</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0</v>
      </c>
      <c r="N525" s="601"/>
      <c r="O525" s="13">
        <f t="shared" si="125"/>
        <v>1</v>
      </c>
      <c r="P525" s="601"/>
      <c r="Q525" s="13">
        <f t="shared" si="126"/>
        <v>0</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0</v>
      </c>
      <c r="N526" s="601"/>
      <c r="O526" s="13">
        <f t="shared" si="125"/>
        <v>1</v>
      </c>
      <c r="P526" s="601"/>
      <c r="Q526" s="13">
        <f t="shared" si="126"/>
        <v>0</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0</v>
      </c>
      <c r="N527" s="601"/>
      <c r="O527" s="13">
        <f t="shared" si="125"/>
        <v>1</v>
      </c>
      <c r="P527" s="601"/>
      <c r="Q527" s="13">
        <f t="shared" si="126"/>
        <v>0</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81" customWidth="1"/>
    <col min="2" max="2" width="8.88671875" style="3081"/>
    <col min="3" max="5" width="12.88671875" style="3081" customWidth="1"/>
    <col min="6" max="6" width="47.44140625" style="3081" customWidth="1"/>
    <col min="7" max="7" width="13" style="3254" customWidth="1"/>
    <col min="8" max="8" width="8.88671875" style="3174"/>
    <col min="9" max="9" width="8.88671875" style="3175"/>
    <col min="10" max="10" width="5.77734375" style="3255" customWidth="1"/>
    <col min="11" max="11" width="11.77734375" style="3255" customWidth="1"/>
    <col min="12" max="13" width="10.77734375" style="3255" customWidth="1"/>
    <col min="14" max="14" width="10" style="3255" customWidth="1"/>
    <col min="15" max="16" width="10.44140625" style="3255" bestFit="1" customWidth="1"/>
    <col min="17" max="17" width="10" style="3255" customWidth="1"/>
    <col min="18" max="18" width="10.109375" style="3255" customWidth="1"/>
    <col min="19" max="19" width="10" style="3255" customWidth="1"/>
    <col min="20" max="20" width="26.109375" style="3255" customWidth="1"/>
    <col min="21" max="21" width="8.88671875" style="3255"/>
    <col min="22" max="22" width="8.88671875" style="3175"/>
    <col min="23" max="23" width="8.88671875" style="3174"/>
    <col min="24" max="256" width="8.88671875" style="3081"/>
    <col min="257" max="257" width="9.44140625" style="3081" customWidth="1"/>
    <col min="258" max="258" width="8.88671875" style="3081"/>
    <col min="259" max="261" width="12.88671875" style="3081" customWidth="1"/>
    <col min="262" max="262" width="47.44140625" style="3081" customWidth="1"/>
    <col min="263" max="263" width="13" style="3081" customWidth="1"/>
    <col min="264" max="265" width="8.88671875" style="3081"/>
    <col min="266" max="266" width="5.77734375" style="3081" customWidth="1"/>
    <col min="267" max="267" width="11.77734375" style="3081" customWidth="1"/>
    <col min="268" max="269" width="10.77734375" style="3081" customWidth="1"/>
    <col min="270" max="270" width="10" style="3081" customWidth="1"/>
    <col min="271" max="272" width="10.44140625" style="3081" bestFit="1" customWidth="1"/>
    <col min="273" max="273" width="10" style="3081" customWidth="1"/>
    <col min="274" max="274" width="10.109375" style="3081" customWidth="1"/>
    <col min="275" max="275" width="10" style="3081" customWidth="1"/>
    <col min="276" max="276" width="26.109375" style="3081" customWidth="1"/>
    <col min="277" max="512" width="8.88671875" style="3081"/>
    <col min="513" max="513" width="9.44140625" style="3081" customWidth="1"/>
    <col min="514" max="514" width="8.88671875" style="3081"/>
    <col min="515" max="517" width="12.88671875" style="3081" customWidth="1"/>
    <col min="518" max="518" width="47.44140625" style="3081" customWidth="1"/>
    <col min="519" max="519" width="13" style="3081" customWidth="1"/>
    <col min="520" max="521" width="8.88671875" style="3081"/>
    <col min="522" max="522" width="5.77734375" style="3081" customWidth="1"/>
    <col min="523" max="523" width="11.77734375" style="3081" customWidth="1"/>
    <col min="524" max="525" width="10.77734375" style="3081" customWidth="1"/>
    <col min="526" max="526" width="10" style="3081" customWidth="1"/>
    <col min="527" max="528" width="10.44140625" style="3081" bestFit="1" customWidth="1"/>
    <col min="529" max="529" width="10" style="3081" customWidth="1"/>
    <col min="530" max="530" width="10.109375" style="3081" customWidth="1"/>
    <col min="531" max="531" width="10" style="3081" customWidth="1"/>
    <col min="532" max="532" width="26.109375" style="3081" customWidth="1"/>
    <col min="533" max="768" width="8.88671875" style="3081"/>
    <col min="769" max="769" width="9.44140625" style="3081" customWidth="1"/>
    <col min="770" max="770" width="8.88671875" style="3081"/>
    <col min="771" max="773" width="12.88671875" style="3081" customWidth="1"/>
    <col min="774" max="774" width="47.44140625" style="3081" customWidth="1"/>
    <col min="775" max="775" width="13" style="3081" customWidth="1"/>
    <col min="776" max="777" width="8.88671875" style="3081"/>
    <col min="778" max="778" width="5.77734375" style="3081" customWidth="1"/>
    <col min="779" max="779" width="11.77734375" style="3081" customWidth="1"/>
    <col min="780" max="781" width="10.77734375" style="3081" customWidth="1"/>
    <col min="782" max="782" width="10" style="3081" customWidth="1"/>
    <col min="783" max="784" width="10.44140625" style="3081" bestFit="1" customWidth="1"/>
    <col min="785" max="785" width="10" style="3081" customWidth="1"/>
    <col min="786" max="786" width="10.109375" style="3081" customWidth="1"/>
    <col min="787" max="787" width="10" style="3081" customWidth="1"/>
    <col min="788" max="788" width="26.109375" style="3081" customWidth="1"/>
    <col min="789" max="1024" width="8.88671875" style="3081"/>
    <col min="1025" max="1025" width="9.44140625" style="3081" customWidth="1"/>
    <col min="1026" max="1026" width="8.88671875" style="3081"/>
    <col min="1027" max="1029" width="12.88671875" style="3081" customWidth="1"/>
    <col min="1030" max="1030" width="47.44140625" style="3081" customWidth="1"/>
    <col min="1031" max="1031" width="13" style="3081" customWidth="1"/>
    <col min="1032" max="1033" width="8.88671875" style="3081"/>
    <col min="1034" max="1034" width="5.77734375" style="3081" customWidth="1"/>
    <col min="1035" max="1035" width="11.77734375" style="3081" customWidth="1"/>
    <col min="1036" max="1037" width="10.77734375" style="3081" customWidth="1"/>
    <col min="1038" max="1038" width="10" style="3081" customWidth="1"/>
    <col min="1039" max="1040" width="10.44140625" style="3081" bestFit="1" customWidth="1"/>
    <col min="1041" max="1041" width="10" style="3081" customWidth="1"/>
    <col min="1042" max="1042" width="10.109375" style="3081" customWidth="1"/>
    <col min="1043" max="1043" width="10" style="3081" customWidth="1"/>
    <col min="1044" max="1044" width="26.109375" style="3081" customWidth="1"/>
    <col min="1045" max="1280" width="8.88671875" style="3081"/>
    <col min="1281" max="1281" width="9.44140625" style="3081" customWidth="1"/>
    <col min="1282" max="1282" width="8.88671875" style="3081"/>
    <col min="1283" max="1285" width="12.88671875" style="3081" customWidth="1"/>
    <col min="1286" max="1286" width="47.44140625" style="3081" customWidth="1"/>
    <col min="1287" max="1287" width="13" style="3081" customWidth="1"/>
    <col min="1288" max="1289" width="8.88671875" style="3081"/>
    <col min="1290" max="1290" width="5.77734375" style="3081" customWidth="1"/>
    <col min="1291" max="1291" width="11.77734375" style="3081" customWidth="1"/>
    <col min="1292" max="1293" width="10.77734375" style="3081" customWidth="1"/>
    <col min="1294" max="1294" width="10" style="3081" customWidth="1"/>
    <col min="1295" max="1296" width="10.44140625" style="3081" bestFit="1" customWidth="1"/>
    <col min="1297" max="1297" width="10" style="3081" customWidth="1"/>
    <col min="1298" max="1298" width="10.109375" style="3081" customWidth="1"/>
    <col min="1299" max="1299" width="10" style="3081" customWidth="1"/>
    <col min="1300" max="1300" width="26.109375" style="3081" customWidth="1"/>
    <col min="1301" max="1536" width="8.88671875" style="3081"/>
    <col min="1537" max="1537" width="9.44140625" style="3081" customWidth="1"/>
    <col min="1538" max="1538" width="8.88671875" style="3081"/>
    <col min="1539" max="1541" width="12.88671875" style="3081" customWidth="1"/>
    <col min="1542" max="1542" width="47.44140625" style="3081" customWidth="1"/>
    <col min="1543" max="1543" width="13" style="3081" customWidth="1"/>
    <col min="1544" max="1545" width="8.88671875" style="3081"/>
    <col min="1546" max="1546" width="5.77734375" style="3081" customWidth="1"/>
    <col min="1547" max="1547" width="11.77734375" style="3081" customWidth="1"/>
    <col min="1548" max="1549" width="10.77734375" style="3081" customWidth="1"/>
    <col min="1550" max="1550" width="10" style="3081" customWidth="1"/>
    <col min="1551" max="1552" width="10.44140625" style="3081" bestFit="1" customWidth="1"/>
    <col min="1553" max="1553" width="10" style="3081" customWidth="1"/>
    <col min="1554" max="1554" width="10.109375" style="3081" customWidth="1"/>
    <col min="1555" max="1555" width="10" style="3081" customWidth="1"/>
    <col min="1556" max="1556" width="26.109375" style="3081" customWidth="1"/>
    <col min="1557" max="1792" width="8.88671875" style="3081"/>
    <col min="1793" max="1793" width="9.44140625" style="3081" customWidth="1"/>
    <col min="1794" max="1794" width="8.88671875" style="3081"/>
    <col min="1795" max="1797" width="12.88671875" style="3081" customWidth="1"/>
    <col min="1798" max="1798" width="47.44140625" style="3081" customWidth="1"/>
    <col min="1799" max="1799" width="13" style="3081" customWidth="1"/>
    <col min="1800" max="1801" width="8.88671875" style="3081"/>
    <col min="1802" max="1802" width="5.77734375" style="3081" customWidth="1"/>
    <col min="1803" max="1803" width="11.77734375" style="3081" customWidth="1"/>
    <col min="1804" max="1805" width="10.77734375" style="3081" customWidth="1"/>
    <col min="1806" max="1806" width="10" style="3081" customWidth="1"/>
    <col min="1807" max="1808" width="10.44140625" style="3081" bestFit="1" customWidth="1"/>
    <col min="1809" max="1809" width="10" style="3081" customWidth="1"/>
    <col min="1810" max="1810" width="10.109375" style="3081" customWidth="1"/>
    <col min="1811" max="1811" width="10" style="3081" customWidth="1"/>
    <col min="1812" max="1812" width="26.109375" style="3081" customWidth="1"/>
    <col min="1813" max="2048" width="8.88671875" style="3081"/>
    <col min="2049" max="2049" width="9.44140625" style="3081" customWidth="1"/>
    <col min="2050" max="2050" width="8.88671875" style="3081"/>
    <col min="2051" max="2053" width="12.88671875" style="3081" customWidth="1"/>
    <col min="2054" max="2054" width="47.44140625" style="3081" customWidth="1"/>
    <col min="2055" max="2055" width="13" style="3081" customWidth="1"/>
    <col min="2056" max="2057" width="8.88671875" style="3081"/>
    <col min="2058" max="2058" width="5.77734375" style="3081" customWidth="1"/>
    <col min="2059" max="2059" width="11.77734375" style="3081" customWidth="1"/>
    <col min="2060" max="2061" width="10.77734375" style="3081" customWidth="1"/>
    <col min="2062" max="2062" width="10" style="3081" customWidth="1"/>
    <col min="2063" max="2064" width="10.44140625" style="3081" bestFit="1" customWidth="1"/>
    <col min="2065" max="2065" width="10" style="3081" customWidth="1"/>
    <col min="2066" max="2066" width="10.109375" style="3081" customWidth="1"/>
    <col min="2067" max="2067" width="10" style="3081" customWidth="1"/>
    <col min="2068" max="2068" width="26.109375" style="3081" customWidth="1"/>
    <col min="2069" max="2304" width="8.88671875" style="3081"/>
    <col min="2305" max="2305" width="9.44140625" style="3081" customWidth="1"/>
    <col min="2306" max="2306" width="8.88671875" style="3081"/>
    <col min="2307" max="2309" width="12.88671875" style="3081" customWidth="1"/>
    <col min="2310" max="2310" width="47.44140625" style="3081" customWidth="1"/>
    <col min="2311" max="2311" width="13" style="3081" customWidth="1"/>
    <col min="2312" max="2313" width="8.88671875" style="3081"/>
    <col min="2314" max="2314" width="5.77734375" style="3081" customWidth="1"/>
    <col min="2315" max="2315" width="11.77734375" style="3081" customWidth="1"/>
    <col min="2316" max="2317" width="10.77734375" style="3081" customWidth="1"/>
    <col min="2318" max="2318" width="10" style="3081" customWidth="1"/>
    <col min="2319" max="2320" width="10.44140625" style="3081" bestFit="1" customWidth="1"/>
    <col min="2321" max="2321" width="10" style="3081" customWidth="1"/>
    <col min="2322" max="2322" width="10.109375" style="3081" customWidth="1"/>
    <col min="2323" max="2323" width="10" style="3081" customWidth="1"/>
    <col min="2324" max="2324" width="26.109375" style="3081" customWidth="1"/>
    <col min="2325" max="2560" width="8.88671875" style="3081"/>
    <col min="2561" max="2561" width="9.44140625" style="3081" customWidth="1"/>
    <col min="2562" max="2562" width="8.88671875" style="3081"/>
    <col min="2563" max="2565" width="12.88671875" style="3081" customWidth="1"/>
    <col min="2566" max="2566" width="47.44140625" style="3081" customWidth="1"/>
    <col min="2567" max="2567" width="13" style="3081" customWidth="1"/>
    <col min="2568" max="2569" width="8.88671875" style="3081"/>
    <col min="2570" max="2570" width="5.77734375" style="3081" customWidth="1"/>
    <col min="2571" max="2571" width="11.77734375" style="3081" customWidth="1"/>
    <col min="2572" max="2573" width="10.77734375" style="3081" customWidth="1"/>
    <col min="2574" max="2574" width="10" style="3081" customWidth="1"/>
    <col min="2575" max="2576" width="10.44140625" style="3081" bestFit="1" customWidth="1"/>
    <col min="2577" max="2577" width="10" style="3081" customWidth="1"/>
    <col min="2578" max="2578" width="10.109375" style="3081" customWidth="1"/>
    <col min="2579" max="2579" width="10" style="3081" customWidth="1"/>
    <col min="2580" max="2580" width="26.109375" style="3081" customWidth="1"/>
    <col min="2581" max="2816" width="8.88671875" style="3081"/>
    <col min="2817" max="2817" width="9.44140625" style="3081" customWidth="1"/>
    <col min="2818" max="2818" width="8.88671875" style="3081"/>
    <col min="2819" max="2821" width="12.88671875" style="3081" customWidth="1"/>
    <col min="2822" max="2822" width="47.44140625" style="3081" customWidth="1"/>
    <col min="2823" max="2823" width="13" style="3081" customWidth="1"/>
    <col min="2824" max="2825" width="8.88671875" style="3081"/>
    <col min="2826" max="2826" width="5.77734375" style="3081" customWidth="1"/>
    <col min="2827" max="2827" width="11.77734375" style="3081" customWidth="1"/>
    <col min="2828" max="2829" width="10.77734375" style="3081" customWidth="1"/>
    <col min="2830" max="2830" width="10" style="3081" customWidth="1"/>
    <col min="2831" max="2832" width="10.44140625" style="3081" bestFit="1" customWidth="1"/>
    <col min="2833" max="2833" width="10" style="3081" customWidth="1"/>
    <col min="2834" max="2834" width="10.109375" style="3081" customWidth="1"/>
    <col min="2835" max="2835" width="10" style="3081" customWidth="1"/>
    <col min="2836" max="2836" width="26.109375" style="3081" customWidth="1"/>
    <col min="2837" max="3072" width="8.88671875" style="3081"/>
    <col min="3073" max="3073" width="9.44140625" style="3081" customWidth="1"/>
    <col min="3074" max="3074" width="8.88671875" style="3081"/>
    <col min="3075" max="3077" width="12.88671875" style="3081" customWidth="1"/>
    <col min="3078" max="3078" width="47.44140625" style="3081" customWidth="1"/>
    <col min="3079" max="3079" width="13" style="3081" customWidth="1"/>
    <col min="3080" max="3081" width="8.88671875" style="3081"/>
    <col min="3082" max="3082" width="5.77734375" style="3081" customWidth="1"/>
    <col min="3083" max="3083" width="11.77734375" style="3081" customWidth="1"/>
    <col min="3084" max="3085" width="10.77734375" style="3081" customWidth="1"/>
    <col min="3086" max="3086" width="10" style="3081" customWidth="1"/>
    <col min="3087" max="3088" width="10.44140625" style="3081" bestFit="1" customWidth="1"/>
    <col min="3089" max="3089" width="10" style="3081" customWidth="1"/>
    <col min="3090" max="3090" width="10.109375" style="3081" customWidth="1"/>
    <col min="3091" max="3091" width="10" style="3081" customWidth="1"/>
    <col min="3092" max="3092" width="26.109375" style="3081" customWidth="1"/>
    <col min="3093" max="3328" width="8.88671875" style="3081"/>
    <col min="3329" max="3329" width="9.44140625" style="3081" customWidth="1"/>
    <col min="3330" max="3330" width="8.88671875" style="3081"/>
    <col min="3331" max="3333" width="12.88671875" style="3081" customWidth="1"/>
    <col min="3334" max="3334" width="47.44140625" style="3081" customWidth="1"/>
    <col min="3335" max="3335" width="13" style="3081" customWidth="1"/>
    <col min="3336" max="3337" width="8.88671875" style="3081"/>
    <col min="3338" max="3338" width="5.77734375" style="3081" customWidth="1"/>
    <col min="3339" max="3339" width="11.77734375" style="3081" customWidth="1"/>
    <col min="3340" max="3341" width="10.77734375" style="3081" customWidth="1"/>
    <col min="3342" max="3342" width="10" style="3081" customWidth="1"/>
    <col min="3343" max="3344" width="10.44140625" style="3081" bestFit="1" customWidth="1"/>
    <col min="3345" max="3345" width="10" style="3081" customWidth="1"/>
    <col min="3346" max="3346" width="10.109375" style="3081" customWidth="1"/>
    <col min="3347" max="3347" width="10" style="3081" customWidth="1"/>
    <col min="3348" max="3348" width="26.109375" style="3081" customWidth="1"/>
    <col min="3349" max="3584" width="8.88671875" style="3081"/>
    <col min="3585" max="3585" width="9.44140625" style="3081" customWidth="1"/>
    <col min="3586" max="3586" width="8.88671875" style="3081"/>
    <col min="3587" max="3589" width="12.88671875" style="3081" customWidth="1"/>
    <col min="3590" max="3590" width="47.44140625" style="3081" customWidth="1"/>
    <col min="3591" max="3591" width="13" style="3081" customWidth="1"/>
    <col min="3592" max="3593" width="8.88671875" style="3081"/>
    <col min="3594" max="3594" width="5.77734375" style="3081" customWidth="1"/>
    <col min="3595" max="3595" width="11.77734375" style="3081" customWidth="1"/>
    <col min="3596" max="3597" width="10.77734375" style="3081" customWidth="1"/>
    <col min="3598" max="3598" width="10" style="3081" customWidth="1"/>
    <col min="3599" max="3600" width="10.44140625" style="3081" bestFit="1" customWidth="1"/>
    <col min="3601" max="3601" width="10" style="3081" customWidth="1"/>
    <col min="3602" max="3602" width="10.109375" style="3081" customWidth="1"/>
    <col min="3603" max="3603" width="10" style="3081" customWidth="1"/>
    <col min="3604" max="3604" width="26.109375" style="3081" customWidth="1"/>
    <col min="3605" max="3840" width="8.88671875" style="3081"/>
    <col min="3841" max="3841" width="9.44140625" style="3081" customWidth="1"/>
    <col min="3842" max="3842" width="8.88671875" style="3081"/>
    <col min="3843" max="3845" width="12.88671875" style="3081" customWidth="1"/>
    <col min="3846" max="3846" width="47.44140625" style="3081" customWidth="1"/>
    <col min="3847" max="3847" width="13" style="3081" customWidth="1"/>
    <col min="3848" max="3849" width="8.88671875" style="3081"/>
    <col min="3850" max="3850" width="5.77734375" style="3081" customWidth="1"/>
    <col min="3851" max="3851" width="11.77734375" style="3081" customWidth="1"/>
    <col min="3852" max="3853" width="10.77734375" style="3081" customWidth="1"/>
    <col min="3854" max="3854" width="10" style="3081" customWidth="1"/>
    <col min="3855" max="3856" width="10.44140625" style="3081" bestFit="1" customWidth="1"/>
    <col min="3857" max="3857" width="10" style="3081" customWidth="1"/>
    <col min="3858" max="3858" width="10.109375" style="3081" customWidth="1"/>
    <col min="3859" max="3859" width="10" style="3081" customWidth="1"/>
    <col min="3860" max="3860" width="26.109375" style="3081" customWidth="1"/>
    <col min="3861" max="4096" width="8.88671875" style="3081"/>
    <col min="4097" max="4097" width="9.44140625" style="3081" customWidth="1"/>
    <col min="4098" max="4098" width="8.88671875" style="3081"/>
    <col min="4099" max="4101" width="12.88671875" style="3081" customWidth="1"/>
    <col min="4102" max="4102" width="47.44140625" style="3081" customWidth="1"/>
    <col min="4103" max="4103" width="13" style="3081" customWidth="1"/>
    <col min="4104" max="4105" width="8.88671875" style="3081"/>
    <col min="4106" max="4106" width="5.77734375" style="3081" customWidth="1"/>
    <col min="4107" max="4107" width="11.77734375" style="3081" customWidth="1"/>
    <col min="4108" max="4109" width="10.77734375" style="3081" customWidth="1"/>
    <col min="4110" max="4110" width="10" style="3081" customWidth="1"/>
    <col min="4111" max="4112" width="10.44140625" style="3081" bestFit="1" customWidth="1"/>
    <col min="4113" max="4113" width="10" style="3081" customWidth="1"/>
    <col min="4114" max="4114" width="10.109375" style="3081" customWidth="1"/>
    <col min="4115" max="4115" width="10" style="3081" customWidth="1"/>
    <col min="4116" max="4116" width="26.109375" style="3081" customWidth="1"/>
    <col min="4117" max="4352" width="8.88671875" style="3081"/>
    <col min="4353" max="4353" width="9.44140625" style="3081" customWidth="1"/>
    <col min="4354" max="4354" width="8.88671875" style="3081"/>
    <col min="4355" max="4357" width="12.88671875" style="3081" customWidth="1"/>
    <col min="4358" max="4358" width="47.44140625" style="3081" customWidth="1"/>
    <col min="4359" max="4359" width="13" style="3081" customWidth="1"/>
    <col min="4360" max="4361" width="8.88671875" style="3081"/>
    <col min="4362" max="4362" width="5.77734375" style="3081" customWidth="1"/>
    <col min="4363" max="4363" width="11.77734375" style="3081" customWidth="1"/>
    <col min="4364" max="4365" width="10.77734375" style="3081" customWidth="1"/>
    <col min="4366" max="4366" width="10" style="3081" customWidth="1"/>
    <col min="4367" max="4368" width="10.44140625" style="3081" bestFit="1" customWidth="1"/>
    <col min="4369" max="4369" width="10" style="3081" customWidth="1"/>
    <col min="4370" max="4370" width="10.109375" style="3081" customWidth="1"/>
    <col min="4371" max="4371" width="10" style="3081" customWidth="1"/>
    <col min="4372" max="4372" width="26.109375" style="3081" customWidth="1"/>
    <col min="4373" max="4608" width="8.88671875" style="3081"/>
    <col min="4609" max="4609" width="9.44140625" style="3081" customWidth="1"/>
    <col min="4610" max="4610" width="8.88671875" style="3081"/>
    <col min="4611" max="4613" width="12.88671875" style="3081" customWidth="1"/>
    <col min="4614" max="4614" width="47.44140625" style="3081" customWidth="1"/>
    <col min="4615" max="4615" width="13" style="3081" customWidth="1"/>
    <col min="4616" max="4617" width="8.88671875" style="3081"/>
    <col min="4618" max="4618" width="5.77734375" style="3081" customWidth="1"/>
    <col min="4619" max="4619" width="11.77734375" style="3081" customWidth="1"/>
    <col min="4620" max="4621" width="10.77734375" style="3081" customWidth="1"/>
    <col min="4622" max="4622" width="10" style="3081" customWidth="1"/>
    <col min="4623" max="4624" width="10.44140625" style="3081" bestFit="1" customWidth="1"/>
    <col min="4625" max="4625" width="10" style="3081" customWidth="1"/>
    <col min="4626" max="4626" width="10.109375" style="3081" customWidth="1"/>
    <col min="4627" max="4627" width="10" style="3081" customWidth="1"/>
    <col min="4628" max="4628" width="26.109375" style="3081" customWidth="1"/>
    <col min="4629" max="4864" width="8.88671875" style="3081"/>
    <col min="4865" max="4865" width="9.44140625" style="3081" customWidth="1"/>
    <col min="4866" max="4866" width="8.88671875" style="3081"/>
    <col min="4867" max="4869" width="12.88671875" style="3081" customWidth="1"/>
    <col min="4870" max="4870" width="47.44140625" style="3081" customWidth="1"/>
    <col min="4871" max="4871" width="13" style="3081" customWidth="1"/>
    <col min="4872" max="4873" width="8.88671875" style="3081"/>
    <col min="4874" max="4874" width="5.77734375" style="3081" customWidth="1"/>
    <col min="4875" max="4875" width="11.77734375" style="3081" customWidth="1"/>
    <col min="4876" max="4877" width="10.77734375" style="3081" customWidth="1"/>
    <col min="4878" max="4878" width="10" style="3081" customWidth="1"/>
    <col min="4879" max="4880" width="10.44140625" style="3081" bestFit="1" customWidth="1"/>
    <col min="4881" max="4881" width="10" style="3081" customWidth="1"/>
    <col min="4882" max="4882" width="10.109375" style="3081" customWidth="1"/>
    <col min="4883" max="4883" width="10" style="3081" customWidth="1"/>
    <col min="4884" max="4884" width="26.109375" style="3081" customWidth="1"/>
    <col min="4885" max="5120" width="8.88671875" style="3081"/>
    <col min="5121" max="5121" width="9.44140625" style="3081" customWidth="1"/>
    <col min="5122" max="5122" width="8.88671875" style="3081"/>
    <col min="5123" max="5125" width="12.88671875" style="3081" customWidth="1"/>
    <col min="5126" max="5126" width="47.44140625" style="3081" customWidth="1"/>
    <col min="5127" max="5127" width="13" style="3081" customWidth="1"/>
    <col min="5128" max="5129" width="8.88671875" style="3081"/>
    <col min="5130" max="5130" width="5.77734375" style="3081" customWidth="1"/>
    <col min="5131" max="5131" width="11.77734375" style="3081" customWidth="1"/>
    <col min="5132" max="5133" width="10.77734375" style="3081" customWidth="1"/>
    <col min="5134" max="5134" width="10" style="3081" customWidth="1"/>
    <col min="5135" max="5136" width="10.44140625" style="3081" bestFit="1" customWidth="1"/>
    <col min="5137" max="5137" width="10" style="3081" customWidth="1"/>
    <col min="5138" max="5138" width="10.109375" style="3081" customWidth="1"/>
    <col min="5139" max="5139" width="10" style="3081" customWidth="1"/>
    <col min="5140" max="5140" width="26.109375" style="3081" customWidth="1"/>
    <col min="5141" max="5376" width="8.88671875" style="3081"/>
    <col min="5377" max="5377" width="9.44140625" style="3081" customWidth="1"/>
    <col min="5378" max="5378" width="8.88671875" style="3081"/>
    <col min="5379" max="5381" width="12.88671875" style="3081" customWidth="1"/>
    <col min="5382" max="5382" width="47.44140625" style="3081" customWidth="1"/>
    <col min="5383" max="5383" width="13" style="3081" customWidth="1"/>
    <col min="5384" max="5385" width="8.88671875" style="3081"/>
    <col min="5386" max="5386" width="5.77734375" style="3081" customWidth="1"/>
    <col min="5387" max="5387" width="11.77734375" style="3081" customWidth="1"/>
    <col min="5388" max="5389" width="10.77734375" style="3081" customWidth="1"/>
    <col min="5390" max="5390" width="10" style="3081" customWidth="1"/>
    <col min="5391" max="5392" width="10.44140625" style="3081" bestFit="1" customWidth="1"/>
    <col min="5393" max="5393" width="10" style="3081" customWidth="1"/>
    <col min="5394" max="5394" width="10.109375" style="3081" customWidth="1"/>
    <col min="5395" max="5395" width="10" style="3081" customWidth="1"/>
    <col min="5396" max="5396" width="26.109375" style="3081" customWidth="1"/>
    <col min="5397" max="5632" width="8.88671875" style="3081"/>
    <col min="5633" max="5633" width="9.44140625" style="3081" customWidth="1"/>
    <col min="5634" max="5634" width="8.88671875" style="3081"/>
    <col min="5635" max="5637" width="12.88671875" style="3081" customWidth="1"/>
    <col min="5638" max="5638" width="47.44140625" style="3081" customWidth="1"/>
    <col min="5639" max="5639" width="13" style="3081" customWidth="1"/>
    <col min="5640" max="5641" width="8.88671875" style="3081"/>
    <col min="5642" max="5642" width="5.77734375" style="3081" customWidth="1"/>
    <col min="5643" max="5643" width="11.77734375" style="3081" customWidth="1"/>
    <col min="5644" max="5645" width="10.77734375" style="3081" customWidth="1"/>
    <col min="5646" max="5646" width="10" style="3081" customWidth="1"/>
    <col min="5647" max="5648" width="10.44140625" style="3081" bestFit="1" customWidth="1"/>
    <col min="5649" max="5649" width="10" style="3081" customWidth="1"/>
    <col min="5650" max="5650" width="10.109375" style="3081" customWidth="1"/>
    <col min="5651" max="5651" width="10" style="3081" customWidth="1"/>
    <col min="5652" max="5652" width="26.109375" style="3081" customWidth="1"/>
    <col min="5653" max="5888" width="8.88671875" style="3081"/>
    <col min="5889" max="5889" width="9.44140625" style="3081" customWidth="1"/>
    <col min="5890" max="5890" width="8.88671875" style="3081"/>
    <col min="5891" max="5893" width="12.88671875" style="3081" customWidth="1"/>
    <col min="5894" max="5894" width="47.44140625" style="3081" customWidth="1"/>
    <col min="5895" max="5895" width="13" style="3081" customWidth="1"/>
    <col min="5896" max="5897" width="8.88671875" style="3081"/>
    <col min="5898" max="5898" width="5.77734375" style="3081" customWidth="1"/>
    <col min="5899" max="5899" width="11.77734375" style="3081" customWidth="1"/>
    <col min="5900" max="5901" width="10.77734375" style="3081" customWidth="1"/>
    <col min="5902" max="5902" width="10" style="3081" customWidth="1"/>
    <col min="5903" max="5904" width="10.44140625" style="3081" bestFit="1" customWidth="1"/>
    <col min="5905" max="5905" width="10" style="3081" customWidth="1"/>
    <col min="5906" max="5906" width="10.109375" style="3081" customWidth="1"/>
    <col min="5907" max="5907" width="10" style="3081" customWidth="1"/>
    <col min="5908" max="5908" width="26.109375" style="3081" customWidth="1"/>
    <col min="5909" max="6144" width="8.88671875" style="3081"/>
    <col min="6145" max="6145" width="9.44140625" style="3081" customWidth="1"/>
    <col min="6146" max="6146" width="8.88671875" style="3081"/>
    <col min="6147" max="6149" width="12.88671875" style="3081" customWidth="1"/>
    <col min="6150" max="6150" width="47.44140625" style="3081" customWidth="1"/>
    <col min="6151" max="6151" width="13" style="3081" customWidth="1"/>
    <col min="6152" max="6153" width="8.88671875" style="3081"/>
    <col min="6154" max="6154" width="5.77734375" style="3081" customWidth="1"/>
    <col min="6155" max="6155" width="11.77734375" style="3081" customWidth="1"/>
    <col min="6156" max="6157" width="10.77734375" style="3081" customWidth="1"/>
    <col min="6158" max="6158" width="10" style="3081" customWidth="1"/>
    <col min="6159" max="6160" width="10.44140625" style="3081" bestFit="1" customWidth="1"/>
    <col min="6161" max="6161" width="10" style="3081" customWidth="1"/>
    <col min="6162" max="6162" width="10.109375" style="3081" customWidth="1"/>
    <col min="6163" max="6163" width="10" style="3081" customWidth="1"/>
    <col min="6164" max="6164" width="26.109375" style="3081" customWidth="1"/>
    <col min="6165" max="6400" width="8.88671875" style="3081"/>
    <col min="6401" max="6401" width="9.44140625" style="3081" customWidth="1"/>
    <col min="6402" max="6402" width="8.88671875" style="3081"/>
    <col min="6403" max="6405" width="12.88671875" style="3081" customWidth="1"/>
    <col min="6406" max="6406" width="47.44140625" style="3081" customWidth="1"/>
    <col min="6407" max="6407" width="13" style="3081" customWidth="1"/>
    <col min="6408" max="6409" width="8.88671875" style="3081"/>
    <col min="6410" max="6410" width="5.77734375" style="3081" customWidth="1"/>
    <col min="6411" max="6411" width="11.77734375" style="3081" customWidth="1"/>
    <col min="6412" max="6413" width="10.77734375" style="3081" customWidth="1"/>
    <col min="6414" max="6414" width="10" style="3081" customWidth="1"/>
    <col min="6415" max="6416" width="10.44140625" style="3081" bestFit="1" customWidth="1"/>
    <col min="6417" max="6417" width="10" style="3081" customWidth="1"/>
    <col min="6418" max="6418" width="10.109375" style="3081" customWidth="1"/>
    <col min="6419" max="6419" width="10" style="3081" customWidth="1"/>
    <col min="6420" max="6420" width="26.109375" style="3081" customWidth="1"/>
    <col min="6421" max="6656" width="8.88671875" style="3081"/>
    <col min="6657" max="6657" width="9.44140625" style="3081" customWidth="1"/>
    <col min="6658" max="6658" width="8.88671875" style="3081"/>
    <col min="6659" max="6661" width="12.88671875" style="3081" customWidth="1"/>
    <col min="6662" max="6662" width="47.44140625" style="3081" customWidth="1"/>
    <col min="6663" max="6663" width="13" style="3081" customWidth="1"/>
    <col min="6664" max="6665" width="8.88671875" style="3081"/>
    <col min="6666" max="6666" width="5.77734375" style="3081" customWidth="1"/>
    <col min="6667" max="6667" width="11.77734375" style="3081" customWidth="1"/>
    <col min="6668" max="6669" width="10.77734375" style="3081" customWidth="1"/>
    <col min="6670" max="6670" width="10" style="3081" customWidth="1"/>
    <col min="6671" max="6672" width="10.44140625" style="3081" bestFit="1" customWidth="1"/>
    <col min="6673" max="6673" width="10" style="3081" customWidth="1"/>
    <col min="6674" max="6674" width="10.109375" style="3081" customWidth="1"/>
    <col min="6675" max="6675" width="10" style="3081" customWidth="1"/>
    <col min="6676" max="6676" width="26.109375" style="3081" customWidth="1"/>
    <col min="6677" max="6912" width="8.88671875" style="3081"/>
    <col min="6913" max="6913" width="9.44140625" style="3081" customWidth="1"/>
    <col min="6914" max="6914" width="8.88671875" style="3081"/>
    <col min="6915" max="6917" width="12.88671875" style="3081" customWidth="1"/>
    <col min="6918" max="6918" width="47.44140625" style="3081" customWidth="1"/>
    <col min="6919" max="6919" width="13" style="3081" customWidth="1"/>
    <col min="6920" max="6921" width="8.88671875" style="3081"/>
    <col min="6922" max="6922" width="5.77734375" style="3081" customWidth="1"/>
    <col min="6923" max="6923" width="11.77734375" style="3081" customWidth="1"/>
    <col min="6924" max="6925" width="10.77734375" style="3081" customWidth="1"/>
    <col min="6926" max="6926" width="10" style="3081" customWidth="1"/>
    <col min="6927" max="6928" width="10.44140625" style="3081" bestFit="1" customWidth="1"/>
    <col min="6929" max="6929" width="10" style="3081" customWidth="1"/>
    <col min="6930" max="6930" width="10.109375" style="3081" customWidth="1"/>
    <col min="6931" max="6931" width="10" style="3081" customWidth="1"/>
    <col min="6932" max="6932" width="26.109375" style="3081" customWidth="1"/>
    <col min="6933" max="7168" width="8.88671875" style="3081"/>
    <col min="7169" max="7169" width="9.44140625" style="3081" customWidth="1"/>
    <col min="7170" max="7170" width="8.88671875" style="3081"/>
    <col min="7171" max="7173" width="12.88671875" style="3081" customWidth="1"/>
    <col min="7174" max="7174" width="47.44140625" style="3081" customWidth="1"/>
    <col min="7175" max="7175" width="13" style="3081" customWidth="1"/>
    <col min="7176" max="7177" width="8.88671875" style="3081"/>
    <col min="7178" max="7178" width="5.77734375" style="3081" customWidth="1"/>
    <col min="7179" max="7179" width="11.77734375" style="3081" customWidth="1"/>
    <col min="7180" max="7181" width="10.77734375" style="3081" customWidth="1"/>
    <col min="7182" max="7182" width="10" style="3081" customWidth="1"/>
    <col min="7183" max="7184" width="10.44140625" style="3081" bestFit="1" customWidth="1"/>
    <col min="7185" max="7185" width="10" style="3081" customWidth="1"/>
    <col min="7186" max="7186" width="10.109375" style="3081" customWidth="1"/>
    <col min="7187" max="7187" width="10" style="3081" customWidth="1"/>
    <col min="7188" max="7188" width="26.109375" style="3081" customWidth="1"/>
    <col min="7189" max="7424" width="8.88671875" style="3081"/>
    <col min="7425" max="7425" width="9.44140625" style="3081" customWidth="1"/>
    <col min="7426" max="7426" width="8.88671875" style="3081"/>
    <col min="7427" max="7429" width="12.88671875" style="3081" customWidth="1"/>
    <col min="7430" max="7430" width="47.44140625" style="3081" customWidth="1"/>
    <col min="7431" max="7431" width="13" style="3081" customWidth="1"/>
    <col min="7432" max="7433" width="8.88671875" style="3081"/>
    <col min="7434" max="7434" width="5.77734375" style="3081" customWidth="1"/>
    <col min="7435" max="7435" width="11.77734375" style="3081" customWidth="1"/>
    <col min="7436" max="7437" width="10.77734375" style="3081" customWidth="1"/>
    <col min="7438" max="7438" width="10" style="3081" customWidth="1"/>
    <col min="7439" max="7440" width="10.44140625" style="3081" bestFit="1" customWidth="1"/>
    <col min="7441" max="7441" width="10" style="3081" customWidth="1"/>
    <col min="7442" max="7442" width="10.109375" style="3081" customWidth="1"/>
    <col min="7443" max="7443" width="10" style="3081" customWidth="1"/>
    <col min="7444" max="7444" width="26.109375" style="3081" customWidth="1"/>
    <col min="7445" max="7680" width="8.88671875" style="3081"/>
    <col min="7681" max="7681" width="9.44140625" style="3081" customWidth="1"/>
    <col min="7682" max="7682" width="8.88671875" style="3081"/>
    <col min="7683" max="7685" width="12.88671875" style="3081" customWidth="1"/>
    <col min="7686" max="7686" width="47.44140625" style="3081" customWidth="1"/>
    <col min="7687" max="7687" width="13" style="3081" customWidth="1"/>
    <col min="7688" max="7689" width="8.88671875" style="3081"/>
    <col min="7690" max="7690" width="5.77734375" style="3081" customWidth="1"/>
    <col min="7691" max="7691" width="11.77734375" style="3081" customWidth="1"/>
    <col min="7692" max="7693" width="10.77734375" style="3081" customWidth="1"/>
    <col min="7694" max="7694" width="10" style="3081" customWidth="1"/>
    <col min="7695" max="7696" width="10.44140625" style="3081" bestFit="1" customWidth="1"/>
    <col min="7697" max="7697" width="10" style="3081" customWidth="1"/>
    <col min="7698" max="7698" width="10.109375" style="3081" customWidth="1"/>
    <col min="7699" max="7699" width="10" style="3081" customWidth="1"/>
    <col min="7700" max="7700" width="26.109375" style="3081" customWidth="1"/>
    <col min="7701" max="7936" width="8.88671875" style="3081"/>
    <col min="7937" max="7937" width="9.44140625" style="3081" customWidth="1"/>
    <col min="7938" max="7938" width="8.88671875" style="3081"/>
    <col min="7939" max="7941" width="12.88671875" style="3081" customWidth="1"/>
    <col min="7942" max="7942" width="47.44140625" style="3081" customWidth="1"/>
    <col min="7943" max="7943" width="13" style="3081" customWidth="1"/>
    <col min="7944" max="7945" width="8.88671875" style="3081"/>
    <col min="7946" max="7946" width="5.77734375" style="3081" customWidth="1"/>
    <col min="7947" max="7947" width="11.77734375" style="3081" customWidth="1"/>
    <col min="7948" max="7949" width="10.77734375" style="3081" customWidth="1"/>
    <col min="7950" max="7950" width="10" style="3081" customWidth="1"/>
    <col min="7951" max="7952" width="10.44140625" style="3081" bestFit="1" customWidth="1"/>
    <col min="7953" max="7953" width="10" style="3081" customWidth="1"/>
    <col min="7954" max="7954" width="10.109375" style="3081" customWidth="1"/>
    <col min="7955" max="7955" width="10" style="3081" customWidth="1"/>
    <col min="7956" max="7956" width="26.109375" style="3081" customWidth="1"/>
    <col min="7957" max="8192" width="8.88671875" style="3081"/>
    <col min="8193" max="8193" width="9.44140625" style="3081" customWidth="1"/>
    <col min="8194" max="8194" width="8.88671875" style="3081"/>
    <col min="8195" max="8197" width="12.88671875" style="3081" customWidth="1"/>
    <col min="8198" max="8198" width="47.44140625" style="3081" customWidth="1"/>
    <col min="8199" max="8199" width="13" style="3081" customWidth="1"/>
    <col min="8200" max="8201" width="8.88671875" style="3081"/>
    <col min="8202" max="8202" width="5.77734375" style="3081" customWidth="1"/>
    <col min="8203" max="8203" width="11.77734375" style="3081" customWidth="1"/>
    <col min="8204" max="8205" width="10.77734375" style="3081" customWidth="1"/>
    <col min="8206" max="8206" width="10" style="3081" customWidth="1"/>
    <col min="8207" max="8208" width="10.44140625" style="3081" bestFit="1" customWidth="1"/>
    <col min="8209" max="8209" width="10" style="3081" customWidth="1"/>
    <col min="8210" max="8210" width="10.109375" style="3081" customWidth="1"/>
    <col min="8211" max="8211" width="10" style="3081" customWidth="1"/>
    <col min="8212" max="8212" width="26.109375" style="3081" customWidth="1"/>
    <col min="8213" max="8448" width="8.88671875" style="3081"/>
    <col min="8449" max="8449" width="9.44140625" style="3081" customWidth="1"/>
    <col min="8450" max="8450" width="8.88671875" style="3081"/>
    <col min="8451" max="8453" width="12.88671875" style="3081" customWidth="1"/>
    <col min="8454" max="8454" width="47.44140625" style="3081" customWidth="1"/>
    <col min="8455" max="8455" width="13" style="3081" customWidth="1"/>
    <col min="8456" max="8457" width="8.88671875" style="3081"/>
    <col min="8458" max="8458" width="5.77734375" style="3081" customWidth="1"/>
    <col min="8459" max="8459" width="11.77734375" style="3081" customWidth="1"/>
    <col min="8460" max="8461" width="10.77734375" style="3081" customWidth="1"/>
    <col min="8462" max="8462" width="10" style="3081" customWidth="1"/>
    <col min="8463" max="8464" width="10.44140625" style="3081" bestFit="1" customWidth="1"/>
    <col min="8465" max="8465" width="10" style="3081" customWidth="1"/>
    <col min="8466" max="8466" width="10.109375" style="3081" customWidth="1"/>
    <col min="8467" max="8467" width="10" style="3081" customWidth="1"/>
    <col min="8468" max="8468" width="26.109375" style="3081" customWidth="1"/>
    <col min="8469" max="8704" width="8.88671875" style="3081"/>
    <col min="8705" max="8705" width="9.44140625" style="3081" customWidth="1"/>
    <col min="8706" max="8706" width="8.88671875" style="3081"/>
    <col min="8707" max="8709" width="12.88671875" style="3081" customWidth="1"/>
    <col min="8710" max="8710" width="47.44140625" style="3081" customWidth="1"/>
    <col min="8711" max="8711" width="13" style="3081" customWidth="1"/>
    <col min="8712" max="8713" width="8.88671875" style="3081"/>
    <col min="8714" max="8714" width="5.77734375" style="3081" customWidth="1"/>
    <col min="8715" max="8715" width="11.77734375" style="3081" customWidth="1"/>
    <col min="8716" max="8717" width="10.77734375" style="3081" customWidth="1"/>
    <col min="8718" max="8718" width="10" style="3081" customWidth="1"/>
    <col min="8719" max="8720" width="10.44140625" style="3081" bestFit="1" customWidth="1"/>
    <col min="8721" max="8721" width="10" style="3081" customWidth="1"/>
    <col min="8722" max="8722" width="10.109375" style="3081" customWidth="1"/>
    <col min="8723" max="8723" width="10" style="3081" customWidth="1"/>
    <col min="8724" max="8724" width="26.109375" style="3081" customWidth="1"/>
    <col min="8725" max="8960" width="8.88671875" style="3081"/>
    <col min="8961" max="8961" width="9.44140625" style="3081" customWidth="1"/>
    <col min="8962" max="8962" width="8.88671875" style="3081"/>
    <col min="8963" max="8965" width="12.88671875" style="3081" customWidth="1"/>
    <col min="8966" max="8966" width="47.44140625" style="3081" customWidth="1"/>
    <col min="8967" max="8967" width="13" style="3081" customWidth="1"/>
    <col min="8968" max="8969" width="8.88671875" style="3081"/>
    <col min="8970" max="8970" width="5.77734375" style="3081" customWidth="1"/>
    <col min="8971" max="8971" width="11.77734375" style="3081" customWidth="1"/>
    <col min="8972" max="8973" width="10.77734375" style="3081" customWidth="1"/>
    <col min="8974" max="8974" width="10" style="3081" customWidth="1"/>
    <col min="8975" max="8976" width="10.44140625" style="3081" bestFit="1" customWidth="1"/>
    <col min="8977" max="8977" width="10" style="3081" customWidth="1"/>
    <col min="8978" max="8978" width="10.109375" style="3081" customWidth="1"/>
    <col min="8979" max="8979" width="10" style="3081" customWidth="1"/>
    <col min="8980" max="8980" width="26.109375" style="3081" customWidth="1"/>
    <col min="8981" max="9216" width="8.88671875" style="3081"/>
    <col min="9217" max="9217" width="9.44140625" style="3081" customWidth="1"/>
    <col min="9218" max="9218" width="8.88671875" style="3081"/>
    <col min="9219" max="9221" width="12.88671875" style="3081" customWidth="1"/>
    <col min="9222" max="9222" width="47.44140625" style="3081" customWidth="1"/>
    <col min="9223" max="9223" width="13" style="3081" customWidth="1"/>
    <col min="9224" max="9225" width="8.88671875" style="3081"/>
    <col min="9226" max="9226" width="5.77734375" style="3081" customWidth="1"/>
    <col min="9227" max="9227" width="11.77734375" style="3081" customWidth="1"/>
    <col min="9228" max="9229" width="10.77734375" style="3081" customWidth="1"/>
    <col min="9230" max="9230" width="10" style="3081" customWidth="1"/>
    <col min="9231" max="9232" width="10.44140625" style="3081" bestFit="1" customWidth="1"/>
    <col min="9233" max="9233" width="10" style="3081" customWidth="1"/>
    <col min="9234" max="9234" width="10.109375" style="3081" customWidth="1"/>
    <col min="9235" max="9235" width="10" style="3081" customWidth="1"/>
    <col min="9236" max="9236" width="26.109375" style="3081" customWidth="1"/>
    <col min="9237" max="9472" width="8.88671875" style="3081"/>
    <col min="9473" max="9473" width="9.44140625" style="3081" customWidth="1"/>
    <col min="9474" max="9474" width="8.88671875" style="3081"/>
    <col min="9475" max="9477" width="12.88671875" style="3081" customWidth="1"/>
    <col min="9478" max="9478" width="47.44140625" style="3081" customWidth="1"/>
    <col min="9479" max="9479" width="13" style="3081" customWidth="1"/>
    <col min="9480" max="9481" width="8.88671875" style="3081"/>
    <col min="9482" max="9482" width="5.77734375" style="3081" customWidth="1"/>
    <col min="9483" max="9483" width="11.77734375" style="3081" customWidth="1"/>
    <col min="9484" max="9485" width="10.77734375" style="3081" customWidth="1"/>
    <col min="9486" max="9486" width="10" style="3081" customWidth="1"/>
    <col min="9487" max="9488" width="10.44140625" style="3081" bestFit="1" customWidth="1"/>
    <col min="9489" max="9489" width="10" style="3081" customWidth="1"/>
    <col min="9490" max="9490" width="10.109375" style="3081" customWidth="1"/>
    <col min="9491" max="9491" width="10" style="3081" customWidth="1"/>
    <col min="9492" max="9492" width="26.109375" style="3081" customWidth="1"/>
    <col min="9493" max="9728" width="8.88671875" style="3081"/>
    <col min="9729" max="9729" width="9.44140625" style="3081" customWidth="1"/>
    <col min="9730" max="9730" width="8.88671875" style="3081"/>
    <col min="9731" max="9733" width="12.88671875" style="3081" customWidth="1"/>
    <col min="9734" max="9734" width="47.44140625" style="3081" customWidth="1"/>
    <col min="9735" max="9735" width="13" style="3081" customWidth="1"/>
    <col min="9736" max="9737" width="8.88671875" style="3081"/>
    <col min="9738" max="9738" width="5.77734375" style="3081" customWidth="1"/>
    <col min="9739" max="9739" width="11.77734375" style="3081" customWidth="1"/>
    <col min="9740" max="9741" width="10.77734375" style="3081" customWidth="1"/>
    <col min="9742" max="9742" width="10" style="3081" customWidth="1"/>
    <col min="9743" max="9744" width="10.44140625" style="3081" bestFit="1" customWidth="1"/>
    <col min="9745" max="9745" width="10" style="3081" customWidth="1"/>
    <col min="9746" max="9746" width="10.109375" style="3081" customWidth="1"/>
    <col min="9747" max="9747" width="10" style="3081" customWidth="1"/>
    <col min="9748" max="9748" width="26.109375" style="3081" customWidth="1"/>
    <col min="9749" max="9984" width="8.88671875" style="3081"/>
    <col min="9985" max="9985" width="9.44140625" style="3081" customWidth="1"/>
    <col min="9986" max="9986" width="8.88671875" style="3081"/>
    <col min="9987" max="9989" width="12.88671875" style="3081" customWidth="1"/>
    <col min="9990" max="9990" width="47.44140625" style="3081" customWidth="1"/>
    <col min="9991" max="9991" width="13" style="3081" customWidth="1"/>
    <col min="9992" max="9993" width="8.88671875" style="3081"/>
    <col min="9994" max="9994" width="5.77734375" style="3081" customWidth="1"/>
    <col min="9995" max="9995" width="11.77734375" style="3081" customWidth="1"/>
    <col min="9996" max="9997" width="10.77734375" style="3081" customWidth="1"/>
    <col min="9998" max="9998" width="10" style="3081" customWidth="1"/>
    <col min="9999" max="10000" width="10.44140625" style="3081" bestFit="1" customWidth="1"/>
    <col min="10001" max="10001" width="10" style="3081" customWidth="1"/>
    <col min="10002" max="10002" width="10.109375" style="3081" customWidth="1"/>
    <col min="10003" max="10003" width="10" style="3081" customWidth="1"/>
    <col min="10004" max="10004" width="26.109375" style="3081" customWidth="1"/>
    <col min="10005" max="10240" width="8.88671875" style="3081"/>
    <col min="10241" max="10241" width="9.44140625" style="3081" customWidth="1"/>
    <col min="10242" max="10242" width="8.88671875" style="3081"/>
    <col min="10243" max="10245" width="12.88671875" style="3081" customWidth="1"/>
    <col min="10246" max="10246" width="47.44140625" style="3081" customWidth="1"/>
    <col min="10247" max="10247" width="13" style="3081" customWidth="1"/>
    <col min="10248" max="10249" width="8.88671875" style="3081"/>
    <col min="10250" max="10250" width="5.77734375" style="3081" customWidth="1"/>
    <col min="10251" max="10251" width="11.77734375" style="3081" customWidth="1"/>
    <col min="10252" max="10253" width="10.77734375" style="3081" customWidth="1"/>
    <col min="10254" max="10254" width="10" style="3081" customWidth="1"/>
    <col min="10255" max="10256" width="10.44140625" style="3081" bestFit="1" customWidth="1"/>
    <col min="10257" max="10257" width="10" style="3081" customWidth="1"/>
    <col min="10258" max="10258" width="10.109375" style="3081" customWidth="1"/>
    <col min="10259" max="10259" width="10" style="3081" customWidth="1"/>
    <col min="10260" max="10260" width="26.109375" style="3081" customWidth="1"/>
    <col min="10261" max="10496" width="8.88671875" style="3081"/>
    <col min="10497" max="10497" width="9.44140625" style="3081" customWidth="1"/>
    <col min="10498" max="10498" width="8.88671875" style="3081"/>
    <col min="10499" max="10501" width="12.88671875" style="3081" customWidth="1"/>
    <col min="10502" max="10502" width="47.44140625" style="3081" customWidth="1"/>
    <col min="10503" max="10503" width="13" style="3081" customWidth="1"/>
    <col min="10504" max="10505" width="8.88671875" style="3081"/>
    <col min="10506" max="10506" width="5.77734375" style="3081" customWidth="1"/>
    <col min="10507" max="10507" width="11.77734375" style="3081" customWidth="1"/>
    <col min="10508" max="10509" width="10.77734375" style="3081" customWidth="1"/>
    <col min="10510" max="10510" width="10" style="3081" customWidth="1"/>
    <col min="10511" max="10512" width="10.44140625" style="3081" bestFit="1" customWidth="1"/>
    <col min="10513" max="10513" width="10" style="3081" customWidth="1"/>
    <col min="10514" max="10514" width="10.109375" style="3081" customWidth="1"/>
    <col min="10515" max="10515" width="10" style="3081" customWidth="1"/>
    <col min="10516" max="10516" width="26.109375" style="3081" customWidth="1"/>
    <col min="10517" max="10752" width="8.88671875" style="3081"/>
    <col min="10753" max="10753" width="9.44140625" style="3081" customWidth="1"/>
    <col min="10754" max="10754" width="8.88671875" style="3081"/>
    <col min="10755" max="10757" width="12.88671875" style="3081" customWidth="1"/>
    <col min="10758" max="10758" width="47.44140625" style="3081" customWidth="1"/>
    <col min="10759" max="10759" width="13" style="3081" customWidth="1"/>
    <col min="10760" max="10761" width="8.88671875" style="3081"/>
    <col min="10762" max="10762" width="5.77734375" style="3081" customWidth="1"/>
    <col min="10763" max="10763" width="11.77734375" style="3081" customWidth="1"/>
    <col min="10764" max="10765" width="10.77734375" style="3081" customWidth="1"/>
    <col min="10766" max="10766" width="10" style="3081" customWidth="1"/>
    <col min="10767" max="10768" width="10.44140625" style="3081" bestFit="1" customWidth="1"/>
    <col min="10769" max="10769" width="10" style="3081" customWidth="1"/>
    <col min="10770" max="10770" width="10.109375" style="3081" customWidth="1"/>
    <col min="10771" max="10771" width="10" style="3081" customWidth="1"/>
    <col min="10772" max="10772" width="26.109375" style="3081" customWidth="1"/>
    <col min="10773" max="11008" width="8.88671875" style="3081"/>
    <col min="11009" max="11009" width="9.44140625" style="3081" customWidth="1"/>
    <col min="11010" max="11010" width="8.88671875" style="3081"/>
    <col min="11011" max="11013" width="12.88671875" style="3081" customWidth="1"/>
    <col min="11014" max="11014" width="47.44140625" style="3081" customWidth="1"/>
    <col min="11015" max="11015" width="13" style="3081" customWidth="1"/>
    <col min="11016" max="11017" width="8.88671875" style="3081"/>
    <col min="11018" max="11018" width="5.77734375" style="3081" customWidth="1"/>
    <col min="11019" max="11019" width="11.77734375" style="3081" customWidth="1"/>
    <col min="11020" max="11021" width="10.77734375" style="3081" customWidth="1"/>
    <col min="11022" max="11022" width="10" style="3081" customWidth="1"/>
    <col min="11023" max="11024" width="10.44140625" style="3081" bestFit="1" customWidth="1"/>
    <col min="11025" max="11025" width="10" style="3081" customWidth="1"/>
    <col min="11026" max="11026" width="10.109375" style="3081" customWidth="1"/>
    <col min="11027" max="11027" width="10" style="3081" customWidth="1"/>
    <col min="11028" max="11028" width="26.109375" style="3081" customWidth="1"/>
    <col min="11029" max="11264" width="8.88671875" style="3081"/>
    <col min="11265" max="11265" width="9.44140625" style="3081" customWidth="1"/>
    <col min="11266" max="11266" width="8.88671875" style="3081"/>
    <col min="11267" max="11269" width="12.88671875" style="3081" customWidth="1"/>
    <col min="11270" max="11270" width="47.44140625" style="3081" customWidth="1"/>
    <col min="11271" max="11271" width="13" style="3081" customWidth="1"/>
    <col min="11272" max="11273" width="8.88671875" style="3081"/>
    <col min="11274" max="11274" width="5.77734375" style="3081" customWidth="1"/>
    <col min="11275" max="11275" width="11.77734375" style="3081" customWidth="1"/>
    <col min="11276" max="11277" width="10.77734375" style="3081" customWidth="1"/>
    <col min="11278" max="11278" width="10" style="3081" customWidth="1"/>
    <col min="11279" max="11280" width="10.44140625" style="3081" bestFit="1" customWidth="1"/>
    <col min="11281" max="11281" width="10" style="3081" customWidth="1"/>
    <col min="11282" max="11282" width="10.109375" style="3081" customWidth="1"/>
    <col min="11283" max="11283" width="10" style="3081" customWidth="1"/>
    <col min="11284" max="11284" width="26.109375" style="3081" customWidth="1"/>
    <col min="11285" max="11520" width="8.88671875" style="3081"/>
    <col min="11521" max="11521" width="9.44140625" style="3081" customWidth="1"/>
    <col min="11522" max="11522" width="8.88671875" style="3081"/>
    <col min="11523" max="11525" width="12.88671875" style="3081" customWidth="1"/>
    <col min="11526" max="11526" width="47.44140625" style="3081" customWidth="1"/>
    <col min="11527" max="11527" width="13" style="3081" customWidth="1"/>
    <col min="11528" max="11529" width="8.88671875" style="3081"/>
    <col min="11530" max="11530" width="5.77734375" style="3081" customWidth="1"/>
    <col min="11531" max="11531" width="11.77734375" style="3081" customWidth="1"/>
    <col min="11532" max="11533" width="10.77734375" style="3081" customWidth="1"/>
    <col min="11534" max="11534" width="10" style="3081" customWidth="1"/>
    <col min="11535" max="11536" width="10.44140625" style="3081" bestFit="1" customWidth="1"/>
    <col min="11537" max="11537" width="10" style="3081" customWidth="1"/>
    <col min="11538" max="11538" width="10.109375" style="3081" customWidth="1"/>
    <col min="11539" max="11539" width="10" style="3081" customWidth="1"/>
    <col min="11540" max="11540" width="26.109375" style="3081" customWidth="1"/>
    <col min="11541" max="11776" width="8.88671875" style="3081"/>
    <col min="11777" max="11777" width="9.44140625" style="3081" customWidth="1"/>
    <col min="11778" max="11778" width="8.88671875" style="3081"/>
    <col min="11779" max="11781" width="12.88671875" style="3081" customWidth="1"/>
    <col min="11782" max="11782" width="47.44140625" style="3081" customWidth="1"/>
    <col min="11783" max="11783" width="13" style="3081" customWidth="1"/>
    <col min="11784" max="11785" width="8.88671875" style="3081"/>
    <col min="11786" max="11786" width="5.77734375" style="3081" customWidth="1"/>
    <col min="11787" max="11787" width="11.77734375" style="3081" customWidth="1"/>
    <col min="11788" max="11789" width="10.77734375" style="3081" customWidth="1"/>
    <col min="11790" max="11790" width="10" style="3081" customWidth="1"/>
    <col min="11791" max="11792" width="10.44140625" style="3081" bestFit="1" customWidth="1"/>
    <col min="11793" max="11793" width="10" style="3081" customWidth="1"/>
    <col min="11794" max="11794" width="10.109375" style="3081" customWidth="1"/>
    <col min="11795" max="11795" width="10" style="3081" customWidth="1"/>
    <col min="11796" max="11796" width="26.109375" style="3081" customWidth="1"/>
    <col min="11797" max="12032" width="8.88671875" style="3081"/>
    <col min="12033" max="12033" width="9.44140625" style="3081" customWidth="1"/>
    <col min="12034" max="12034" width="8.88671875" style="3081"/>
    <col min="12035" max="12037" width="12.88671875" style="3081" customWidth="1"/>
    <col min="12038" max="12038" width="47.44140625" style="3081" customWidth="1"/>
    <col min="12039" max="12039" width="13" style="3081" customWidth="1"/>
    <col min="12040" max="12041" width="8.88671875" style="3081"/>
    <col min="12042" max="12042" width="5.77734375" style="3081" customWidth="1"/>
    <col min="12043" max="12043" width="11.77734375" style="3081" customWidth="1"/>
    <col min="12044" max="12045" width="10.77734375" style="3081" customWidth="1"/>
    <col min="12046" max="12046" width="10" style="3081" customWidth="1"/>
    <col min="12047" max="12048" width="10.44140625" style="3081" bestFit="1" customWidth="1"/>
    <col min="12049" max="12049" width="10" style="3081" customWidth="1"/>
    <col min="12050" max="12050" width="10.109375" style="3081" customWidth="1"/>
    <col min="12051" max="12051" width="10" style="3081" customWidth="1"/>
    <col min="12052" max="12052" width="26.109375" style="3081" customWidth="1"/>
    <col min="12053" max="12288" width="8.88671875" style="3081"/>
    <col min="12289" max="12289" width="9.44140625" style="3081" customWidth="1"/>
    <col min="12290" max="12290" width="8.88671875" style="3081"/>
    <col min="12291" max="12293" width="12.88671875" style="3081" customWidth="1"/>
    <col min="12294" max="12294" width="47.44140625" style="3081" customWidth="1"/>
    <col min="12295" max="12295" width="13" style="3081" customWidth="1"/>
    <col min="12296" max="12297" width="8.88671875" style="3081"/>
    <col min="12298" max="12298" width="5.77734375" style="3081" customWidth="1"/>
    <col min="12299" max="12299" width="11.77734375" style="3081" customWidth="1"/>
    <col min="12300" max="12301" width="10.77734375" style="3081" customWidth="1"/>
    <col min="12302" max="12302" width="10" style="3081" customWidth="1"/>
    <col min="12303" max="12304" width="10.44140625" style="3081" bestFit="1" customWidth="1"/>
    <col min="12305" max="12305" width="10" style="3081" customWidth="1"/>
    <col min="12306" max="12306" width="10.109375" style="3081" customWidth="1"/>
    <col min="12307" max="12307" width="10" style="3081" customWidth="1"/>
    <col min="12308" max="12308" width="26.109375" style="3081" customWidth="1"/>
    <col min="12309" max="12544" width="8.88671875" style="3081"/>
    <col min="12545" max="12545" width="9.44140625" style="3081" customWidth="1"/>
    <col min="12546" max="12546" width="8.88671875" style="3081"/>
    <col min="12547" max="12549" width="12.88671875" style="3081" customWidth="1"/>
    <col min="12550" max="12550" width="47.44140625" style="3081" customWidth="1"/>
    <col min="12551" max="12551" width="13" style="3081" customWidth="1"/>
    <col min="12552" max="12553" width="8.88671875" style="3081"/>
    <col min="12554" max="12554" width="5.77734375" style="3081" customWidth="1"/>
    <col min="12555" max="12555" width="11.77734375" style="3081" customWidth="1"/>
    <col min="12556" max="12557" width="10.77734375" style="3081" customWidth="1"/>
    <col min="12558" max="12558" width="10" style="3081" customWidth="1"/>
    <col min="12559" max="12560" width="10.44140625" style="3081" bestFit="1" customWidth="1"/>
    <col min="12561" max="12561" width="10" style="3081" customWidth="1"/>
    <col min="12562" max="12562" width="10.109375" style="3081" customWidth="1"/>
    <col min="12563" max="12563" width="10" style="3081" customWidth="1"/>
    <col min="12564" max="12564" width="26.109375" style="3081" customWidth="1"/>
    <col min="12565" max="12800" width="8.88671875" style="3081"/>
    <col min="12801" max="12801" width="9.44140625" style="3081" customWidth="1"/>
    <col min="12802" max="12802" width="8.88671875" style="3081"/>
    <col min="12803" max="12805" width="12.88671875" style="3081" customWidth="1"/>
    <col min="12806" max="12806" width="47.44140625" style="3081" customWidth="1"/>
    <col min="12807" max="12807" width="13" style="3081" customWidth="1"/>
    <col min="12808" max="12809" width="8.88671875" style="3081"/>
    <col min="12810" max="12810" width="5.77734375" style="3081" customWidth="1"/>
    <col min="12811" max="12811" width="11.77734375" style="3081" customWidth="1"/>
    <col min="12812" max="12813" width="10.77734375" style="3081" customWidth="1"/>
    <col min="12814" max="12814" width="10" style="3081" customWidth="1"/>
    <col min="12815" max="12816" width="10.44140625" style="3081" bestFit="1" customWidth="1"/>
    <col min="12817" max="12817" width="10" style="3081" customWidth="1"/>
    <col min="12818" max="12818" width="10.109375" style="3081" customWidth="1"/>
    <col min="12819" max="12819" width="10" style="3081" customWidth="1"/>
    <col min="12820" max="12820" width="26.109375" style="3081" customWidth="1"/>
    <col min="12821" max="13056" width="8.88671875" style="3081"/>
    <col min="13057" max="13057" width="9.44140625" style="3081" customWidth="1"/>
    <col min="13058" max="13058" width="8.88671875" style="3081"/>
    <col min="13059" max="13061" width="12.88671875" style="3081" customWidth="1"/>
    <col min="13062" max="13062" width="47.44140625" style="3081" customWidth="1"/>
    <col min="13063" max="13063" width="13" style="3081" customWidth="1"/>
    <col min="13064" max="13065" width="8.88671875" style="3081"/>
    <col min="13066" max="13066" width="5.77734375" style="3081" customWidth="1"/>
    <col min="13067" max="13067" width="11.77734375" style="3081" customWidth="1"/>
    <col min="13068" max="13069" width="10.77734375" style="3081" customWidth="1"/>
    <col min="13070" max="13070" width="10" style="3081" customWidth="1"/>
    <col min="13071" max="13072" width="10.44140625" style="3081" bestFit="1" customWidth="1"/>
    <col min="13073" max="13073" width="10" style="3081" customWidth="1"/>
    <col min="13074" max="13074" width="10.109375" style="3081" customWidth="1"/>
    <col min="13075" max="13075" width="10" style="3081" customWidth="1"/>
    <col min="13076" max="13076" width="26.109375" style="3081" customWidth="1"/>
    <col min="13077" max="13312" width="8.88671875" style="3081"/>
    <col min="13313" max="13313" width="9.44140625" style="3081" customWidth="1"/>
    <col min="13314" max="13314" width="8.88671875" style="3081"/>
    <col min="13315" max="13317" width="12.88671875" style="3081" customWidth="1"/>
    <col min="13318" max="13318" width="47.44140625" style="3081" customWidth="1"/>
    <col min="13319" max="13319" width="13" style="3081" customWidth="1"/>
    <col min="13320" max="13321" width="8.88671875" style="3081"/>
    <col min="13322" max="13322" width="5.77734375" style="3081" customWidth="1"/>
    <col min="13323" max="13323" width="11.77734375" style="3081" customWidth="1"/>
    <col min="13324" max="13325" width="10.77734375" style="3081" customWidth="1"/>
    <col min="13326" max="13326" width="10" style="3081" customWidth="1"/>
    <col min="13327" max="13328" width="10.44140625" style="3081" bestFit="1" customWidth="1"/>
    <col min="13329" max="13329" width="10" style="3081" customWidth="1"/>
    <col min="13330" max="13330" width="10.109375" style="3081" customWidth="1"/>
    <col min="13331" max="13331" width="10" style="3081" customWidth="1"/>
    <col min="13332" max="13332" width="26.109375" style="3081" customWidth="1"/>
    <col min="13333" max="13568" width="8.88671875" style="3081"/>
    <col min="13569" max="13569" width="9.44140625" style="3081" customWidth="1"/>
    <col min="13570" max="13570" width="8.88671875" style="3081"/>
    <col min="13571" max="13573" width="12.88671875" style="3081" customWidth="1"/>
    <col min="13574" max="13574" width="47.44140625" style="3081" customWidth="1"/>
    <col min="13575" max="13575" width="13" style="3081" customWidth="1"/>
    <col min="13576" max="13577" width="8.88671875" style="3081"/>
    <col min="13578" max="13578" width="5.77734375" style="3081" customWidth="1"/>
    <col min="13579" max="13579" width="11.77734375" style="3081" customWidth="1"/>
    <col min="13580" max="13581" width="10.77734375" style="3081" customWidth="1"/>
    <col min="13582" max="13582" width="10" style="3081" customWidth="1"/>
    <col min="13583" max="13584" width="10.44140625" style="3081" bestFit="1" customWidth="1"/>
    <col min="13585" max="13585" width="10" style="3081" customWidth="1"/>
    <col min="13586" max="13586" width="10.109375" style="3081" customWidth="1"/>
    <col min="13587" max="13587" width="10" style="3081" customWidth="1"/>
    <col min="13588" max="13588" width="26.109375" style="3081" customWidth="1"/>
    <col min="13589" max="13824" width="8.88671875" style="3081"/>
    <col min="13825" max="13825" width="9.44140625" style="3081" customWidth="1"/>
    <col min="13826" max="13826" width="8.88671875" style="3081"/>
    <col min="13827" max="13829" width="12.88671875" style="3081" customWidth="1"/>
    <col min="13830" max="13830" width="47.44140625" style="3081" customWidth="1"/>
    <col min="13831" max="13831" width="13" style="3081" customWidth="1"/>
    <col min="13832" max="13833" width="8.88671875" style="3081"/>
    <col min="13834" max="13834" width="5.77734375" style="3081" customWidth="1"/>
    <col min="13835" max="13835" width="11.77734375" style="3081" customWidth="1"/>
    <col min="13836" max="13837" width="10.77734375" style="3081" customWidth="1"/>
    <col min="13838" max="13838" width="10" style="3081" customWidth="1"/>
    <col min="13839" max="13840" width="10.44140625" style="3081" bestFit="1" customWidth="1"/>
    <col min="13841" max="13841" width="10" style="3081" customWidth="1"/>
    <col min="13842" max="13842" width="10.109375" style="3081" customWidth="1"/>
    <col min="13843" max="13843" width="10" style="3081" customWidth="1"/>
    <col min="13844" max="13844" width="26.109375" style="3081" customWidth="1"/>
    <col min="13845" max="14080" width="8.88671875" style="3081"/>
    <col min="14081" max="14081" width="9.44140625" style="3081" customWidth="1"/>
    <col min="14082" max="14082" width="8.88671875" style="3081"/>
    <col min="14083" max="14085" width="12.88671875" style="3081" customWidth="1"/>
    <col min="14086" max="14086" width="47.44140625" style="3081" customWidth="1"/>
    <col min="14087" max="14087" width="13" style="3081" customWidth="1"/>
    <col min="14088" max="14089" width="8.88671875" style="3081"/>
    <col min="14090" max="14090" width="5.77734375" style="3081" customWidth="1"/>
    <col min="14091" max="14091" width="11.77734375" style="3081" customWidth="1"/>
    <col min="14092" max="14093" width="10.77734375" style="3081" customWidth="1"/>
    <col min="14094" max="14094" width="10" style="3081" customWidth="1"/>
    <col min="14095" max="14096" width="10.44140625" style="3081" bestFit="1" customWidth="1"/>
    <col min="14097" max="14097" width="10" style="3081" customWidth="1"/>
    <col min="14098" max="14098" width="10.109375" style="3081" customWidth="1"/>
    <col min="14099" max="14099" width="10" style="3081" customWidth="1"/>
    <col min="14100" max="14100" width="26.109375" style="3081" customWidth="1"/>
    <col min="14101" max="14336" width="8.88671875" style="3081"/>
    <col min="14337" max="14337" width="9.44140625" style="3081" customWidth="1"/>
    <col min="14338" max="14338" width="8.88671875" style="3081"/>
    <col min="14339" max="14341" width="12.88671875" style="3081" customWidth="1"/>
    <col min="14342" max="14342" width="47.44140625" style="3081" customWidth="1"/>
    <col min="14343" max="14343" width="13" style="3081" customWidth="1"/>
    <col min="14344" max="14345" width="8.88671875" style="3081"/>
    <col min="14346" max="14346" width="5.77734375" style="3081" customWidth="1"/>
    <col min="14347" max="14347" width="11.77734375" style="3081" customWidth="1"/>
    <col min="14348" max="14349" width="10.77734375" style="3081" customWidth="1"/>
    <col min="14350" max="14350" width="10" style="3081" customWidth="1"/>
    <col min="14351" max="14352" width="10.44140625" style="3081" bestFit="1" customWidth="1"/>
    <col min="14353" max="14353" width="10" style="3081" customWidth="1"/>
    <col min="14354" max="14354" width="10.109375" style="3081" customWidth="1"/>
    <col min="14355" max="14355" width="10" style="3081" customWidth="1"/>
    <col min="14356" max="14356" width="26.109375" style="3081" customWidth="1"/>
    <col min="14357" max="14592" width="8.88671875" style="3081"/>
    <col min="14593" max="14593" width="9.44140625" style="3081" customWidth="1"/>
    <col min="14594" max="14594" width="8.88671875" style="3081"/>
    <col min="14595" max="14597" width="12.88671875" style="3081" customWidth="1"/>
    <col min="14598" max="14598" width="47.44140625" style="3081" customWidth="1"/>
    <col min="14599" max="14599" width="13" style="3081" customWidth="1"/>
    <col min="14600" max="14601" width="8.88671875" style="3081"/>
    <col min="14602" max="14602" width="5.77734375" style="3081" customWidth="1"/>
    <col min="14603" max="14603" width="11.77734375" style="3081" customWidth="1"/>
    <col min="14604" max="14605" width="10.77734375" style="3081" customWidth="1"/>
    <col min="14606" max="14606" width="10" style="3081" customWidth="1"/>
    <col min="14607" max="14608" width="10.44140625" style="3081" bestFit="1" customWidth="1"/>
    <col min="14609" max="14609" width="10" style="3081" customWidth="1"/>
    <col min="14610" max="14610" width="10.109375" style="3081" customWidth="1"/>
    <col min="14611" max="14611" width="10" style="3081" customWidth="1"/>
    <col min="14612" max="14612" width="26.109375" style="3081" customWidth="1"/>
    <col min="14613" max="14848" width="8.88671875" style="3081"/>
    <col min="14849" max="14849" width="9.44140625" style="3081" customWidth="1"/>
    <col min="14850" max="14850" width="8.88671875" style="3081"/>
    <col min="14851" max="14853" width="12.88671875" style="3081" customWidth="1"/>
    <col min="14854" max="14854" width="47.44140625" style="3081" customWidth="1"/>
    <col min="14855" max="14855" width="13" style="3081" customWidth="1"/>
    <col min="14856" max="14857" width="8.88671875" style="3081"/>
    <col min="14858" max="14858" width="5.77734375" style="3081" customWidth="1"/>
    <col min="14859" max="14859" width="11.77734375" style="3081" customWidth="1"/>
    <col min="14860" max="14861" width="10.77734375" style="3081" customWidth="1"/>
    <col min="14862" max="14862" width="10" style="3081" customWidth="1"/>
    <col min="14863" max="14864" width="10.44140625" style="3081" bestFit="1" customWidth="1"/>
    <col min="14865" max="14865" width="10" style="3081" customWidth="1"/>
    <col min="14866" max="14866" width="10.109375" style="3081" customWidth="1"/>
    <col min="14867" max="14867" width="10" style="3081" customWidth="1"/>
    <col min="14868" max="14868" width="26.109375" style="3081" customWidth="1"/>
    <col min="14869" max="15104" width="8.88671875" style="3081"/>
    <col min="15105" max="15105" width="9.44140625" style="3081" customWidth="1"/>
    <col min="15106" max="15106" width="8.88671875" style="3081"/>
    <col min="15107" max="15109" width="12.88671875" style="3081" customWidth="1"/>
    <col min="15110" max="15110" width="47.44140625" style="3081" customWidth="1"/>
    <col min="15111" max="15111" width="13" style="3081" customWidth="1"/>
    <col min="15112" max="15113" width="8.88671875" style="3081"/>
    <col min="15114" max="15114" width="5.77734375" style="3081" customWidth="1"/>
    <col min="15115" max="15115" width="11.77734375" style="3081" customWidth="1"/>
    <col min="15116" max="15117" width="10.77734375" style="3081" customWidth="1"/>
    <col min="15118" max="15118" width="10" style="3081" customWidth="1"/>
    <col min="15119" max="15120" width="10.44140625" style="3081" bestFit="1" customWidth="1"/>
    <col min="15121" max="15121" width="10" style="3081" customWidth="1"/>
    <col min="15122" max="15122" width="10.109375" style="3081" customWidth="1"/>
    <col min="15123" max="15123" width="10" style="3081" customWidth="1"/>
    <col min="15124" max="15124" width="26.109375" style="3081" customWidth="1"/>
    <col min="15125" max="15360" width="8.88671875" style="3081"/>
    <col min="15361" max="15361" width="9.44140625" style="3081" customWidth="1"/>
    <col min="15362" max="15362" width="8.88671875" style="3081"/>
    <col min="15363" max="15365" width="12.88671875" style="3081" customWidth="1"/>
    <col min="15366" max="15366" width="47.44140625" style="3081" customWidth="1"/>
    <col min="15367" max="15367" width="13" style="3081" customWidth="1"/>
    <col min="15368" max="15369" width="8.88671875" style="3081"/>
    <col min="15370" max="15370" width="5.77734375" style="3081" customWidth="1"/>
    <col min="15371" max="15371" width="11.77734375" style="3081" customWidth="1"/>
    <col min="15372" max="15373" width="10.77734375" style="3081" customWidth="1"/>
    <col min="15374" max="15374" width="10" style="3081" customWidth="1"/>
    <col min="15375" max="15376" width="10.44140625" style="3081" bestFit="1" customWidth="1"/>
    <col min="15377" max="15377" width="10" style="3081" customWidth="1"/>
    <col min="15378" max="15378" width="10.109375" style="3081" customWidth="1"/>
    <col min="15379" max="15379" width="10" style="3081" customWidth="1"/>
    <col min="15380" max="15380" width="26.109375" style="3081" customWidth="1"/>
    <col min="15381" max="15616" width="8.88671875" style="3081"/>
    <col min="15617" max="15617" width="9.44140625" style="3081" customWidth="1"/>
    <col min="15618" max="15618" width="8.88671875" style="3081"/>
    <col min="15619" max="15621" width="12.88671875" style="3081" customWidth="1"/>
    <col min="15622" max="15622" width="47.44140625" style="3081" customWidth="1"/>
    <col min="15623" max="15623" width="13" style="3081" customWidth="1"/>
    <col min="15624" max="15625" width="8.88671875" style="3081"/>
    <col min="15626" max="15626" width="5.77734375" style="3081" customWidth="1"/>
    <col min="15627" max="15627" width="11.77734375" style="3081" customWidth="1"/>
    <col min="15628" max="15629" width="10.77734375" style="3081" customWidth="1"/>
    <col min="15630" max="15630" width="10" style="3081" customWidth="1"/>
    <col min="15631" max="15632" width="10.44140625" style="3081" bestFit="1" customWidth="1"/>
    <col min="15633" max="15633" width="10" style="3081" customWidth="1"/>
    <col min="15634" max="15634" width="10.109375" style="3081" customWidth="1"/>
    <col min="15635" max="15635" width="10" style="3081" customWidth="1"/>
    <col min="15636" max="15636" width="26.109375" style="3081" customWidth="1"/>
    <col min="15637" max="15872" width="8.88671875" style="3081"/>
    <col min="15873" max="15873" width="9.44140625" style="3081" customWidth="1"/>
    <col min="15874" max="15874" width="8.88671875" style="3081"/>
    <col min="15875" max="15877" width="12.88671875" style="3081" customWidth="1"/>
    <col min="15878" max="15878" width="47.44140625" style="3081" customWidth="1"/>
    <col min="15879" max="15879" width="13" style="3081" customWidth="1"/>
    <col min="15880" max="15881" width="8.88671875" style="3081"/>
    <col min="15882" max="15882" width="5.77734375" style="3081" customWidth="1"/>
    <col min="15883" max="15883" width="11.77734375" style="3081" customWidth="1"/>
    <col min="15884" max="15885" width="10.77734375" style="3081" customWidth="1"/>
    <col min="15886" max="15886" width="10" style="3081" customWidth="1"/>
    <col min="15887" max="15888" width="10.44140625" style="3081" bestFit="1" customWidth="1"/>
    <col min="15889" max="15889" width="10" style="3081" customWidth="1"/>
    <col min="15890" max="15890" width="10.109375" style="3081" customWidth="1"/>
    <col min="15891" max="15891" width="10" style="3081" customWidth="1"/>
    <col min="15892" max="15892" width="26.109375" style="3081" customWidth="1"/>
    <col min="15893" max="16128" width="8.88671875" style="3081"/>
    <col min="16129" max="16129" width="9.44140625" style="3081" customWidth="1"/>
    <col min="16130" max="16130" width="8.88671875" style="3081"/>
    <col min="16131" max="16133" width="12.88671875" style="3081" customWidth="1"/>
    <col min="16134" max="16134" width="47.44140625" style="3081" customWidth="1"/>
    <col min="16135" max="16135" width="13" style="3081" customWidth="1"/>
    <col min="16136" max="16137" width="8.88671875" style="3081"/>
    <col min="16138" max="16138" width="5.77734375" style="3081" customWidth="1"/>
    <col min="16139" max="16139" width="11.77734375" style="3081" customWidth="1"/>
    <col min="16140" max="16141" width="10.77734375" style="3081" customWidth="1"/>
    <col min="16142" max="16142" width="10" style="3081" customWidth="1"/>
    <col min="16143" max="16144" width="10.44140625" style="3081" bestFit="1" customWidth="1"/>
    <col min="16145" max="16145" width="10" style="3081" customWidth="1"/>
    <col min="16146" max="16146" width="10.109375" style="3081" customWidth="1"/>
    <col min="16147" max="16147" width="10" style="3081" customWidth="1"/>
    <col min="16148" max="16148" width="26.109375" style="3081" customWidth="1"/>
    <col min="16149" max="16384" width="8.88671875" style="3081"/>
  </cols>
  <sheetData>
    <row r="1" spans="1:23" ht="21" customHeight="1">
      <c r="A1" s="3077" t="s">
        <v>2781</v>
      </c>
      <c r="B1" s="3078"/>
      <c r="C1" s="3084"/>
      <c r="D1" s="3084"/>
      <c r="E1" s="3079"/>
      <c r="F1" s="3080"/>
      <c r="G1" s="3173"/>
      <c r="J1" s="3176" t="s">
        <v>2637</v>
      </c>
      <c r="K1" s="3177"/>
      <c r="L1" s="3177"/>
      <c r="M1" s="3177"/>
      <c r="N1" s="3177"/>
      <c r="O1" s="3177"/>
      <c r="P1" s="3177"/>
      <c r="Q1" s="3177"/>
      <c r="R1" s="3178"/>
      <c r="S1" s="3179"/>
      <c r="T1" s="3179"/>
      <c r="U1" s="3179"/>
    </row>
    <row r="2" spans="1:23" s="3087" customFormat="1" ht="13.2" customHeight="1">
      <c r="A2" s="3082" t="s">
        <v>2638</v>
      </c>
      <c r="B2" s="3083" t="e">
        <f>C40</f>
        <v>#DIV/0!</v>
      </c>
      <c r="C2" s="3084" t="s">
        <v>2639</v>
      </c>
      <c r="D2" s="3084"/>
      <c r="E2" s="3085"/>
      <c r="F2" s="3086"/>
      <c r="G2" s="3180"/>
      <c r="H2" s="3181"/>
      <c r="I2" s="3182"/>
      <c r="J2" s="3630" t="s">
        <v>2640</v>
      </c>
      <c r="K2" s="3631"/>
      <c r="L2" s="3183" t="s">
        <v>2641</v>
      </c>
      <c r="M2" s="3183" t="s">
        <v>2642</v>
      </c>
      <c r="N2" s="3183" t="s">
        <v>2643</v>
      </c>
      <c r="O2" s="3183" t="s">
        <v>2644</v>
      </c>
      <c r="P2" s="3183" t="s">
        <v>2645</v>
      </c>
      <c r="Q2" s="3184" t="s">
        <v>2646</v>
      </c>
      <c r="R2" s="3185" t="s">
        <v>2647</v>
      </c>
      <c r="S2" s="3179"/>
      <c r="T2" s="3179"/>
      <c r="U2" s="3179"/>
      <c r="V2" s="3182"/>
      <c r="W2" s="3181"/>
    </row>
    <row r="3" spans="1:23" s="3087" customFormat="1" ht="13.2" customHeight="1">
      <c r="A3" s="3089" t="s">
        <v>2648</v>
      </c>
      <c r="B3" s="3090" t="e">
        <f>ROUND(B2*10000/B4,0)</f>
        <v>#DIV/0!</v>
      </c>
      <c r="C3" s="3084" t="s">
        <v>2649</v>
      </c>
      <c r="D3" s="3084"/>
      <c r="E3" s="3085"/>
      <c r="F3" s="3086"/>
      <c r="G3" s="3180"/>
      <c r="H3" s="3181"/>
      <c r="I3" s="3182"/>
      <c r="J3" s="3632" t="s">
        <v>2650</v>
      </c>
      <c r="K3" s="3633"/>
      <c r="L3" s="3186"/>
      <c r="M3" s="3186"/>
      <c r="N3" s="3186"/>
      <c r="O3" s="3186"/>
      <c r="P3" s="3186"/>
      <c r="Q3" s="3187"/>
      <c r="R3" s="3188">
        <f>SUM(L3:Q3)</f>
        <v>0</v>
      </c>
      <c r="S3" s="3179"/>
      <c r="T3" s="3179"/>
      <c r="U3" s="3179"/>
      <c r="V3" s="3182"/>
      <c r="W3" s="3181"/>
    </row>
    <row r="4" spans="1:23" s="3087" customFormat="1" ht="13.2" customHeight="1">
      <c r="A4" s="3091" t="s">
        <v>2651</v>
      </c>
      <c r="B4" s="3148"/>
      <c r="C4" s="3084"/>
      <c r="D4" s="3084"/>
      <c r="E4" s="3085"/>
      <c r="F4" s="3086"/>
      <c r="G4" s="3180"/>
      <c r="H4" s="3181"/>
      <c r="I4" s="3182"/>
      <c r="J4" s="3632" t="s">
        <v>2652</v>
      </c>
      <c r="K4" s="3633"/>
      <c r="L4" s="3189"/>
      <c r="M4" s="3189"/>
      <c r="N4" s="3189"/>
      <c r="O4" s="3189"/>
      <c r="P4" s="3189"/>
      <c r="Q4" s="3190"/>
      <c r="R4" s="3191">
        <f>SUM(L4:Q4)</f>
        <v>0</v>
      </c>
      <c r="S4" s="3179"/>
      <c r="T4" s="3179"/>
      <c r="U4" s="3179"/>
      <c r="V4" s="3182"/>
      <c r="W4" s="3181"/>
    </row>
    <row r="5" spans="1:23" s="3087" customFormat="1" ht="13.2" customHeight="1" thickBot="1">
      <c r="A5" s="3092" t="s">
        <v>2653</v>
      </c>
      <c r="B5" s="3149"/>
      <c r="C5" s="3084"/>
      <c r="D5" s="3093"/>
      <c r="E5" s="3086"/>
      <c r="F5" s="3086"/>
      <c r="G5" s="3180"/>
      <c r="H5" s="3181"/>
      <c r="I5" s="3182"/>
      <c r="J5" s="3192" t="s">
        <v>2654</v>
      </c>
      <c r="K5" s="3193"/>
      <c r="L5" s="3193"/>
      <c r="M5" s="3194"/>
      <c r="N5" s="3194"/>
      <c r="O5" s="3194"/>
      <c r="P5" s="3194"/>
      <c r="Q5" s="3194"/>
      <c r="R5" s="3185">
        <f>SUM(R14,R19,R24,R25,R27,R28)</f>
        <v>0</v>
      </c>
      <c r="S5" s="3179"/>
      <c r="T5" s="3179" t="s">
        <v>2655</v>
      </c>
      <c r="U5" s="3179" t="e">
        <f>ROUND(R5*10000/365/R3,1)</f>
        <v>#DIV/0!</v>
      </c>
      <c r="V5" s="3182"/>
      <c r="W5" s="3181"/>
    </row>
    <row r="6" spans="1:23" s="3087" customFormat="1" ht="13.2" customHeight="1" thickBot="1">
      <c r="A6" s="3634" t="s">
        <v>2656</v>
      </c>
      <c r="B6" s="3635"/>
      <c r="C6" s="3636"/>
      <c r="D6" s="3150"/>
      <c r="E6" s="3094"/>
      <c r="F6" s="3095"/>
      <c r="G6" s="3195"/>
      <c r="H6" s="3181"/>
      <c r="I6" s="3182"/>
      <c r="J6" s="3637">
        <v>1</v>
      </c>
      <c r="K6" s="3638" t="s">
        <v>2657</v>
      </c>
      <c r="L6" s="3196" t="s">
        <v>2658</v>
      </c>
      <c r="M6" s="3197" t="s">
        <v>2659</v>
      </c>
      <c r="N6" s="3197" t="s">
        <v>2660</v>
      </c>
      <c r="O6" s="3197" t="s">
        <v>2661</v>
      </c>
      <c r="P6" s="3197" t="s">
        <v>2662</v>
      </c>
      <c r="Q6" s="3197" t="s">
        <v>2663</v>
      </c>
      <c r="R6" s="3188" t="s">
        <v>2664</v>
      </c>
      <c r="S6" s="3179"/>
      <c r="T6" s="3179" t="s">
        <v>2665</v>
      </c>
      <c r="U6" s="3179"/>
      <c r="V6" s="3182"/>
      <c r="W6" s="3181"/>
    </row>
    <row r="7" spans="1:23" s="3087" customFormat="1" ht="13.2" customHeight="1">
      <c r="A7" s="3097" t="s">
        <v>2666</v>
      </c>
      <c r="B7" s="3098"/>
      <c r="C7" s="3099"/>
      <c r="D7" s="3100">
        <f>SUM(D9,D10,D11,D17,0)</f>
        <v>0</v>
      </c>
      <c r="E7" s="3101" t="e">
        <f>E9+E10+E11+E17</f>
        <v>#DIV/0!</v>
      </c>
      <c r="F7" s="3102"/>
      <c r="G7" s="3198"/>
      <c r="H7" s="3181"/>
      <c r="I7" s="3182"/>
      <c r="J7" s="3637"/>
      <c r="K7" s="3639"/>
      <c r="L7" s="3199" t="s">
        <v>2766</v>
      </c>
      <c r="M7" s="3200"/>
      <c r="N7" s="3200"/>
      <c r="O7" s="3201"/>
      <c r="P7" s="3201"/>
      <c r="Q7" s="3202">
        <v>365</v>
      </c>
      <c r="R7" s="3203">
        <f>ROUND(M7*N7*O7*P7*Q7/10000,0)</f>
        <v>0</v>
      </c>
      <c r="S7" s="3179"/>
      <c r="T7" s="3179" t="s">
        <v>2667</v>
      </c>
      <c r="U7" s="3179"/>
      <c r="V7" s="3182"/>
      <c r="W7" s="3181"/>
    </row>
    <row r="8" spans="1:23" s="3087" customFormat="1" ht="13.2" customHeight="1">
      <c r="A8" s="3103" t="s">
        <v>2668</v>
      </c>
      <c r="B8" s="3641" t="s">
        <v>2669</v>
      </c>
      <c r="C8" s="3642"/>
      <c r="D8" s="3104" t="s">
        <v>2670</v>
      </c>
      <c r="E8" s="3105" t="s">
        <v>2671</v>
      </c>
      <c r="F8" s="3088" t="s">
        <v>2672</v>
      </c>
      <c r="G8" s="3258" t="s">
        <v>2780</v>
      </c>
      <c r="H8" s="3181"/>
      <c r="I8" s="3182"/>
      <c r="J8" s="3637"/>
      <c r="K8" s="3639"/>
      <c r="L8" s="3199" t="s">
        <v>2767</v>
      </c>
      <c r="M8" s="3200"/>
      <c r="N8" s="3200"/>
      <c r="O8" s="3201"/>
      <c r="P8" s="3201"/>
      <c r="Q8" s="3202">
        <v>365</v>
      </c>
      <c r="R8" s="3203">
        <f t="shared" ref="R8:R13" si="0">ROUND(M8*N8*O8*P8*Q8/10000,0)</f>
        <v>0</v>
      </c>
      <c r="S8" s="3179"/>
      <c r="T8" s="3179" t="s">
        <v>2673</v>
      </c>
      <c r="U8" s="3179"/>
      <c r="V8" s="3182"/>
      <c r="W8" s="3181"/>
    </row>
    <row r="9" spans="1:23" s="3087" customFormat="1" ht="13.2" customHeight="1">
      <c r="A9" s="3103">
        <v>1</v>
      </c>
      <c r="B9" s="3641" t="s">
        <v>2674</v>
      </c>
      <c r="C9" s="3642"/>
      <c r="D9" s="3104">
        <f>ROUND(D6*E9,0)</f>
        <v>0</v>
      </c>
      <c r="E9" s="3151"/>
      <c r="F9" s="3106" t="s">
        <v>2675</v>
      </c>
      <c r="G9" s="3204" t="s">
        <v>2778</v>
      </c>
      <c r="H9" s="3181"/>
      <c r="I9" s="3182"/>
      <c r="J9" s="3637"/>
      <c r="K9" s="3639"/>
      <c r="L9" s="3199" t="s">
        <v>2768</v>
      </c>
      <c r="M9" s="3200"/>
      <c r="N9" s="3200"/>
      <c r="O9" s="3201"/>
      <c r="P9" s="3201"/>
      <c r="Q9" s="3202">
        <v>365</v>
      </c>
      <c r="R9" s="3203">
        <f t="shared" si="0"/>
        <v>0</v>
      </c>
      <c r="S9" s="3179"/>
      <c r="T9" s="3179"/>
      <c r="U9" s="3179"/>
      <c r="V9" s="3182"/>
      <c r="W9" s="3181"/>
    </row>
    <row r="10" spans="1:23" s="3087" customFormat="1" ht="13.2" customHeight="1">
      <c r="A10" s="3103">
        <v>2</v>
      </c>
      <c r="B10" s="3641" t="s">
        <v>2676</v>
      </c>
      <c r="C10" s="3642"/>
      <c r="D10" s="3104">
        <f>ROUND(D6*E10,0)</f>
        <v>0</v>
      </c>
      <c r="E10" s="3151"/>
      <c r="F10" s="3106" t="s">
        <v>2677</v>
      </c>
      <c r="G10" s="3204" t="s">
        <v>2779</v>
      </c>
      <c r="H10" s="3181"/>
      <c r="I10" s="3182"/>
      <c r="J10" s="3637"/>
      <c r="K10" s="3639"/>
      <c r="L10" s="3199" t="s">
        <v>2769</v>
      </c>
      <c r="M10" s="3200"/>
      <c r="N10" s="3200"/>
      <c r="O10" s="3201"/>
      <c r="P10" s="3201"/>
      <c r="Q10" s="3202">
        <v>365</v>
      </c>
      <c r="R10" s="3203">
        <f t="shared" si="0"/>
        <v>0</v>
      </c>
      <c r="S10" s="3179"/>
      <c r="T10" s="3179"/>
      <c r="U10" s="3179"/>
      <c r="V10" s="3182"/>
      <c r="W10" s="3181"/>
    </row>
    <row r="11" spans="1:23" s="3087" customFormat="1" ht="13.2" customHeight="1">
      <c r="A11" s="3103">
        <v>3</v>
      </c>
      <c r="B11" s="3641" t="s">
        <v>2678</v>
      </c>
      <c r="C11" s="3642"/>
      <c r="D11" s="3104">
        <f>D12+D14+D15+D16</f>
        <v>0</v>
      </c>
      <c r="E11" s="3107" t="e">
        <f>D11/D6</f>
        <v>#DIV/0!</v>
      </c>
      <c r="F11" s="3088"/>
      <c r="G11" s="3204"/>
      <c r="H11" s="3181"/>
      <c r="I11" s="3182"/>
      <c r="J11" s="3637"/>
      <c r="K11" s="3639"/>
      <c r="L11" s="3199" t="s">
        <v>2770</v>
      </c>
      <c r="M11" s="3200"/>
      <c r="N11" s="3200"/>
      <c r="O11" s="3201"/>
      <c r="P11" s="3201"/>
      <c r="Q11" s="3202">
        <v>365</v>
      </c>
      <c r="R11" s="3203">
        <f t="shared" si="0"/>
        <v>0</v>
      </c>
      <c r="S11" s="3179"/>
      <c r="T11" s="3179"/>
      <c r="U11" s="3179"/>
      <c r="V11" s="3182"/>
      <c r="W11" s="3181"/>
    </row>
    <row r="12" spans="1:23" s="3087" customFormat="1" ht="13.2" customHeight="1">
      <c r="A12" s="3108" t="s">
        <v>2679</v>
      </c>
      <c r="B12" s="3643" t="s">
        <v>2680</v>
      </c>
      <c r="C12" s="3644"/>
      <c r="D12" s="3109">
        <f>ROUND(D13*1.2%*(1-30%),0)</f>
        <v>0</v>
      </c>
      <c r="E12" s="3110">
        <v>1.2E-2</v>
      </c>
      <c r="F12" s="3088" t="s">
        <v>2681</v>
      </c>
      <c r="G12" s="3204"/>
      <c r="H12" s="3181"/>
      <c r="I12" s="3182"/>
      <c r="J12" s="3637"/>
      <c r="K12" s="3639"/>
      <c r="L12" s="3199" t="s">
        <v>2771</v>
      </c>
      <c r="M12" s="3200"/>
      <c r="N12" s="3200"/>
      <c r="O12" s="3201"/>
      <c r="P12" s="3201"/>
      <c r="Q12" s="3202">
        <v>365</v>
      </c>
      <c r="R12" s="3203">
        <f t="shared" si="0"/>
        <v>0</v>
      </c>
      <c r="S12" s="3179"/>
      <c r="T12" s="3179"/>
      <c r="U12" s="3179"/>
      <c r="V12" s="3182"/>
      <c r="W12" s="3181"/>
    </row>
    <row r="13" spans="1:23" s="3087" customFormat="1" ht="13.2" customHeight="1">
      <c r="A13" s="3108"/>
      <c r="B13" s="3111"/>
      <c r="C13" s="3112" t="s">
        <v>2682</v>
      </c>
      <c r="D13" s="3152"/>
      <c r="E13" s="3113"/>
      <c r="F13" s="3088"/>
      <c r="G13" s="3204"/>
      <c r="H13" s="3181"/>
      <c r="I13" s="3182"/>
      <c r="J13" s="3637"/>
      <c r="K13" s="3639"/>
      <c r="L13" s="3199" t="s">
        <v>2772</v>
      </c>
      <c r="M13" s="3200"/>
      <c r="N13" s="3200"/>
      <c r="O13" s="3201"/>
      <c r="P13" s="3201"/>
      <c r="Q13" s="3202">
        <v>365</v>
      </c>
      <c r="R13" s="3203">
        <f t="shared" si="0"/>
        <v>0</v>
      </c>
      <c r="S13" s="3179"/>
      <c r="T13" s="3179"/>
      <c r="U13" s="3179"/>
      <c r="V13" s="3182"/>
      <c r="W13" s="3181"/>
    </row>
    <row r="14" spans="1:23" s="3087" customFormat="1" ht="13.2" customHeight="1">
      <c r="A14" s="3108" t="s">
        <v>2683</v>
      </c>
      <c r="B14" s="3643" t="s">
        <v>2684</v>
      </c>
      <c r="C14" s="3644"/>
      <c r="D14" s="3109">
        <f>ROUND(E14*B5/10000,0)</f>
        <v>0</v>
      </c>
      <c r="E14" s="3153"/>
      <c r="F14" s="3088" t="s">
        <v>2685</v>
      </c>
      <c r="G14" s="3204"/>
      <c r="H14" s="3181"/>
      <c r="I14" s="3182"/>
      <c r="J14" s="3637"/>
      <c r="K14" s="3640"/>
      <c r="L14" s="3205" t="s">
        <v>2686</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2" customHeight="1">
      <c r="A15" s="3108" t="s">
        <v>2687</v>
      </c>
      <c r="B15" s="3643" t="s">
        <v>2688</v>
      </c>
      <c r="C15" s="3644"/>
      <c r="D15" s="3109">
        <f>ROUND(D6*E15,0)</f>
        <v>0</v>
      </c>
      <c r="E15" s="3110">
        <v>5.5E-2</v>
      </c>
      <c r="F15" s="3088" t="s">
        <v>2689</v>
      </c>
      <c r="G15" s="3204"/>
      <c r="H15" s="3181"/>
      <c r="I15" s="3182"/>
      <c r="J15" s="3637">
        <v>2</v>
      </c>
      <c r="K15" s="3638" t="s">
        <v>2690</v>
      </c>
      <c r="L15" s="3209" t="s">
        <v>2691</v>
      </c>
      <c r="M15" s="3210" t="s">
        <v>2692</v>
      </c>
      <c r="N15" s="3210" t="s">
        <v>2693</v>
      </c>
      <c r="O15" s="3211" t="s">
        <v>2694</v>
      </c>
      <c r="P15" s="3211" t="s">
        <v>2695</v>
      </c>
      <c r="Q15" s="3148" t="s">
        <v>2696</v>
      </c>
      <c r="R15" s="3212" t="s">
        <v>2697</v>
      </c>
      <c r="S15" s="3179"/>
      <c r="T15" s="3179"/>
      <c r="U15" s="3179"/>
      <c r="V15" s="3182"/>
      <c r="W15" s="3181"/>
    </row>
    <row r="16" spans="1:23" s="3087" customFormat="1" ht="13.2" customHeight="1">
      <c r="A16" s="3108" t="s">
        <v>2698</v>
      </c>
      <c r="B16" s="3643" t="s">
        <v>2699</v>
      </c>
      <c r="C16" s="3644"/>
      <c r="D16" s="3154">
        <f>D6*E16</f>
        <v>0</v>
      </c>
      <c r="E16" s="3155"/>
      <c r="F16" s="3106" t="s">
        <v>2700</v>
      </c>
      <c r="G16" s="3204"/>
      <c r="H16" s="3181"/>
      <c r="I16" s="3182"/>
      <c r="J16" s="3637"/>
      <c r="K16" s="3639"/>
      <c r="L16" s="3199" t="s">
        <v>2773</v>
      </c>
      <c r="M16" s="3200"/>
      <c r="N16" s="3200"/>
      <c r="O16" s="3201"/>
      <c r="P16" s="3202">
        <v>365</v>
      </c>
      <c r="Q16" s="3200"/>
      <c r="R16" s="3213">
        <f>ROUND(M16*N16*O16*P16/10000,0)</f>
        <v>0</v>
      </c>
      <c r="S16" s="3179"/>
      <c r="T16" s="3179"/>
      <c r="U16" s="3179"/>
      <c r="V16" s="3182"/>
      <c r="W16" s="3181"/>
    </row>
    <row r="17" spans="1:23" s="3087" customFormat="1" ht="13.2" customHeight="1" thickBot="1">
      <c r="A17" s="3114">
        <v>4</v>
      </c>
      <c r="B17" s="3645" t="s">
        <v>2701</v>
      </c>
      <c r="C17" s="3646"/>
      <c r="D17" s="3115">
        <f>ROUND(D6*E17,0)</f>
        <v>0</v>
      </c>
      <c r="E17" s="3156"/>
      <c r="F17" s="3116" t="s">
        <v>2702</v>
      </c>
      <c r="G17" s="3257">
        <v>0.1</v>
      </c>
      <c r="H17" s="3181"/>
      <c r="I17" s="3182"/>
      <c r="J17" s="3637"/>
      <c r="K17" s="3639"/>
      <c r="L17" s="3199" t="s">
        <v>2774</v>
      </c>
      <c r="M17" s="3200"/>
      <c r="N17" s="3200"/>
      <c r="O17" s="3201"/>
      <c r="P17" s="3202">
        <v>365</v>
      </c>
      <c r="Q17" s="3200"/>
      <c r="R17" s="3213">
        <f>ROUND(M17*N17*O17*P17/10000,0)</f>
        <v>0</v>
      </c>
      <c r="S17" s="3179"/>
      <c r="T17" s="3179"/>
      <c r="U17" s="3179"/>
      <c r="V17" s="3182"/>
      <c r="W17" s="3181"/>
    </row>
    <row r="18" spans="1:23" s="3087" customFormat="1" ht="13.2" customHeight="1" thickBot="1">
      <c r="A18" s="3097" t="s">
        <v>2703</v>
      </c>
      <c r="B18" s="3098"/>
      <c r="C18" s="3098"/>
      <c r="D18" s="3117">
        <f>ROUND(D6*E18,0)</f>
        <v>0</v>
      </c>
      <c r="E18" s="3157"/>
      <c r="F18" s="3118" t="s">
        <v>2704</v>
      </c>
      <c r="G18" s="3257">
        <v>0.05</v>
      </c>
      <c r="H18" s="3181"/>
      <c r="I18" s="3182"/>
      <c r="J18" s="3637"/>
      <c r="K18" s="3639"/>
      <c r="L18" s="3199" t="s">
        <v>2775</v>
      </c>
      <c r="M18" s="3200"/>
      <c r="N18" s="3200"/>
      <c r="O18" s="3201"/>
      <c r="P18" s="3202">
        <v>365</v>
      </c>
      <c r="Q18" s="3200"/>
      <c r="R18" s="3213">
        <f>ROUND(M18*N18*O18*P18/10000,0)</f>
        <v>0</v>
      </c>
      <c r="S18" s="3179"/>
      <c r="T18" s="3179"/>
      <c r="U18" s="3179"/>
      <c r="V18" s="3182"/>
      <c r="W18" s="3181"/>
    </row>
    <row r="19" spans="1:23" s="3087" customFormat="1" ht="13.2" customHeight="1" thickBot="1">
      <c r="A19" s="3119" t="s">
        <v>2705</v>
      </c>
      <c r="B19" s="3094"/>
      <c r="C19" s="3094"/>
      <c r="D19" s="3094"/>
      <c r="E19" s="3094"/>
      <c r="F19" s="3095"/>
      <c r="G19" s="3204"/>
      <c r="H19" s="3181"/>
      <c r="I19" s="3182"/>
      <c r="J19" s="3637"/>
      <c r="K19" s="3640"/>
      <c r="L19" s="3205" t="s">
        <v>2686</v>
      </c>
      <c r="M19" s="3206"/>
      <c r="N19" s="3206">
        <f>SUM(N16:N18)</f>
        <v>0</v>
      </c>
      <c r="O19" s="3207"/>
      <c r="P19" s="3214" t="s">
        <v>2776</v>
      </c>
      <c r="Q19" s="3211">
        <v>0.5</v>
      </c>
      <c r="R19" s="3215">
        <f>ROUND(IF(P19="按比例",R14*Q19,SUM(R16:R18)),0)</f>
        <v>0</v>
      </c>
      <c r="S19" s="3179"/>
      <c r="T19" s="3179"/>
      <c r="U19" s="3179"/>
      <c r="V19" s="3182"/>
      <c r="W19" s="3181"/>
    </row>
    <row r="20" spans="1:23" s="3087" customFormat="1" ht="13.2" customHeight="1">
      <c r="A20" s="3097"/>
      <c r="B20" s="3098"/>
      <c r="C20" s="3098"/>
      <c r="D20" s="3098"/>
      <c r="E20" s="3098"/>
      <c r="F20" s="3120"/>
      <c r="G20" s="3204"/>
      <c r="H20" s="3181"/>
      <c r="I20" s="3182"/>
      <c r="J20" s="3637">
        <v>3</v>
      </c>
      <c r="K20" s="3638" t="s">
        <v>2706</v>
      </c>
      <c r="L20" s="3209" t="s">
        <v>2707</v>
      </c>
      <c r="M20" s="3210" t="s">
        <v>2708</v>
      </c>
      <c r="N20" s="3216" t="s">
        <v>2709</v>
      </c>
      <c r="O20" s="3211" t="s">
        <v>2710</v>
      </c>
      <c r="P20" s="3153" t="s">
        <v>2695</v>
      </c>
      <c r="Q20" s="3148" t="s">
        <v>2696</v>
      </c>
      <c r="R20" s="3212" t="s">
        <v>2697</v>
      </c>
      <c r="S20" s="3217"/>
      <c r="T20" s="3217"/>
      <c r="U20" s="3217"/>
      <c r="V20" s="3182"/>
      <c r="W20" s="3181"/>
    </row>
    <row r="21" spans="1:23" s="3087" customFormat="1" ht="13.2" customHeight="1">
      <c r="A21" s="3097"/>
      <c r="B21" s="3098"/>
      <c r="C21" s="3121" t="s">
        <v>2711</v>
      </c>
      <c r="D21" s="3122" t="s">
        <v>2712</v>
      </c>
      <c r="E21" s="3123" t="s">
        <v>2713</v>
      </c>
      <c r="F21" s="3120"/>
      <c r="G21" s="3204"/>
      <c r="H21" s="3181"/>
      <c r="I21" s="3182"/>
      <c r="J21" s="3637"/>
      <c r="K21" s="3639"/>
      <c r="L21" s="3209" t="s">
        <v>2714</v>
      </c>
      <c r="M21" s="3210"/>
      <c r="N21" s="3210"/>
      <c r="O21" s="3211"/>
      <c r="P21" s="3153">
        <v>365</v>
      </c>
      <c r="Q21" s="3148"/>
      <c r="R21" s="3218">
        <f>ROUND(M21*N21*O21*P21/10000,0)</f>
        <v>0</v>
      </c>
      <c r="S21" s="3217"/>
      <c r="T21" s="3217"/>
      <c r="U21" s="3217"/>
      <c r="V21" s="3182"/>
      <c r="W21" s="3181"/>
    </row>
    <row r="22" spans="1:23" s="3087" customFormat="1" ht="13.2" customHeight="1">
      <c r="A22" s="3097"/>
      <c r="B22" s="3098"/>
      <c r="C22" s="3158" t="s">
        <v>2715</v>
      </c>
      <c r="D22" s="3159" t="s">
        <v>2716</v>
      </c>
      <c r="E22" s="3160" t="s">
        <v>2717</v>
      </c>
      <c r="F22" s="3120"/>
      <c r="G22" s="3219"/>
      <c r="H22" s="3181"/>
      <c r="I22" s="3182"/>
      <c r="J22" s="3637"/>
      <c r="K22" s="3639"/>
      <c r="L22" s="3209" t="s">
        <v>2718</v>
      </c>
      <c r="M22" s="3210"/>
      <c r="N22" s="3210"/>
      <c r="O22" s="3211"/>
      <c r="P22" s="3153">
        <v>365</v>
      </c>
      <c r="Q22" s="3148"/>
      <c r="R22" s="3218">
        <f>ROUND(M22*N22*O22*P22/10000,0)</f>
        <v>0</v>
      </c>
      <c r="S22" s="3217"/>
      <c r="T22" s="3217"/>
      <c r="U22" s="3217"/>
      <c r="V22" s="3182"/>
      <c r="W22" s="3181"/>
    </row>
    <row r="23" spans="1:23" s="3087" customFormat="1" ht="13.2" customHeight="1">
      <c r="A23" s="3124">
        <v>1</v>
      </c>
      <c r="B23" s="3096" t="s">
        <v>2719</v>
      </c>
      <c r="C23" s="3125">
        <f>D6</f>
        <v>0</v>
      </c>
      <c r="D23" s="3126">
        <f>C23*(1+D24)</f>
        <v>0</v>
      </c>
      <c r="E23" s="3127">
        <f>D23*(1+E24)</f>
        <v>0</v>
      </c>
      <c r="F23" s="3128"/>
      <c r="G23" s="3220"/>
      <c r="H23" s="3181"/>
      <c r="I23" s="3182"/>
      <c r="J23" s="3637"/>
      <c r="K23" s="3639"/>
      <c r="L23" s="3209" t="s">
        <v>2720</v>
      </c>
      <c r="M23" s="3210"/>
      <c r="N23" s="3210"/>
      <c r="O23" s="3211"/>
      <c r="P23" s="3153">
        <v>365</v>
      </c>
      <c r="Q23" s="3148"/>
      <c r="R23" s="3218">
        <f>ROUND(M23*N23*O23*P23/10000,0)</f>
        <v>0</v>
      </c>
      <c r="S23" s="3179"/>
      <c r="T23" s="3179"/>
      <c r="U23" s="3179"/>
      <c r="V23" s="3182"/>
      <c r="W23" s="3181"/>
    </row>
    <row r="24" spans="1:23" s="3087" customFormat="1" ht="13.2" customHeight="1">
      <c r="A24" s="3129"/>
      <c r="B24" s="3130" t="s">
        <v>2721</v>
      </c>
      <c r="C24" s="3131"/>
      <c r="D24" s="3161"/>
      <c r="E24" s="3162"/>
      <c r="F24" s="3132"/>
      <c r="G24" s="3220"/>
      <c r="H24" s="3181"/>
      <c r="I24" s="3182"/>
      <c r="J24" s="3637"/>
      <c r="K24" s="3640"/>
      <c r="L24" s="3205" t="s">
        <v>2686</v>
      </c>
      <c r="M24" s="3206">
        <f>SUM(M21:M23)</f>
        <v>0</v>
      </c>
      <c r="N24" s="3206"/>
      <c r="O24" s="3207"/>
      <c r="P24" s="3214" t="s">
        <v>2776</v>
      </c>
      <c r="Q24" s="3211">
        <v>0.1</v>
      </c>
      <c r="R24" s="3215">
        <f>ROUND(IF(P24="按比例",R14*Q24,SUM(R21:R23)),0)</f>
        <v>0</v>
      </c>
      <c r="S24" s="3179"/>
      <c r="T24" s="3179"/>
      <c r="U24" s="3179"/>
      <c r="V24" s="3182"/>
      <c r="W24" s="3181"/>
    </row>
    <row r="25" spans="1:23" s="3133" customFormat="1" ht="13.2" customHeight="1">
      <c r="A25" s="3129"/>
      <c r="B25" s="3130"/>
      <c r="C25" s="3131"/>
      <c r="D25" s="3161"/>
      <c r="E25" s="3162"/>
      <c r="F25" s="3132"/>
      <c r="G25" s="3219"/>
      <c r="H25" s="3181"/>
      <c r="I25" s="3182"/>
      <c r="J25" s="3221">
        <v>4</v>
      </c>
      <c r="K25" s="3222" t="s">
        <v>2722</v>
      </c>
      <c r="L25" s="3223"/>
      <c r="M25" s="3223"/>
      <c r="N25" s="3223"/>
      <c r="O25" s="3223"/>
      <c r="P25" s="3224"/>
      <c r="Q25" s="3225">
        <v>0</v>
      </c>
      <c r="R25" s="3215">
        <f>ROUND(R14*Q25,0)</f>
        <v>0</v>
      </c>
      <c r="S25" s="3179"/>
      <c r="T25" s="3179"/>
      <c r="U25" s="3179"/>
      <c r="V25" s="3226"/>
      <c r="W25" s="3227"/>
    </row>
    <row r="26" spans="1:23" s="3133" customFormat="1" ht="13.2" customHeight="1">
      <c r="A26" s="3124">
        <v>2</v>
      </c>
      <c r="B26" s="3096" t="s">
        <v>2723</v>
      </c>
      <c r="C26" s="3125">
        <f>D7</f>
        <v>0</v>
      </c>
      <c r="D26" s="3126">
        <f>D23*D27</f>
        <v>0</v>
      </c>
      <c r="E26" s="3127">
        <f>E23*E27</f>
        <v>0</v>
      </c>
      <c r="F26" s="3128"/>
      <c r="G26" s="3220"/>
      <c r="H26" s="3181"/>
      <c r="I26" s="3182"/>
      <c r="J26" s="3647">
        <v>5</v>
      </c>
      <c r="K26" s="3228" t="s">
        <v>2724</v>
      </c>
      <c r="L26" s="3229"/>
      <c r="M26" s="3230"/>
      <c r="N26" s="3231" t="s">
        <v>2725</v>
      </c>
      <c r="O26" s="3231" t="s">
        <v>2726</v>
      </c>
      <c r="P26" s="3232" t="s">
        <v>2727</v>
      </c>
      <c r="Q26" s="3232" t="s">
        <v>2728</v>
      </c>
      <c r="R26" s="3188" t="s">
        <v>2697</v>
      </c>
      <c r="S26" s="3233"/>
      <c r="T26" s="3233"/>
      <c r="U26" s="3233"/>
      <c r="V26" s="3226"/>
      <c r="W26" s="3227"/>
    </row>
    <row r="27" spans="1:23" s="3087" customFormat="1" ht="13.2" customHeight="1">
      <c r="A27" s="3129"/>
      <c r="B27" s="3130" t="s">
        <v>2729</v>
      </c>
      <c r="C27" s="3134" t="e">
        <f>E7</f>
        <v>#DIV/0!</v>
      </c>
      <c r="D27" s="3161"/>
      <c r="E27" s="3162"/>
      <c r="F27" s="3132"/>
      <c r="G27" s="3220"/>
      <c r="H27" s="3227"/>
      <c r="I27" s="3226"/>
      <c r="J27" s="3648"/>
      <c r="K27" s="3234"/>
      <c r="L27" s="3235"/>
      <c r="M27" s="3236"/>
      <c r="N27" s="3237"/>
      <c r="O27" s="3237"/>
      <c r="P27" s="3237"/>
      <c r="Q27" s="3238"/>
      <c r="R27" s="3215">
        <f>ROUND(O27*N27*P27*(1-Q27)/10000,0)</f>
        <v>0</v>
      </c>
      <c r="S27" s="3179"/>
      <c r="T27" s="3179"/>
      <c r="U27" s="3179"/>
      <c r="V27" s="3182"/>
      <c r="W27" s="3181"/>
    </row>
    <row r="28" spans="1:23" s="3133" customFormat="1" ht="13.2" customHeight="1" thickBot="1">
      <c r="A28" s="3129"/>
      <c r="B28" s="3130"/>
      <c r="C28" s="3134"/>
      <c r="D28" s="3161"/>
      <c r="E28" s="3162" t="s">
        <v>2730</v>
      </c>
      <c r="F28" s="3132"/>
      <c r="G28" s="3219"/>
      <c r="H28" s="3227"/>
      <c r="I28" s="3226"/>
      <c r="J28" s="3239">
        <v>6</v>
      </c>
      <c r="K28" s="3240" t="s">
        <v>2731</v>
      </c>
      <c r="L28" s="3241" t="s">
        <v>2732</v>
      </c>
      <c r="M28" s="3242"/>
      <c r="N28" s="3241" t="s">
        <v>2733</v>
      </c>
      <c r="O28" s="3243"/>
      <c r="P28" s="3241" t="s">
        <v>2734</v>
      </c>
      <c r="Q28" s="3244">
        <v>1.4999999999999999E-2</v>
      </c>
      <c r="R28" s="3245"/>
      <c r="S28" s="3217"/>
      <c r="T28" s="3217"/>
      <c r="U28" s="3217"/>
      <c r="V28" s="3226"/>
      <c r="W28" s="3227"/>
    </row>
    <row r="29" spans="1:23" s="3133" customFormat="1" ht="13.2" customHeight="1">
      <c r="A29" s="3124">
        <v>3</v>
      </c>
      <c r="B29" s="3096" t="s">
        <v>2735</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2" customHeight="1" thickBot="1">
      <c r="A30" s="3129"/>
      <c r="B30" s="3130" t="s">
        <v>2729</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2" customHeight="1">
      <c r="A31" s="3129"/>
      <c r="B31" s="3130"/>
      <c r="C31" s="3163"/>
      <c r="D31" s="3135"/>
      <c r="E31" s="3113"/>
      <c r="F31" s="3132"/>
      <c r="G31" s="3219"/>
      <c r="H31" s="3227"/>
      <c r="I31" s="3226"/>
      <c r="J31" s="3176" t="s">
        <v>2736</v>
      </c>
      <c r="K31" s="3177"/>
      <c r="L31" s="3177"/>
      <c r="M31" s="3177"/>
      <c r="N31" s="3177"/>
      <c r="O31" s="3177"/>
      <c r="P31" s="3177"/>
      <c r="Q31" s="3177"/>
      <c r="R31" s="3178"/>
      <c r="S31" s="3217"/>
      <c r="T31" s="3179"/>
      <c r="U31" s="3179"/>
      <c r="V31" s="3226"/>
      <c r="W31" s="3227"/>
    </row>
    <row r="32" spans="1:23" s="3133" customFormat="1" ht="13.2" customHeight="1">
      <c r="A32" s="3124">
        <v>4</v>
      </c>
      <c r="B32" s="3096" t="s">
        <v>2737</v>
      </c>
      <c r="C32" s="3125">
        <f>C23-C26-C29</f>
        <v>0</v>
      </c>
      <c r="D32" s="3126">
        <f>D23-D26-D29</f>
        <v>0</v>
      </c>
      <c r="E32" s="3127">
        <f>E23-E26-E29</f>
        <v>0</v>
      </c>
      <c r="F32" s="3128"/>
      <c r="G32" s="3219"/>
      <c r="H32" s="3181"/>
      <c r="I32" s="3182"/>
      <c r="J32" s="3630" t="s">
        <v>2738</v>
      </c>
      <c r="K32" s="3631"/>
      <c r="L32" s="3183" t="s">
        <v>2739</v>
      </c>
      <c r="M32" s="3183" t="s">
        <v>2642</v>
      </c>
      <c r="N32" s="3183" t="s">
        <v>2643</v>
      </c>
      <c r="O32" s="3183" t="s">
        <v>2644</v>
      </c>
      <c r="P32" s="3183" t="s">
        <v>2645</v>
      </c>
      <c r="Q32" s="3184" t="s">
        <v>2740</v>
      </c>
      <c r="R32" s="3246" t="s">
        <v>2741</v>
      </c>
      <c r="S32" s="3217"/>
      <c r="T32" s="3179"/>
      <c r="U32" s="3179"/>
      <c r="V32" s="3226"/>
      <c r="W32" s="3227"/>
    </row>
    <row r="33" spans="1:23" s="3087" customFormat="1" ht="13.2" customHeight="1">
      <c r="A33" s="3124"/>
      <c r="B33" s="3096"/>
      <c r="C33" s="3125"/>
      <c r="D33" s="3136"/>
      <c r="E33" s="3137"/>
      <c r="F33" s="3128"/>
      <c r="G33" s="3219"/>
      <c r="H33" s="3227"/>
      <c r="I33" s="3226"/>
      <c r="J33" s="3632" t="s">
        <v>2742</v>
      </c>
      <c r="K33" s="3633"/>
      <c r="L33" s="3186"/>
      <c r="M33" s="3186"/>
      <c r="N33" s="3186"/>
      <c r="O33" s="3186"/>
      <c r="P33" s="3186"/>
      <c r="Q33" s="3187"/>
      <c r="R33" s="3247">
        <f>SUM(L33:Q33)</f>
        <v>0</v>
      </c>
      <c r="S33" s="3217"/>
      <c r="T33" s="3179"/>
      <c r="U33" s="3179"/>
      <c r="V33" s="3182"/>
      <c r="W33" s="3181"/>
    </row>
    <row r="34" spans="1:23" s="3087" customFormat="1" ht="13.2" customHeight="1">
      <c r="A34" s="3124">
        <v>5</v>
      </c>
      <c r="B34" s="3096" t="s">
        <v>2743</v>
      </c>
      <c r="C34" s="3164"/>
      <c r="D34" s="3165"/>
      <c r="E34" s="3166"/>
      <c r="F34" s="3128"/>
      <c r="G34" s="3219"/>
      <c r="H34" s="3227"/>
      <c r="I34" s="3226"/>
      <c r="J34" s="3632" t="s">
        <v>2744</v>
      </c>
      <c r="K34" s="3633"/>
      <c r="L34" s="3189"/>
      <c r="M34" s="3189"/>
      <c r="N34" s="3189"/>
      <c r="O34" s="3189"/>
      <c r="P34" s="3189"/>
      <c r="Q34" s="3190"/>
      <c r="R34" s="3248">
        <f>SUM(L34:Q34)</f>
        <v>0</v>
      </c>
      <c r="S34" s="3217"/>
      <c r="T34" s="3179"/>
      <c r="U34" s="3179" t="e">
        <f>ROUND(R35*10000/365/R33,1)</f>
        <v>#DIV/0!</v>
      </c>
      <c r="V34" s="3182"/>
      <c r="W34" s="3181"/>
    </row>
    <row r="35" spans="1:23" s="3087" customFormat="1" ht="13.2" customHeight="1">
      <c r="A35" s="3124">
        <v>6</v>
      </c>
      <c r="B35" s="3096" t="s">
        <v>2745</v>
      </c>
      <c r="C35" s="3167"/>
      <c r="D35" s="3168"/>
      <c r="E35" s="3169"/>
      <c r="F35" s="3128"/>
      <c r="G35" s="3249"/>
      <c r="H35" s="3181"/>
      <c r="I35" s="3226"/>
      <c r="J35" s="3192" t="s">
        <v>2746</v>
      </c>
      <c r="K35" s="3193"/>
      <c r="L35" s="3193"/>
      <c r="M35" s="3194"/>
      <c r="N35" s="3194"/>
      <c r="O35" s="3194"/>
      <c r="P35" s="3194"/>
      <c r="Q35" s="3194"/>
      <c r="R35" s="3250">
        <f>R40+R41+R43</f>
        <v>0</v>
      </c>
      <c r="S35" s="3217"/>
      <c r="T35" s="3179" t="s">
        <v>2747</v>
      </c>
      <c r="U35" s="3179"/>
      <c r="V35" s="3182"/>
      <c r="W35" s="3181"/>
    </row>
    <row r="36" spans="1:23" s="3087" customFormat="1" ht="13.2" customHeight="1" thickBot="1">
      <c r="A36" s="3124">
        <v>7</v>
      </c>
      <c r="B36" s="3138" t="s">
        <v>2748</v>
      </c>
      <c r="C36" s="3170"/>
      <c r="D36" s="3171"/>
      <c r="E36" s="3172"/>
      <c r="F36" s="3139">
        <f>C36+D36+E36</f>
        <v>0</v>
      </c>
      <c r="G36" s="3219"/>
      <c r="H36" s="3181"/>
      <c r="I36" s="3182"/>
      <c r="J36" s="3637">
        <v>1</v>
      </c>
      <c r="K36" s="3638" t="s">
        <v>2749</v>
      </c>
      <c r="L36" s="3196"/>
      <c r="M36" s="3197"/>
      <c r="N36" s="3197"/>
      <c r="O36" s="3197"/>
      <c r="P36" s="3197"/>
      <c r="Q36" s="3197"/>
      <c r="R36" s="3188" t="s">
        <v>2697</v>
      </c>
      <c r="S36" s="3217"/>
      <c r="T36" s="3179" t="s">
        <v>2750</v>
      </c>
      <c r="U36" s="3179"/>
      <c r="V36" s="3182"/>
      <c r="W36" s="3181"/>
    </row>
    <row r="37" spans="1:23" s="3087" customFormat="1" ht="13.2" customHeight="1">
      <c r="A37" s="3124"/>
      <c r="B37" s="3096"/>
      <c r="C37" s="3096"/>
      <c r="D37" s="3096"/>
      <c r="E37" s="3096"/>
      <c r="F37" s="3128"/>
      <c r="G37" s="3219"/>
      <c r="H37" s="3181"/>
      <c r="I37" s="3182"/>
      <c r="J37" s="3637"/>
      <c r="K37" s="3639"/>
      <c r="L37" s="3209"/>
      <c r="M37" s="3210"/>
      <c r="N37" s="3148"/>
      <c r="O37" s="3211"/>
      <c r="P37" s="3211"/>
      <c r="Q37" s="3153"/>
      <c r="R37" s="3251"/>
      <c r="S37" s="3217"/>
      <c r="T37" s="3179" t="s">
        <v>2751</v>
      </c>
      <c r="U37" s="3179"/>
      <c r="V37" s="3182"/>
      <c r="W37" s="3181"/>
    </row>
    <row r="38" spans="1:23" s="3087" customFormat="1" ht="13.2" customHeight="1">
      <c r="A38" s="3124">
        <v>8</v>
      </c>
      <c r="B38" s="3096"/>
      <c r="C38" s="3104" t="e">
        <f>ROUND(C32*(1-((1+C35)/(1+C34))^C36)/(C34-C35),0)</f>
        <v>#DIV/0!</v>
      </c>
      <c r="D38" s="3104">
        <f>IF(D23=0,0,ROUND(D32*(1-((1+D35)/(1+D34))^D36)/(D34-D35),0))</f>
        <v>0</v>
      </c>
      <c r="E38" s="3104">
        <f>IF(E23=0,0,ROUND(E32*(1-((1+E35)/(1+E34))^E36)/(E34-E35),0))</f>
        <v>0</v>
      </c>
      <c r="F38" s="3128"/>
      <c r="G38" s="3219"/>
      <c r="H38" s="3181"/>
      <c r="I38" s="3182"/>
      <c r="J38" s="3637"/>
      <c r="K38" s="3639"/>
      <c r="L38" s="3209"/>
      <c r="M38" s="3210"/>
      <c r="N38" s="3148"/>
      <c r="O38" s="3211"/>
      <c r="P38" s="3211"/>
      <c r="Q38" s="3153"/>
      <c r="R38" s="3251"/>
      <c r="S38" s="3217"/>
      <c r="T38" s="3179" t="s">
        <v>2673</v>
      </c>
      <c r="U38" s="3179"/>
      <c r="V38" s="3182"/>
      <c r="W38" s="3181"/>
    </row>
    <row r="39" spans="1:23" s="3087" customFormat="1" ht="13.2" customHeight="1">
      <c r="A39" s="3124">
        <v>9</v>
      </c>
      <c r="B39" s="3096" t="s">
        <v>2752</v>
      </c>
      <c r="C39" s="3109" t="e">
        <f>C38</f>
        <v>#DIV/0!</v>
      </c>
      <c r="D39" s="3096">
        <f>D38/(1+D34)^C36</f>
        <v>0</v>
      </c>
      <c r="E39" s="3096">
        <f>E38/(1+E34)^(C36+D36)</f>
        <v>0</v>
      </c>
      <c r="F39" s="3128"/>
      <c r="G39" s="3252"/>
      <c r="H39" s="3181"/>
      <c r="I39" s="3182"/>
      <c r="J39" s="3637"/>
      <c r="K39" s="3639"/>
      <c r="L39" s="3209"/>
      <c r="M39" s="3210"/>
      <c r="N39" s="3148"/>
      <c r="O39" s="3211"/>
      <c r="P39" s="3211"/>
      <c r="Q39" s="3153"/>
      <c r="R39" s="3251"/>
      <c r="S39" s="3217"/>
      <c r="T39" s="3179"/>
      <c r="U39" s="3179"/>
      <c r="V39" s="3182"/>
      <c r="W39" s="3181"/>
    </row>
    <row r="40" spans="1:23" s="3087" customFormat="1" ht="13.2" customHeight="1">
      <c r="A40" s="3140">
        <v>10</v>
      </c>
      <c r="B40" s="3096" t="s">
        <v>2753</v>
      </c>
      <c r="C40" s="3141" t="e">
        <f>C39+D39+E39</f>
        <v>#DIV/0!</v>
      </c>
      <c r="D40" s="3142"/>
      <c r="E40" s="3142"/>
      <c r="F40" s="3143"/>
      <c r="G40" s="3219"/>
      <c r="H40" s="3181"/>
      <c r="I40" s="3182"/>
      <c r="J40" s="3637"/>
      <c r="K40" s="3640"/>
      <c r="L40" s="3205" t="s">
        <v>2754</v>
      </c>
      <c r="M40" s="3206"/>
      <c r="N40" s="3206"/>
      <c r="O40" s="3207"/>
      <c r="P40" s="3207"/>
      <c r="Q40" s="3208"/>
      <c r="R40" s="3185">
        <f>SUM(R37:R39)</f>
        <v>0</v>
      </c>
      <c r="S40" s="3217"/>
      <c r="T40" s="3179"/>
      <c r="U40" s="3179"/>
      <c r="V40" s="3182"/>
      <c r="W40" s="3181"/>
    </row>
    <row r="41" spans="1:23" s="3087" customFormat="1" ht="13.2" customHeight="1" thickBot="1">
      <c r="A41" s="3144">
        <v>11</v>
      </c>
      <c r="B41" s="3145" t="s">
        <v>2755</v>
      </c>
      <c r="C41" s="3145" t="e">
        <f>ROUND(C40*10000/B4,0)</f>
        <v>#DIV/0!</v>
      </c>
      <c r="D41" s="3146"/>
      <c r="E41" s="3146"/>
      <c r="F41" s="3147"/>
      <c r="G41" s="3253"/>
      <c r="H41" s="3181"/>
      <c r="I41" s="3182"/>
      <c r="J41" s="3221">
        <v>2</v>
      </c>
      <c r="K41" s="3222" t="s">
        <v>2756</v>
      </c>
      <c r="L41" s="3223"/>
      <c r="M41" s="3223"/>
      <c r="N41" s="3223"/>
      <c r="O41" s="3223"/>
      <c r="P41" s="3224"/>
      <c r="Q41" s="3225"/>
      <c r="R41" s="3215">
        <f>ROUND(R40*Q41,0)</f>
        <v>0</v>
      </c>
      <c r="S41" s="3217"/>
      <c r="T41" s="3179"/>
      <c r="U41" s="3233"/>
      <c r="V41" s="3182"/>
      <c r="W41" s="3181"/>
    </row>
    <row r="42" spans="1:23" s="3087" customFormat="1" ht="13.2" customHeight="1">
      <c r="G42" s="3253"/>
      <c r="H42" s="3181"/>
      <c r="I42" s="3182"/>
      <c r="J42" s="3647">
        <v>3</v>
      </c>
      <c r="K42" s="3228" t="s">
        <v>2757</v>
      </c>
      <c r="L42" s="3229"/>
      <c r="M42" s="3230"/>
      <c r="N42" s="3231" t="s">
        <v>2758</v>
      </c>
      <c r="O42" s="3231" t="s">
        <v>2759</v>
      </c>
      <c r="P42" s="3232" t="s">
        <v>2760</v>
      </c>
      <c r="Q42" s="3232" t="s">
        <v>2761</v>
      </c>
      <c r="R42" s="3188" t="s">
        <v>2664</v>
      </c>
      <c r="S42" s="3233"/>
      <c r="T42" s="3233"/>
      <c r="U42" s="3179"/>
      <c r="V42" s="3182"/>
      <c r="W42" s="3181"/>
    </row>
    <row r="43" spans="1:23" ht="13.2" customHeight="1">
      <c r="A43" s="3087"/>
      <c r="B43" s="3087"/>
      <c r="C43" s="3087"/>
      <c r="D43" s="3087"/>
      <c r="E43" s="3087"/>
      <c r="F43" s="3087"/>
      <c r="I43" s="3174"/>
      <c r="J43" s="3648"/>
      <c r="K43" s="3234"/>
      <c r="L43" s="3235"/>
      <c r="M43" s="3236"/>
      <c r="N43" s="3210"/>
      <c r="O43" s="3210"/>
      <c r="P43" s="3210"/>
      <c r="Q43" s="3225"/>
      <c r="R43" s="3215">
        <f>ROUND(O43*N43*P43*(1-Q43)/10000,0)</f>
        <v>0</v>
      </c>
      <c r="S43" s="3217"/>
      <c r="T43" s="3179"/>
      <c r="V43" s="3255"/>
      <c r="W43" s="3175"/>
    </row>
    <row r="44" spans="1:23" ht="13.2" customHeight="1" thickBot="1">
      <c r="J44" s="3239">
        <v>6</v>
      </c>
      <c r="K44" s="3240" t="s">
        <v>2762</v>
      </c>
      <c r="L44" s="3256" t="s">
        <v>2763</v>
      </c>
      <c r="M44" s="3242"/>
      <c r="N44" s="3256" t="s">
        <v>2764</v>
      </c>
      <c r="O44" s="3242"/>
      <c r="P44" s="3256" t="s">
        <v>2765</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829.41000000000008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4.4">
      <c r="A4" s="1591" t="s">
        <v>2005</v>
      </c>
      <c r="B4" s="1592"/>
      <c r="C4" s="3598" t="s">
        <v>2006</v>
      </c>
      <c r="D4" s="3599"/>
      <c r="E4" s="3600" t="s">
        <v>2007</v>
      </c>
      <c r="F4" s="3601"/>
      <c r="G4" s="3598" t="s">
        <v>2008</v>
      </c>
      <c r="H4" s="3599"/>
      <c r="I4" s="3598" t="s">
        <v>2009</v>
      </c>
      <c r="J4" s="3599"/>
      <c r="K4" s="1593" t="s">
        <v>2010</v>
      </c>
      <c r="L4" s="2914"/>
      <c r="M4" s="2915"/>
      <c r="N4" s="2915"/>
      <c r="O4" s="2915"/>
      <c r="P4" s="3602" t="s">
        <v>2011</v>
      </c>
      <c r="Q4" s="3603"/>
      <c r="R4" s="3584" t="s">
        <v>2007</v>
      </c>
      <c r="S4" s="3585"/>
      <c r="T4" s="3584" t="s">
        <v>2008</v>
      </c>
      <c r="U4" s="3585"/>
      <c r="V4" s="3608" t="s">
        <v>2009</v>
      </c>
      <c r="W4" s="3608"/>
      <c r="X4" s="1594"/>
      <c r="Y4" s="3584" t="s">
        <v>2011</v>
      </c>
      <c r="Z4" s="3585"/>
      <c r="AA4" s="3595" t="s">
        <v>2007</v>
      </c>
      <c r="AB4" s="3595" t="s">
        <v>2008</v>
      </c>
      <c r="AC4" s="3595" t="s">
        <v>2009</v>
      </c>
    </row>
    <row r="5" spans="1:29">
      <c r="A5" s="1596"/>
      <c r="B5" s="1597"/>
      <c r="C5" s="3611" t="s">
        <v>2012</v>
      </c>
      <c r="D5" s="3612"/>
      <c r="E5" s="3651" t="s">
        <v>2013</v>
      </c>
      <c r="F5" s="3610"/>
      <c r="G5" s="3611" t="s">
        <v>2014</v>
      </c>
      <c r="H5" s="3612"/>
      <c r="I5" s="3611" t="s">
        <v>2015</v>
      </c>
      <c r="J5" s="3612"/>
      <c r="K5" s="1598"/>
      <c r="L5" s="2914"/>
      <c r="M5" s="2915"/>
      <c r="N5" s="2915"/>
      <c r="O5" s="2915"/>
      <c r="P5" s="3604"/>
      <c r="Q5" s="3605"/>
      <c r="R5" s="3586"/>
      <c r="S5" s="3587"/>
      <c r="T5" s="3586"/>
      <c r="U5" s="3587"/>
      <c r="V5" s="3608"/>
      <c r="W5" s="3608"/>
      <c r="X5" s="1594"/>
      <c r="Y5" s="3586"/>
      <c r="Z5" s="3587"/>
      <c r="AA5" s="3596"/>
      <c r="AB5" s="3596"/>
      <c r="AC5" s="3596"/>
    </row>
    <row r="6" spans="1:29" ht="15" thickBot="1">
      <c r="A6" s="1599"/>
      <c r="B6" s="1600"/>
      <c r="C6" s="3613" t="s">
        <v>2016</v>
      </c>
      <c r="D6" s="3614"/>
      <c r="E6" s="3616" t="s">
        <v>2016</v>
      </c>
      <c r="F6" s="3617"/>
      <c r="G6" s="3613" t="s">
        <v>2016</v>
      </c>
      <c r="H6" s="3614"/>
      <c r="I6" s="3613" t="s">
        <v>2016</v>
      </c>
      <c r="J6" s="3614"/>
      <c r="K6" s="1598" t="s">
        <v>2017</v>
      </c>
      <c r="L6" s="2914"/>
      <c r="M6" s="2915"/>
      <c r="N6" s="2915"/>
      <c r="O6" s="2915"/>
      <c r="P6" s="3606"/>
      <c r="Q6" s="3607"/>
      <c r="R6" s="3586"/>
      <c r="S6" s="3587"/>
      <c r="T6" s="3588"/>
      <c r="U6" s="3589"/>
      <c r="V6" s="3608"/>
      <c r="W6" s="3608"/>
      <c r="X6" s="1594"/>
      <c r="Y6" s="3588"/>
      <c r="Z6" s="3589"/>
      <c r="AA6" s="3597"/>
      <c r="AB6" s="3597"/>
      <c r="AC6" s="3597"/>
    </row>
    <row r="7" spans="1:29" s="1613" customFormat="1" ht="15" thickBot="1">
      <c r="A7" s="1601" t="s">
        <v>2018</v>
      </c>
      <c r="B7" s="1602"/>
      <c r="C7" s="1603">
        <f>'数据-取费表'!B2</f>
        <v>44776</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82" t="s">
        <v>2019</v>
      </c>
      <c r="Q7" s="3590"/>
      <c r="R7" s="1609" t="s">
        <v>34</v>
      </c>
      <c r="S7" s="1610">
        <f t="shared" ref="S7:S15" si="0">F7</f>
        <v>0</v>
      </c>
      <c r="T7" s="1609" t="s">
        <v>34</v>
      </c>
      <c r="U7" s="1610">
        <f t="shared" ref="U7:U15" si="1">H7</f>
        <v>0</v>
      </c>
      <c r="V7" s="1609" t="s">
        <v>34</v>
      </c>
      <c r="W7" s="1610">
        <f t="shared" ref="W7:W15" si="2">J7</f>
        <v>0</v>
      </c>
      <c r="X7" s="1611"/>
      <c r="Y7" s="3582" t="s">
        <v>2019</v>
      </c>
      <c r="Z7" s="3583"/>
      <c r="AA7" s="1612" t="e">
        <f>D7/F7</f>
        <v>#DIV/0!</v>
      </c>
      <c r="AB7" s="1612" t="e">
        <f>D7/H7</f>
        <v>#DIV/0!</v>
      </c>
      <c r="AC7" s="1612" t="e">
        <f>D7/J7</f>
        <v>#DIV/0!</v>
      </c>
    </row>
    <row r="8" spans="1:29" s="1613" customFormat="1" ht="1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82" t="s">
        <v>2022</v>
      </c>
      <c r="Q8" s="3583"/>
      <c r="R8" s="1609" t="s">
        <v>34</v>
      </c>
      <c r="S8" s="1610">
        <f t="shared" si="0"/>
        <v>0</v>
      </c>
      <c r="T8" s="1609" t="s">
        <v>34</v>
      </c>
      <c r="U8" s="1610">
        <f t="shared" si="1"/>
        <v>0</v>
      </c>
      <c r="V8" s="1609" t="s">
        <v>34</v>
      </c>
      <c r="W8" s="1610">
        <f t="shared" si="2"/>
        <v>0</v>
      </c>
      <c r="X8" s="1611"/>
      <c r="Y8" s="3582" t="s">
        <v>2022</v>
      </c>
      <c r="Z8" s="3583"/>
      <c r="AA8" s="1612" t="e">
        <f t="shared" ref="AA8:AA46" si="3">D8/F8</f>
        <v>#DIV/0!</v>
      </c>
      <c r="AB8" s="1612" t="e">
        <f t="shared" ref="AB8:AB46" si="4">D8/H8</f>
        <v>#DIV/0!</v>
      </c>
      <c r="AC8" s="1612" t="e">
        <f t="shared" ref="AC8:AC46" si="5">D8/J8</f>
        <v>#DIV/0!</v>
      </c>
    </row>
    <row r="9" spans="1:29" s="1613" customFormat="1" ht="14.4">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18" t="s">
        <v>2025</v>
      </c>
      <c r="Q9" s="1563" t="str">
        <f t="shared" ref="Q9:Q15" si="6">B9</f>
        <v>用途</v>
      </c>
      <c r="R9" s="1609" t="s">
        <v>25</v>
      </c>
      <c r="S9" s="1610">
        <f t="shared" si="0"/>
        <v>100</v>
      </c>
      <c r="T9" s="1609" t="s">
        <v>25</v>
      </c>
      <c r="U9" s="1610">
        <f t="shared" si="1"/>
        <v>100</v>
      </c>
      <c r="V9" s="1609" t="s">
        <v>25</v>
      </c>
      <c r="W9" s="1610">
        <f t="shared" si="2"/>
        <v>100</v>
      </c>
      <c r="X9" s="1611"/>
      <c r="Y9" s="3468" t="s">
        <v>2026</v>
      </c>
      <c r="Z9" s="1622" t="str">
        <f t="shared" ref="Z9:Z15" si="7">Q9</f>
        <v>用途</v>
      </c>
      <c r="AA9" s="1612">
        <f t="shared" si="3"/>
        <v>1</v>
      </c>
      <c r="AB9" s="1612">
        <f t="shared" si="4"/>
        <v>1</v>
      </c>
      <c r="AC9" s="1612">
        <f t="shared" si="5"/>
        <v>1</v>
      </c>
    </row>
    <row r="10" spans="1:29" s="1630" customFormat="1" ht="28.8">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18"/>
      <c r="Q10" s="1563" t="str">
        <f t="shared" si="6"/>
        <v>土地使用年限（年）</v>
      </c>
      <c r="R10" s="1609" t="s">
        <v>25</v>
      </c>
      <c r="S10" s="1610">
        <f t="shared" si="0"/>
        <v>100</v>
      </c>
      <c r="T10" s="1609" t="s">
        <v>25</v>
      </c>
      <c r="U10" s="1610">
        <f t="shared" si="1"/>
        <v>100</v>
      </c>
      <c r="V10" s="1609" t="s">
        <v>25</v>
      </c>
      <c r="W10" s="1610">
        <f t="shared" si="2"/>
        <v>100</v>
      </c>
      <c r="X10" s="1611"/>
      <c r="Y10" s="3468"/>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18"/>
      <c r="Q11" s="1563" t="str">
        <f t="shared" si="6"/>
        <v>容积率</v>
      </c>
      <c r="R11" s="1609" t="s">
        <v>28</v>
      </c>
      <c r="S11" s="1610" t="e">
        <f t="shared" si="0"/>
        <v>#N/A</v>
      </c>
      <c r="T11" s="1609" t="s">
        <v>28</v>
      </c>
      <c r="U11" s="1610" t="e">
        <f t="shared" si="1"/>
        <v>#N/A</v>
      </c>
      <c r="V11" s="1609" t="s">
        <v>28</v>
      </c>
      <c r="W11" s="1610" t="e">
        <f t="shared" si="2"/>
        <v>#N/A</v>
      </c>
      <c r="X11" s="1611"/>
      <c r="Y11" s="346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18"/>
      <c r="Q12" s="1563">
        <f t="shared" si="6"/>
        <v>111</v>
      </c>
      <c r="R12" s="1609" t="s">
        <v>28</v>
      </c>
      <c r="S12" s="1610">
        <f t="shared" si="0"/>
        <v>100</v>
      </c>
      <c r="T12" s="1609" t="s">
        <v>28</v>
      </c>
      <c r="U12" s="1610">
        <f t="shared" si="1"/>
        <v>100</v>
      </c>
      <c r="V12" s="1609" t="s">
        <v>28</v>
      </c>
      <c r="W12" s="1610">
        <f t="shared" si="2"/>
        <v>100</v>
      </c>
      <c r="X12" s="1611"/>
      <c r="Y12" s="346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18"/>
      <c r="Q13" s="1563">
        <f t="shared" si="6"/>
        <v>111</v>
      </c>
      <c r="R13" s="1609" t="s">
        <v>28</v>
      </c>
      <c r="S13" s="1610">
        <f t="shared" si="0"/>
        <v>100</v>
      </c>
      <c r="T13" s="1609" t="s">
        <v>28</v>
      </c>
      <c r="U13" s="1610">
        <f t="shared" si="1"/>
        <v>100</v>
      </c>
      <c r="V13" s="1609" t="s">
        <v>28</v>
      </c>
      <c r="W13" s="1610">
        <f t="shared" si="2"/>
        <v>100</v>
      </c>
      <c r="X13" s="1611"/>
      <c r="Y13" s="3468"/>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18"/>
      <c r="Q14" s="1563">
        <f t="shared" si="6"/>
        <v>111</v>
      </c>
      <c r="R14" s="1609" t="s">
        <v>28</v>
      </c>
      <c r="S14" s="1610">
        <f t="shared" si="0"/>
        <v>100</v>
      </c>
      <c r="T14" s="1609" t="s">
        <v>28</v>
      </c>
      <c r="U14" s="1610">
        <f t="shared" si="1"/>
        <v>100</v>
      </c>
      <c r="V14" s="1609" t="s">
        <v>28</v>
      </c>
      <c r="W14" s="1610">
        <f t="shared" si="2"/>
        <v>100</v>
      </c>
      <c r="X14" s="1611"/>
      <c r="Y14" s="3468"/>
      <c r="Z14" s="1622">
        <f t="shared" si="7"/>
        <v>111</v>
      </c>
      <c r="AA14" s="1612">
        <f t="shared" si="3"/>
        <v>1</v>
      </c>
      <c r="AB14" s="1612">
        <f t="shared" si="4"/>
        <v>1</v>
      </c>
      <c r="AC14" s="1612">
        <f t="shared" si="5"/>
        <v>1</v>
      </c>
    </row>
    <row r="15" spans="1:29" ht="15">
      <c r="A15" s="1646" t="s">
        <v>2029</v>
      </c>
      <c r="B15" s="1647" t="s">
        <v>1464</v>
      </c>
      <c r="C15" s="1648">
        <f>估价对象房地状况!C3</f>
        <v>0</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591" t="s">
        <v>2030</v>
      </c>
      <c r="Q15" s="1544" t="str">
        <f t="shared" si="6"/>
        <v>居住社区成熟度</v>
      </c>
      <c r="R15" s="1654" t="s">
        <v>28</v>
      </c>
      <c r="S15" s="1655">
        <f t="shared" si="0"/>
        <v>100</v>
      </c>
      <c r="T15" s="1654" t="s">
        <v>28</v>
      </c>
      <c r="U15" s="1655">
        <f t="shared" si="1"/>
        <v>100</v>
      </c>
      <c r="V15" s="1654" t="s">
        <v>28</v>
      </c>
      <c r="W15" s="1655">
        <f t="shared" si="2"/>
        <v>100</v>
      </c>
      <c r="X15" s="1594"/>
      <c r="Y15" s="3593"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592"/>
      <c r="Q16" s="1544"/>
      <c r="R16" s="1654"/>
      <c r="S16" s="1655"/>
      <c r="T16" s="1654"/>
      <c r="U16" s="1655"/>
      <c r="V16" s="1654"/>
      <c r="W16" s="1655"/>
      <c r="X16" s="1594"/>
      <c r="Y16" s="3594"/>
      <c r="Z16" s="1656"/>
      <c r="AA16" s="1657">
        <v>1</v>
      </c>
      <c r="AB16" s="1657">
        <v>1</v>
      </c>
      <c r="AC16" s="1657">
        <v>1</v>
      </c>
    </row>
    <row r="17" spans="1:29" ht="15">
      <c r="A17" s="1631"/>
      <c r="B17" s="1666" t="s">
        <v>1466</v>
      </c>
      <c r="C17" s="1667" t="str">
        <f>估价对象房地状况!C6</f>
        <v>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592"/>
      <c r="Q18" s="1544"/>
      <c r="R18" s="1654"/>
      <c r="S18" s="1655"/>
      <c r="T18" s="1654"/>
      <c r="U18" s="1655"/>
      <c r="V18" s="1654"/>
      <c r="W18" s="1655"/>
      <c r="X18" s="1594"/>
      <c r="Y18" s="3594"/>
      <c r="Z18" s="1656"/>
      <c r="AA18" s="1657">
        <v>1</v>
      </c>
      <c r="AB18" s="1657">
        <v>1</v>
      </c>
      <c r="AC18" s="1657">
        <v>1</v>
      </c>
    </row>
    <row r="19" spans="1:29" ht="15">
      <c r="A19" s="1631"/>
      <c r="B19" s="1666" t="s">
        <v>1465</v>
      </c>
      <c r="C19" s="1667" t="str">
        <f>估价对象房地状况!C7</f>
        <v>较好</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592"/>
      <c r="Q20" s="1544"/>
      <c r="R20" s="1654"/>
      <c r="S20" s="1655"/>
      <c r="T20" s="1654"/>
      <c r="U20" s="1655"/>
      <c r="V20" s="1654"/>
      <c r="W20" s="1655"/>
      <c r="X20" s="1594"/>
      <c r="Y20" s="3594"/>
      <c r="Z20" s="1656"/>
      <c r="AA20" s="1657">
        <v>1</v>
      </c>
      <c r="AB20" s="1657">
        <v>1</v>
      </c>
      <c r="AC20" s="1657">
        <v>1</v>
      </c>
    </row>
    <row r="21" spans="1:29" ht="15">
      <c r="A21" s="1631"/>
      <c r="B21" s="1679" t="s">
        <v>1467</v>
      </c>
      <c r="C21" s="1667" t="str">
        <f>估价对象房地状况!C8</f>
        <v>六通</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592"/>
      <c r="Q22" s="1544"/>
      <c r="R22" s="1654"/>
      <c r="S22" s="1655"/>
      <c r="T22" s="1654"/>
      <c r="U22" s="1655"/>
      <c r="V22" s="1654"/>
      <c r="W22" s="1655"/>
      <c r="X22" s="1594"/>
      <c r="Y22" s="3594"/>
      <c r="Z22" s="1656"/>
      <c r="AA22" s="1657">
        <v>1</v>
      </c>
      <c r="AB22" s="1657">
        <v>1</v>
      </c>
      <c r="AC22" s="1657">
        <v>1</v>
      </c>
    </row>
    <row r="23" spans="1:29" ht="15">
      <c r="A23" s="1631"/>
      <c r="B23" s="1666" t="s">
        <v>1468</v>
      </c>
      <c r="C23" s="1667" t="str">
        <f>估价对象房地状况!C9</f>
        <v>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592"/>
      <c r="Q24" s="1544"/>
      <c r="R24" s="1654"/>
      <c r="S24" s="1655"/>
      <c r="T24" s="1654"/>
      <c r="U24" s="1655"/>
      <c r="V24" s="1654"/>
      <c r="W24" s="1655"/>
      <c r="X24" s="1594"/>
      <c r="Y24" s="3594"/>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577" t="s">
        <v>2036</v>
      </c>
      <c r="Q32" s="1544" t="str">
        <f t="shared" si="11"/>
        <v>建筑类型</v>
      </c>
      <c r="R32" s="1654" t="s">
        <v>28</v>
      </c>
      <c r="S32" s="1655">
        <f t="shared" si="12"/>
        <v>100</v>
      </c>
      <c r="T32" s="1654" t="s">
        <v>28</v>
      </c>
      <c r="U32" s="1655">
        <f t="shared" si="13"/>
        <v>100</v>
      </c>
      <c r="V32" s="1654" t="s">
        <v>28</v>
      </c>
      <c r="W32" s="1655">
        <f t="shared" si="14"/>
        <v>100</v>
      </c>
      <c r="X32" s="1594"/>
      <c r="Y32" s="3580"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578"/>
      <c r="Q33" s="1695" t="str">
        <f t="shared" si="11"/>
        <v>项目建筑规模</v>
      </c>
      <c r="R33" s="1696" t="s">
        <v>28</v>
      </c>
      <c r="S33" s="1697" t="e">
        <f t="shared" si="12"/>
        <v>#N/A</v>
      </c>
      <c r="T33" s="1696" t="s">
        <v>28</v>
      </c>
      <c r="U33" s="1697" t="e">
        <f t="shared" si="13"/>
        <v>#N/A</v>
      </c>
      <c r="V33" s="1696" t="s">
        <v>28</v>
      </c>
      <c r="W33" s="1697" t="e">
        <f t="shared" si="14"/>
        <v>#N/A</v>
      </c>
      <c r="X33" s="1698"/>
      <c r="Y33" s="3580"/>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578"/>
      <c r="Q34" s="1544" t="str">
        <f t="shared" si="11"/>
        <v>建筑结构</v>
      </c>
      <c r="R34" s="1654" t="s">
        <v>28</v>
      </c>
      <c r="S34" s="1655">
        <f t="shared" si="12"/>
        <v>100</v>
      </c>
      <c r="T34" s="1654" t="s">
        <v>28</v>
      </c>
      <c r="U34" s="1655">
        <f t="shared" si="13"/>
        <v>100</v>
      </c>
      <c r="V34" s="1654" t="s">
        <v>28</v>
      </c>
      <c r="W34" s="1655">
        <f t="shared" si="14"/>
        <v>100</v>
      </c>
      <c r="X34" s="1594"/>
      <c r="Y34" s="3580"/>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578"/>
      <c r="Q35" s="1544" t="str">
        <f t="shared" si="11"/>
        <v>建筑品质</v>
      </c>
      <c r="R35" s="1654" t="s">
        <v>28</v>
      </c>
      <c r="S35" s="1655">
        <f t="shared" si="12"/>
        <v>100</v>
      </c>
      <c r="T35" s="1654" t="s">
        <v>28</v>
      </c>
      <c r="U35" s="1655">
        <f t="shared" si="13"/>
        <v>100</v>
      </c>
      <c r="V35" s="1654" t="s">
        <v>28</v>
      </c>
      <c r="W35" s="1655">
        <f t="shared" si="14"/>
        <v>100</v>
      </c>
      <c r="X35" s="1594"/>
      <c r="Y35" s="3580"/>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578"/>
      <c r="Q36" s="1544" t="str">
        <f t="shared" si="11"/>
        <v>公共部分装修</v>
      </c>
      <c r="R36" s="1654" t="s">
        <v>28</v>
      </c>
      <c r="S36" s="1655">
        <f t="shared" si="12"/>
        <v>100</v>
      </c>
      <c r="T36" s="1654" t="s">
        <v>28</v>
      </c>
      <c r="U36" s="1655">
        <f t="shared" si="13"/>
        <v>100</v>
      </c>
      <c r="V36" s="1654" t="s">
        <v>28</v>
      </c>
      <c r="W36" s="1655">
        <f t="shared" si="14"/>
        <v>100</v>
      </c>
      <c r="X36" s="1594"/>
      <c r="Y36" s="3580"/>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578"/>
      <c r="Q37" s="1563" t="str">
        <f t="shared" si="11"/>
        <v>成新度</v>
      </c>
      <c r="R37" s="1609" t="s">
        <v>28</v>
      </c>
      <c r="S37" s="1610" t="e">
        <f t="shared" si="12"/>
        <v>#N/A</v>
      </c>
      <c r="T37" s="1609" t="s">
        <v>28</v>
      </c>
      <c r="U37" s="1610" t="e">
        <f t="shared" si="13"/>
        <v>#N/A</v>
      </c>
      <c r="V37" s="1609" t="s">
        <v>28</v>
      </c>
      <c r="W37" s="1610" t="e">
        <f t="shared" si="14"/>
        <v>#N/A</v>
      </c>
      <c r="X37" s="1611"/>
      <c r="Y37" s="3580"/>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578" t="s">
        <v>2036</v>
      </c>
      <c r="Q38" s="1544" t="str">
        <f t="shared" si="11"/>
        <v>物业管理</v>
      </c>
      <c r="R38" s="1654" t="s">
        <v>28</v>
      </c>
      <c r="S38" s="1655">
        <f t="shared" si="12"/>
        <v>100</v>
      </c>
      <c r="T38" s="1654" t="s">
        <v>28</v>
      </c>
      <c r="U38" s="1655">
        <f t="shared" si="13"/>
        <v>100</v>
      </c>
      <c r="V38" s="1654" t="s">
        <v>28</v>
      </c>
      <c r="W38" s="1655">
        <f t="shared" si="14"/>
        <v>100</v>
      </c>
      <c r="X38" s="1594"/>
      <c r="Y38" s="3580"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578"/>
      <c r="Q39" s="1544" t="str">
        <f t="shared" si="11"/>
        <v>市政基础设施</v>
      </c>
      <c r="R39" s="1654" t="s">
        <v>28</v>
      </c>
      <c r="S39" s="1655">
        <f t="shared" si="12"/>
        <v>100</v>
      </c>
      <c r="T39" s="1654" t="s">
        <v>28</v>
      </c>
      <c r="U39" s="1655">
        <f t="shared" si="13"/>
        <v>100</v>
      </c>
      <c r="V39" s="1654" t="s">
        <v>28</v>
      </c>
      <c r="W39" s="1655">
        <f t="shared" si="14"/>
        <v>100</v>
      </c>
      <c r="X39" s="1594"/>
      <c r="Y39" s="3580"/>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578"/>
      <c r="Q40" s="1544" t="str">
        <f t="shared" si="11"/>
        <v>房型</v>
      </c>
      <c r="R40" s="1654" t="s">
        <v>28</v>
      </c>
      <c r="S40" s="1655">
        <f t="shared" si="12"/>
        <v>100</v>
      </c>
      <c r="T40" s="1654" t="s">
        <v>28</v>
      </c>
      <c r="U40" s="1655">
        <f t="shared" si="13"/>
        <v>100</v>
      </c>
      <c r="V40" s="1654" t="s">
        <v>28</v>
      </c>
      <c r="W40" s="1655">
        <f t="shared" si="14"/>
        <v>100</v>
      </c>
      <c r="X40" s="1594"/>
      <c r="Y40" s="3580"/>
      <c r="Z40" s="1656" t="str">
        <f t="shared" si="15"/>
        <v>房型</v>
      </c>
      <c r="AA40" s="1657">
        <f t="shared" si="3"/>
        <v>1</v>
      </c>
      <c r="AB40" s="1657">
        <f t="shared" si="4"/>
        <v>1</v>
      </c>
      <c r="AC40" s="1657">
        <f t="shared" si="5"/>
        <v>1</v>
      </c>
    </row>
    <row r="41" spans="1:29" s="1700" customFormat="1" ht="28.8">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578"/>
      <c r="Q41" s="1695" t="str">
        <f t="shared" si="11"/>
        <v>单套/主力户型建筑面积</v>
      </c>
      <c r="R41" s="1696" t="s">
        <v>28</v>
      </c>
      <c r="S41" s="1697">
        <f t="shared" si="12"/>
        <v>100</v>
      </c>
      <c r="T41" s="1696" t="s">
        <v>28</v>
      </c>
      <c r="U41" s="1697">
        <f t="shared" si="13"/>
        <v>100</v>
      </c>
      <c r="V41" s="1696" t="s">
        <v>28</v>
      </c>
      <c r="W41" s="1697">
        <f t="shared" si="14"/>
        <v>100</v>
      </c>
      <c r="X41" s="1698"/>
      <c r="Y41" s="3580"/>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578"/>
      <c r="Q42" s="1544" t="str">
        <f t="shared" si="11"/>
        <v>内部装修</v>
      </c>
      <c r="R42" s="1654" t="s">
        <v>28</v>
      </c>
      <c r="S42" s="1655">
        <f t="shared" si="12"/>
        <v>100</v>
      </c>
      <c r="T42" s="1654" t="s">
        <v>28</v>
      </c>
      <c r="U42" s="1655">
        <f t="shared" si="13"/>
        <v>100</v>
      </c>
      <c r="V42" s="1654" t="s">
        <v>28</v>
      </c>
      <c r="W42" s="1655">
        <f t="shared" si="14"/>
        <v>100</v>
      </c>
      <c r="X42" s="1594"/>
      <c r="Y42" s="3580"/>
      <c r="Z42" s="1656" t="str">
        <f t="shared" si="15"/>
        <v>内部装修</v>
      </c>
      <c r="AA42" s="1657">
        <f t="shared" si="3"/>
        <v>1</v>
      </c>
      <c r="AB42" s="1657">
        <f t="shared" si="4"/>
        <v>1</v>
      </c>
      <c r="AC42" s="1657">
        <f t="shared" si="5"/>
        <v>1</v>
      </c>
    </row>
    <row r="43" spans="1:29" ht="28.8">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578"/>
      <c r="Q43" s="1544" t="str">
        <f t="shared" si="11"/>
        <v>内部装修维护情况</v>
      </c>
      <c r="R43" s="1654" t="s">
        <v>28</v>
      </c>
      <c r="S43" s="1655">
        <f t="shared" si="12"/>
        <v>100</v>
      </c>
      <c r="T43" s="1654" t="s">
        <v>28</v>
      </c>
      <c r="U43" s="1655">
        <f t="shared" si="13"/>
        <v>100</v>
      </c>
      <c r="V43" s="1654" t="s">
        <v>28</v>
      </c>
      <c r="W43" s="1655">
        <f t="shared" si="14"/>
        <v>100</v>
      </c>
      <c r="X43" s="1594"/>
      <c r="Y43" s="358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578"/>
      <c r="Q44" s="1563">
        <f t="shared" si="11"/>
        <v>111</v>
      </c>
      <c r="R44" s="1609" t="s">
        <v>28</v>
      </c>
      <c r="S44" s="1610">
        <f t="shared" si="12"/>
        <v>100</v>
      </c>
      <c r="T44" s="1609" t="s">
        <v>28</v>
      </c>
      <c r="U44" s="1610">
        <f t="shared" si="13"/>
        <v>100</v>
      </c>
      <c r="V44" s="1609" t="s">
        <v>28</v>
      </c>
      <c r="W44" s="1610">
        <f t="shared" si="14"/>
        <v>100</v>
      </c>
      <c r="X44" s="1611"/>
      <c r="Y44" s="358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578"/>
      <c r="Q45" s="1544">
        <f t="shared" si="11"/>
        <v>111</v>
      </c>
      <c r="R45" s="1654" t="s">
        <v>28</v>
      </c>
      <c r="S45" s="1655">
        <f t="shared" si="12"/>
        <v>100</v>
      </c>
      <c r="T45" s="1654" t="s">
        <v>28</v>
      </c>
      <c r="U45" s="1655">
        <f t="shared" si="13"/>
        <v>100</v>
      </c>
      <c r="V45" s="1654" t="s">
        <v>28</v>
      </c>
      <c r="W45" s="1655">
        <f t="shared" si="14"/>
        <v>100</v>
      </c>
      <c r="X45" s="1594"/>
      <c r="Y45" s="3580"/>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579"/>
      <c r="Q46" s="1544">
        <f t="shared" si="11"/>
        <v>111</v>
      </c>
      <c r="R46" s="1654" t="s">
        <v>27</v>
      </c>
      <c r="S46" s="1655">
        <f t="shared" si="12"/>
        <v>100</v>
      </c>
      <c r="T46" s="1654" t="s">
        <v>27</v>
      </c>
      <c r="U46" s="1655">
        <f t="shared" si="13"/>
        <v>100</v>
      </c>
      <c r="V46" s="1654" t="s">
        <v>27</v>
      </c>
      <c r="W46" s="1655">
        <f t="shared" si="14"/>
        <v>100</v>
      </c>
      <c r="X46" s="1594"/>
      <c r="Y46" s="3581"/>
      <c r="Z46" s="1656">
        <f t="shared" si="15"/>
        <v>111</v>
      </c>
      <c r="AA46" s="1657">
        <f t="shared" si="3"/>
        <v>1</v>
      </c>
      <c r="AB46" s="1657">
        <f t="shared" si="4"/>
        <v>1</v>
      </c>
      <c r="AC46" s="1657">
        <f t="shared" si="5"/>
        <v>1</v>
      </c>
    </row>
    <row r="47" spans="1:29" ht="14.4">
      <c r="A47" s="1710" t="s">
        <v>2048</v>
      </c>
      <c r="B47" s="1711"/>
      <c r="C47" s="1712" t="s">
        <v>26</v>
      </c>
      <c r="D47" s="1713"/>
      <c r="E47" s="1714"/>
      <c r="F47" s="1715"/>
      <c r="G47" s="1716"/>
      <c r="H47" s="1717"/>
      <c r="I47" s="1714"/>
      <c r="J47" s="1717"/>
      <c r="K47" s="1718"/>
      <c r="L47" s="2920"/>
      <c r="N47" s="2915"/>
      <c r="P47" s="3572" t="str">
        <f>A47</f>
        <v>成交单价（元/平方米）</v>
      </c>
      <c r="Q47" s="3572"/>
      <c r="R47" s="3573">
        <f>E47</f>
        <v>0</v>
      </c>
      <c r="S47" s="3573"/>
      <c r="T47" s="3573">
        <f>G47</f>
        <v>0</v>
      </c>
      <c r="U47" s="3573"/>
      <c r="V47" s="3573">
        <f>I47</f>
        <v>0</v>
      </c>
      <c r="W47" s="3573"/>
      <c r="X47" s="1720"/>
      <c r="Y47" s="1721"/>
      <c r="Z47" s="1720"/>
      <c r="AA47" s="1720"/>
      <c r="AB47" s="1720"/>
      <c r="AC47" s="1720"/>
    </row>
    <row r="48" spans="1:29" ht="15" thickBot="1">
      <c r="A48" s="1722" t="s">
        <v>2049</v>
      </c>
      <c r="B48" s="1723"/>
      <c r="C48" s="1724" t="e">
        <f>R49</f>
        <v>#DIV/0!</v>
      </c>
      <c r="D48" s="1725" t="s">
        <v>2499</v>
      </c>
      <c r="E48" s="1726" t="e">
        <f>R48</f>
        <v>#DIV/0!</v>
      </c>
      <c r="F48" s="1727"/>
      <c r="G48" s="1724" t="e">
        <f>T48</f>
        <v>#DIV/0!</v>
      </c>
      <c r="H48" s="1727"/>
      <c r="I48" s="1726" t="e">
        <f>V48</f>
        <v>#DIV/0!</v>
      </c>
      <c r="J48" s="1727"/>
      <c r="K48" s="2430">
        <f>F48+H48+J48</f>
        <v>0</v>
      </c>
      <c r="L48" s="2920"/>
      <c r="P48" s="3572" t="str">
        <f>A48</f>
        <v>比较价值（元/平方米）</v>
      </c>
      <c r="Q48" s="3572"/>
      <c r="R48" s="3573" t="e">
        <f>IF(E1="售价",ROUND(PRODUCT(R47,AA7:AA46),0),ROUND(PRODUCT(R47,AA7:AA46),1))</f>
        <v>#DIV/0!</v>
      </c>
      <c r="S48" s="3573"/>
      <c r="T48" s="3649" t="e">
        <f>IF(E1="售价",ROUND(PRODUCT(T47,AB7:AB46),0),ROUND(PRODUCT(T47,AB7:AB46),1))</f>
        <v>#DIV/0!</v>
      </c>
      <c r="U48" s="3650"/>
      <c r="V48" s="3573" t="e">
        <f>IF(E1="售价",ROUND(PRODUCT(V47,AC7:AC46),0),ROUND(PRODUCT(V47,AC7:AC46),1))</f>
        <v>#DIV/0!</v>
      </c>
      <c r="W48" s="3573"/>
      <c r="X48" s="1720"/>
      <c r="Y48" s="1720"/>
      <c r="Z48" s="1720"/>
      <c r="AA48" s="1720"/>
      <c r="AB48" s="1720"/>
      <c r="AC48" s="1720"/>
    </row>
    <row r="49" spans="1:29" ht="15" thickBot="1">
      <c r="A49" s="1728" t="s">
        <v>2050</v>
      </c>
      <c r="B49" s="1729"/>
      <c r="C49" s="1730" t="e">
        <f>R49</f>
        <v>#DIV/0!</v>
      </c>
      <c r="D49" s="1731"/>
      <c r="E49" s="1731"/>
      <c r="F49" s="1731"/>
      <c r="G49" s="1731"/>
      <c r="H49" s="1731"/>
      <c r="I49" s="1731"/>
      <c r="J49" s="1731"/>
      <c r="K49" s="1732"/>
      <c r="L49" s="2920"/>
      <c r="P49" s="3574" t="str">
        <f>A49</f>
        <v>估价对象XX用房的比较价值（楼面单价，元/平方米）</v>
      </c>
      <c r="Q49" s="3575"/>
      <c r="R49" s="3576" t="e">
        <f>IF(E1="售价",ROUND(IF(D48="简单平均",AVERAGE(R48:V48),R48*F48+T48*H48+V48*J48),0),ROUND(IF(D48="简单平均",AVERAGE(R48:V48),R48*F48+T48*H48+V48*J48),1))</f>
        <v>#DIV/0!</v>
      </c>
      <c r="S49" s="3576"/>
      <c r="T49" s="3576"/>
      <c r="U49" s="3576"/>
      <c r="V49" s="3576"/>
      <c r="W49" s="3576"/>
      <c r="X49" s="1720"/>
      <c r="Y49" s="1720"/>
      <c r="Z49" s="1720"/>
      <c r="AA49" s="1720"/>
      <c r="AB49" s="1720"/>
      <c r="AC49" s="1720"/>
    </row>
    <row r="50" spans="1:29">
      <c r="G50" s="2924"/>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2.2"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4.4">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4.4">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2059</v>
      </c>
      <c r="B63" s="1776" t="s">
        <v>2024</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2081</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6.2"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ht="14.4">
      <c r="B147" s="1501" t="s">
        <v>2112</v>
      </c>
    </row>
    <row r="148" spans="2:11" ht="14.4">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829.41000000000008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4.4">
      <c r="A4" s="1591" t="s">
        <v>2005</v>
      </c>
      <c r="B4" s="1592"/>
      <c r="C4" s="3598" t="s">
        <v>2006</v>
      </c>
      <c r="D4" s="3599"/>
      <c r="E4" s="3600" t="s">
        <v>2007</v>
      </c>
      <c r="F4" s="3601"/>
      <c r="G4" s="3598" t="s">
        <v>2008</v>
      </c>
      <c r="H4" s="3599"/>
      <c r="I4" s="3598" t="s">
        <v>2009</v>
      </c>
      <c r="J4" s="3599"/>
      <c r="K4" s="1894" t="s">
        <v>2010</v>
      </c>
      <c r="L4" s="2914"/>
      <c r="M4" s="2915"/>
      <c r="N4" s="2915"/>
      <c r="O4" s="2915"/>
      <c r="P4" s="3602" t="s">
        <v>2011</v>
      </c>
      <c r="Q4" s="3603"/>
      <c r="R4" s="3584" t="s">
        <v>2007</v>
      </c>
      <c r="S4" s="3585"/>
      <c r="T4" s="3584" t="s">
        <v>2008</v>
      </c>
      <c r="U4" s="3585"/>
      <c r="V4" s="3608" t="s">
        <v>2009</v>
      </c>
      <c r="W4" s="3608"/>
      <c r="X4" s="2003"/>
      <c r="Y4" s="3584" t="s">
        <v>2011</v>
      </c>
      <c r="Z4" s="3585"/>
      <c r="AA4" s="3595" t="s">
        <v>2007</v>
      </c>
      <c r="AB4" s="3595" t="s">
        <v>2008</v>
      </c>
      <c r="AC4" s="3595" t="s">
        <v>2009</v>
      </c>
    </row>
    <row r="5" spans="1:29">
      <c r="A5" s="1596"/>
      <c r="B5" s="1597"/>
      <c r="C5" s="3611" t="s">
        <v>2012</v>
      </c>
      <c r="D5" s="3612"/>
      <c r="E5" s="3651" t="s">
        <v>2013</v>
      </c>
      <c r="F5" s="3610"/>
      <c r="G5" s="3611" t="s">
        <v>2014</v>
      </c>
      <c r="H5" s="3612"/>
      <c r="I5" s="3611" t="s">
        <v>2015</v>
      </c>
      <c r="J5" s="3612"/>
      <c r="K5" s="1894"/>
      <c r="L5" s="2914"/>
      <c r="M5" s="2915"/>
      <c r="N5" s="2915"/>
      <c r="O5" s="2915"/>
      <c r="P5" s="3604"/>
      <c r="Q5" s="3605"/>
      <c r="R5" s="3586"/>
      <c r="S5" s="3587"/>
      <c r="T5" s="3586"/>
      <c r="U5" s="3587"/>
      <c r="V5" s="3608"/>
      <c r="W5" s="3608"/>
      <c r="X5" s="2003"/>
      <c r="Y5" s="3586"/>
      <c r="Z5" s="3587"/>
      <c r="AA5" s="3596"/>
      <c r="AB5" s="3596"/>
      <c r="AC5" s="3596"/>
    </row>
    <row r="6" spans="1:29" ht="15" thickBot="1">
      <c r="A6" s="1599"/>
      <c r="B6" s="1600"/>
      <c r="C6" s="3613" t="s">
        <v>2016</v>
      </c>
      <c r="D6" s="3614"/>
      <c r="E6" s="3616" t="s">
        <v>2016</v>
      </c>
      <c r="F6" s="3617"/>
      <c r="G6" s="3613" t="s">
        <v>2016</v>
      </c>
      <c r="H6" s="3614"/>
      <c r="I6" s="3613" t="s">
        <v>2016</v>
      </c>
      <c r="J6" s="3614"/>
      <c r="K6" s="1894" t="s">
        <v>2017</v>
      </c>
      <c r="L6" s="2914"/>
      <c r="M6" s="2915"/>
      <c r="N6" s="2915"/>
      <c r="O6" s="2915"/>
      <c r="P6" s="3606"/>
      <c r="Q6" s="3607"/>
      <c r="R6" s="3586"/>
      <c r="S6" s="3587"/>
      <c r="T6" s="3588"/>
      <c r="U6" s="3589"/>
      <c r="V6" s="3608"/>
      <c r="W6" s="3608"/>
      <c r="X6" s="2003"/>
      <c r="Y6" s="3588"/>
      <c r="Z6" s="3589"/>
      <c r="AA6" s="3597"/>
      <c r="AB6" s="3597"/>
      <c r="AC6" s="3597"/>
    </row>
    <row r="7" spans="1:29" s="1613" customFormat="1" ht="15" thickBot="1">
      <c r="A7" s="1601" t="s">
        <v>2018</v>
      </c>
      <c r="B7" s="1602"/>
      <c r="C7" s="1603">
        <f>'数据-取费表'!B2</f>
        <v>44776</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582" t="s">
        <v>2019</v>
      </c>
      <c r="Q7" s="3590"/>
      <c r="R7" s="1609" t="s">
        <v>25</v>
      </c>
      <c r="S7" s="1610">
        <f t="shared" ref="S7:S15" si="0">F7</f>
        <v>0</v>
      </c>
      <c r="T7" s="1609" t="s">
        <v>25</v>
      </c>
      <c r="U7" s="1610">
        <f t="shared" ref="U7:U15" si="1">H7</f>
        <v>0</v>
      </c>
      <c r="V7" s="1609" t="s">
        <v>25</v>
      </c>
      <c r="W7" s="1610">
        <f t="shared" ref="W7:W15" si="2">J7</f>
        <v>0</v>
      </c>
      <c r="X7" s="1611"/>
      <c r="Y7" s="3582" t="s">
        <v>2019</v>
      </c>
      <c r="Z7" s="3583"/>
      <c r="AA7" s="1612" t="e">
        <f>D7/F7</f>
        <v>#DIV/0!</v>
      </c>
      <c r="AB7" s="1612" t="e">
        <f>D7/H7</f>
        <v>#DIV/0!</v>
      </c>
      <c r="AC7" s="1612" t="e">
        <f>D7/J7</f>
        <v>#DIV/0!</v>
      </c>
    </row>
    <row r="8" spans="1:29" s="1613" customFormat="1" ht="1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582" t="s">
        <v>2022</v>
      </c>
      <c r="Q8" s="3583"/>
      <c r="R8" s="1609" t="s">
        <v>25</v>
      </c>
      <c r="S8" s="1610">
        <f t="shared" si="0"/>
        <v>0</v>
      </c>
      <c r="T8" s="1609" t="s">
        <v>25</v>
      </c>
      <c r="U8" s="1610">
        <f t="shared" si="1"/>
        <v>0</v>
      </c>
      <c r="V8" s="1609" t="s">
        <v>25</v>
      </c>
      <c r="W8" s="1610">
        <f t="shared" si="2"/>
        <v>0</v>
      </c>
      <c r="X8" s="1611"/>
      <c r="Y8" s="3582" t="s">
        <v>2022</v>
      </c>
      <c r="Z8" s="3583"/>
      <c r="AA8" s="1612" t="e">
        <f t="shared" ref="AA8:AA47" si="3">D8/F8</f>
        <v>#DIV/0!</v>
      </c>
      <c r="AB8" s="1612" t="e">
        <f t="shared" ref="AB8:AB47" si="4">D8/H8</f>
        <v>#DIV/0!</v>
      </c>
      <c r="AC8" s="1612" t="e">
        <f t="shared" ref="AC8:AC47" si="5">D8/J8</f>
        <v>#DIV/0!</v>
      </c>
    </row>
    <row r="9" spans="1:29" s="1613" customFormat="1" ht="14.4">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72" t="s">
        <v>2025</v>
      </c>
      <c r="Q9" s="2832" t="str">
        <f t="shared" ref="Q9:Q15" si="6">B9</f>
        <v>用途</v>
      </c>
      <c r="R9" s="1609" t="s">
        <v>25</v>
      </c>
      <c r="S9" s="1610">
        <f t="shared" si="0"/>
        <v>100</v>
      </c>
      <c r="T9" s="1609" t="s">
        <v>25</v>
      </c>
      <c r="U9" s="1610">
        <f t="shared" si="1"/>
        <v>100</v>
      </c>
      <c r="V9" s="1609" t="s">
        <v>25</v>
      </c>
      <c r="W9" s="1610">
        <f t="shared" si="2"/>
        <v>100</v>
      </c>
      <c r="X9" s="1611"/>
      <c r="Y9" s="3468" t="s">
        <v>2026</v>
      </c>
      <c r="Z9" s="1622" t="str">
        <f t="shared" ref="Z9:Z15" si="7">Q9</f>
        <v>用途</v>
      </c>
      <c r="AA9" s="1612">
        <f t="shared" si="3"/>
        <v>1</v>
      </c>
      <c r="AB9" s="1612">
        <f t="shared" si="4"/>
        <v>1</v>
      </c>
      <c r="AC9" s="1612">
        <f t="shared" si="5"/>
        <v>1</v>
      </c>
    </row>
    <row r="10" spans="1:29" s="1630" customFormat="1" ht="28.8">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72"/>
      <c r="Q10" s="2832" t="str">
        <f t="shared" si="6"/>
        <v>土地使用年限（年）</v>
      </c>
      <c r="R10" s="1609" t="s">
        <v>25</v>
      </c>
      <c r="S10" s="1610">
        <f t="shared" si="0"/>
        <v>100</v>
      </c>
      <c r="T10" s="1609" t="s">
        <v>25</v>
      </c>
      <c r="U10" s="1610">
        <f t="shared" si="1"/>
        <v>100</v>
      </c>
      <c r="V10" s="1609" t="s">
        <v>25</v>
      </c>
      <c r="W10" s="1610">
        <f t="shared" si="2"/>
        <v>100</v>
      </c>
      <c r="X10" s="1611"/>
      <c r="Y10" s="3468"/>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572"/>
      <c r="Q11" s="2832" t="str">
        <f t="shared" si="6"/>
        <v>容积率</v>
      </c>
      <c r="R11" s="1609" t="s">
        <v>25</v>
      </c>
      <c r="S11" s="1610" t="e">
        <f t="shared" si="0"/>
        <v>#N/A</v>
      </c>
      <c r="T11" s="1609" t="s">
        <v>25</v>
      </c>
      <c r="U11" s="1610" t="e">
        <f t="shared" si="1"/>
        <v>#N/A</v>
      </c>
      <c r="V11" s="1609" t="s">
        <v>25</v>
      </c>
      <c r="W11" s="1610" t="e">
        <f t="shared" si="2"/>
        <v>#N/A</v>
      </c>
      <c r="X11" s="1611"/>
      <c r="Y11" s="346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72"/>
      <c r="Q12" s="2832">
        <f t="shared" si="6"/>
        <v>111</v>
      </c>
      <c r="R12" s="1609" t="s">
        <v>25</v>
      </c>
      <c r="S12" s="1610">
        <f t="shared" si="0"/>
        <v>100</v>
      </c>
      <c r="T12" s="1609" t="s">
        <v>25</v>
      </c>
      <c r="U12" s="1610">
        <f t="shared" si="1"/>
        <v>100</v>
      </c>
      <c r="V12" s="1609" t="s">
        <v>25</v>
      </c>
      <c r="W12" s="1610">
        <f t="shared" si="2"/>
        <v>100</v>
      </c>
      <c r="X12" s="1611"/>
      <c r="Y12" s="346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72"/>
      <c r="Q13" s="2832">
        <f t="shared" si="6"/>
        <v>111</v>
      </c>
      <c r="R13" s="1609" t="s">
        <v>25</v>
      </c>
      <c r="S13" s="1610">
        <f t="shared" si="0"/>
        <v>100</v>
      </c>
      <c r="T13" s="1609" t="s">
        <v>25</v>
      </c>
      <c r="U13" s="1610">
        <f t="shared" si="1"/>
        <v>100</v>
      </c>
      <c r="V13" s="1609" t="s">
        <v>25</v>
      </c>
      <c r="W13" s="1610">
        <f t="shared" si="2"/>
        <v>100</v>
      </c>
      <c r="X13" s="1611"/>
      <c r="Y13" s="3468"/>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72"/>
      <c r="Q14" s="2832">
        <f t="shared" si="6"/>
        <v>111</v>
      </c>
      <c r="R14" s="1609" t="s">
        <v>25</v>
      </c>
      <c r="S14" s="1610">
        <f t="shared" si="0"/>
        <v>100</v>
      </c>
      <c r="T14" s="1609" t="s">
        <v>25</v>
      </c>
      <c r="U14" s="1610">
        <f t="shared" si="1"/>
        <v>100</v>
      </c>
      <c r="V14" s="1609" t="s">
        <v>25</v>
      </c>
      <c r="W14" s="1610">
        <f t="shared" si="2"/>
        <v>100</v>
      </c>
      <c r="X14" s="1611"/>
      <c r="Y14" s="3468"/>
      <c r="Z14" s="1622">
        <f t="shared" si="7"/>
        <v>111</v>
      </c>
      <c r="AA14" s="1612">
        <f t="shared" si="3"/>
        <v>1</v>
      </c>
      <c r="AB14" s="1612">
        <f t="shared" si="4"/>
        <v>1</v>
      </c>
      <c r="AC14" s="1612">
        <f t="shared" si="5"/>
        <v>1</v>
      </c>
    </row>
    <row r="15" spans="1:29" ht="15">
      <c r="A15" s="1646" t="s">
        <v>2029</v>
      </c>
      <c r="B15" s="2411" t="s">
        <v>2144</v>
      </c>
      <c r="C15" s="1902">
        <f>估价对象房地状况!C5</f>
        <v>0</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93" t="s">
        <v>2030</v>
      </c>
      <c r="Q15" s="2833" t="str">
        <f t="shared" si="6"/>
        <v>办公集聚程度</v>
      </c>
      <c r="R15" s="1654" t="s">
        <v>25</v>
      </c>
      <c r="S15" s="1655">
        <f t="shared" si="0"/>
        <v>100</v>
      </c>
      <c r="T15" s="1654" t="s">
        <v>25</v>
      </c>
      <c r="U15" s="1655">
        <f t="shared" si="1"/>
        <v>100</v>
      </c>
      <c r="V15" s="1654" t="s">
        <v>25</v>
      </c>
      <c r="W15" s="1655">
        <f t="shared" si="2"/>
        <v>100</v>
      </c>
      <c r="X15" s="2003"/>
      <c r="Y15" s="3593"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94"/>
      <c r="Q16" s="2833"/>
      <c r="R16" s="1654"/>
      <c r="S16" s="1655"/>
      <c r="T16" s="1654"/>
      <c r="U16" s="1655"/>
      <c r="V16" s="1654"/>
      <c r="W16" s="1655"/>
      <c r="X16" s="2003"/>
      <c r="Y16" s="3594"/>
      <c r="Z16" s="2007"/>
      <c r="AA16" s="1998">
        <v>1</v>
      </c>
      <c r="AB16" s="1998">
        <v>1</v>
      </c>
      <c r="AC16" s="1998">
        <v>1</v>
      </c>
    </row>
    <row r="17" spans="1:29" ht="15">
      <c r="A17" s="1631"/>
      <c r="B17" s="2413" t="s">
        <v>1466</v>
      </c>
      <c r="C17" s="1909" t="str">
        <f>估价对象房地状况!C6</f>
        <v>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94"/>
      <c r="Q17" s="2833"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94"/>
      <c r="Q18" s="2833"/>
      <c r="R18" s="1654"/>
      <c r="S18" s="1655"/>
      <c r="T18" s="1654"/>
      <c r="U18" s="1655"/>
      <c r="V18" s="1654"/>
      <c r="W18" s="1655"/>
      <c r="X18" s="2003"/>
      <c r="Y18" s="3594"/>
      <c r="Z18" s="2007"/>
      <c r="AA18" s="1998">
        <v>1</v>
      </c>
      <c r="AB18" s="1998">
        <v>1</v>
      </c>
      <c r="AC18" s="1998">
        <v>1</v>
      </c>
    </row>
    <row r="19" spans="1:29" ht="15">
      <c r="A19" s="1631"/>
      <c r="B19" s="2413" t="s">
        <v>2145</v>
      </c>
      <c r="C19" s="1909" t="str">
        <f>估价对象房地状况!C7</f>
        <v>较好</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94"/>
      <c r="Q19" s="2833"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94"/>
      <c r="Q20" s="2833"/>
      <c r="R20" s="1654"/>
      <c r="S20" s="1655"/>
      <c r="T20" s="1654"/>
      <c r="U20" s="1655"/>
      <c r="V20" s="1654"/>
      <c r="W20" s="1655"/>
      <c r="X20" s="2003"/>
      <c r="Y20" s="3594"/>
      <c r="Z20" s="2007"/>
      <c r="AA20" s="1998">
        <v>1</v>
      </c>
      <c r="AB20" s="1998">
        <v>1</v>
      </c>
      <c r="AC20" s="1998">
        <v>1</v>
      </c>
    </row>
    <row r="21" spans="1:29" ht="15">
      <c r="A21" s="1631"/>
      <c r="B21" s="2415" t="s">
        <v>2146</v>
      </c>
      <c r="C21" s="1909" t="str">
        <f>估价对象房地状况!C8</f>
        <v>六通</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94"/>
      <c r="Q21" s="2833"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94"/>
      <c r="Q22" s="2833"/>
      <c r="R22" s="1654"/>
      <c r="S22" s="1655"/>
      <c r="T22" s="1654"/>
      <c r="U22" s="1655"/>
      <c r="V22" s="1654"/>
      <c r="W22" s="1655"/>
      <c r="X22" s="2003"/>
      <c r="Y22" s="3594"/>
      <c r="Z22" s="2007"/>
      <c r="AA22" s="1998">
        <v>1</v>
      </c>
      <c r="AB22" s="1998">
        <v>1</v>
      </c>
      <c r="AC22" s="1998">
        <v>1</v>
      </c>
    </row>
    <row r="23" spans="1:29" ht="15">
      <c r="A23" s="1631"/>
      <c r="B23" s="2413" t="s">
        <v>2147</v>
      </c>
      <c r="C23" s="1909" t="str">
        <f>估价对象房地状况!C9</f>
        <v>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94"/>
      <c r="Q23" s="2833"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94"/>
      <c r="Q24" s="2833"/>
      <c r="R24" s="1654"/>
      <c r="S24" s="1655"/>
      <c r="T24" s="1654"/>
      <c r="U24" s="1655"/>
      <c r="V24" s="1654"/>
      <c r="W24" s="1655"/>
      <c r="X24" s="2003"/>
      <c r="Y24" s="3594"/>
      <c r="Z24" s="2007"/>
      <c r="AA24" s="1998">
        <v>1</v>
      </c>
      <c r="AB24" s="1998">
        <v>1</v>
      </c>
      <c r="AC24" s="1998">
        <v>1</v>
      </c>
    </row>
    <row r="25" spans="1:29" ht="28.8">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94"/>
      <c r="Q25" s="2833"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94"/>
      <c r="Q26" s="2833"/>
      <c r="R26" s="1654"/>
      <c r="S26" s="1655"/>
      <c r="T26" s="1654"/>
      <c r="U26" s="1655"/>
      <c r="V26" s="1654"/>
      <c r="W26" s="1655"/>
      <c r="X26" s="2003"/>
      <c r="Y26" s="3594"/>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594"/>
      <c r="Q27" s="2833"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94"/>
      <c r="Q28" s="2832"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94"/>
      <c r="Q29" s="2833">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94"/>
      <c r="Q30" s="2833">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94"/>
      <c r="Q31" s="2833">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94"/>
      <c r="Q32" s="2833">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52" t="s">
        <v>2036</v>
      </c>
      <c r="Q33" s="2833" t="str">
        <f t="shared" si="11"/>
        <v>建筑类型</v>
      </c>
      <c r="R33" s="1654" t="s">
        <v>25</v>
      </c>
      <c r="S33" s="1655">
        <f t="shared" si="12"/>
        <v>100</v>
      </c>
      <c r="T33" s="1654" t="s">
        <v>25</v>
      </c>
      <c r="U33" s="1655">
        <f t="shared" si="13"/>
        <v>100</v>
      </c>
      <c r="V33" s="1654" t="s">
        <v>25</v>
      </c>
      <c r="W33" s="1655">
        <f t="shared" si="14"/>
        <v>100</v>
      </c>
      <c r="X33" s="2003"/>
      <c r="Y33" s="3580"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580"/>
      <c r="Q34" s="1695" t="str">
        <f t="shared" si="11"/>
        <v>项目建筑规模</v>
      </c>
      <c r="R34" s="1696" t="s">
        <v>25</v>
      </c>
      <c r="S34" s="1697" t="e">
        <f t="shared" si="12"/>
        <v>#N/A</v>
      </c>
      <c r="T34" s="1696" t="s">
        <v>25</v>
      </c>
      <c r="U34" s="1697" t="e">
        <f t="shared" si="13"/>
        <v>#N/A</v>
      </c>
      <c r="V34" s="1696" t="s">
        <v>25</v>
      </c>
      <c r="W34" s="1697" t="e">
        <f t="shared" si="14"/>
        <v>#N/A</v>
      </c>
      <c r="X34" s="1698"/>
      <c r="Y34" s="3580"/>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80"/>
      <c r="Q35" s="2833" t="str">
        <f t="shared" si="11"/>
        <v>建筑结构</v>
      </c>
      <c r="R35" s="1654" t="s">
        <v>25</v>
      </c>
      <c r="S35" s="1655">
        <f t="shared" si="12"/>
        <v>100</v>
      </c>
      <c r="T35" s="1654" t="s">
        <v>25</v>
      </c>
      <c r="U35" s="1655">
        <f t="shared" si="13"/>
        <v>100</v>
      </c>
      <c r="V35" s="1654" t="s">
        <v>25</v>
      </c>
      <c r="W35" s="1655">
        <f t="shared" si="14"/>
        <v>100</v>
      </c>
      <c r="X35" s="2003"/>
      <c r="Y35" s="3580"/>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80"/>
      <c r="Q36" s="2833" t="str">
        <f t="shared" si="11"/>
        <v>公共部分装修</v>
      </c>
      <c r="R36" s="1654" t="s">
        <v>25</v>
      </c>
      <c r="S36" s="1655">
        <f t="shared" si="12"/>
        <v>100</v>
      </c>
      <c r="T36" s="1654" t="s">
        <v>25</v>
      </c>
      <c r="U36" s="1655">
        <f t="shared" si="13"/>
        <v>100</v>
      </c>
      <c r="V36" s="1654" t="s">
        <v>25</v>
      </c>
      <c r="W36" s="1655">
        <f t="shared" si="14"/>
        <v>100</v>
      </c>
      <c r="X36" s="2003"/>
      <c r="Y36" s="3580"/>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580"/>
      <c r="Q37" s="2833" t="str">
        <f t="shared" si="11"/>
        <v>成新度</v>
      </c>
      <c r="R37" s="1654" t="s">
        <v>25</v>
      </c>
      <c r="S37" s="1655" t="e">
        <f t="shared" si="12"/>
        <v>#N/A</v>
      </c>
      <c r="T37" s="1654" t="s">
        <v>25</v>
      </c>
      <c r="U37" s="1655" t="e">
        <f t="shared" si="13"/>
        <v>#N/A</v>
      </c>
      <c r="V37" s="1654" t="s">
        <v>25</v>
      </c>
      <c r="W37" s="1655" t="e">
        <f t="shared" si="14"/>
        <v>#N/A</v>
      </c>
      <c r="X37" s="2003"/>
      <c r="Y37" s="3580"/>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580"/>
      <c r="Q38" s="2832" t="str">
        <f t="shared" si="11"/>
        <v>写字楼等级</v>
      </c>
      <c r="R38" s="1609" t="s">
        <v>25</v>
      </c>
      <c r="S38" s="1610">
        <f t="shared" si="12"/>
        <v>100</v>
      </c>
      <c r="T38" s="1609" t="s">
        <v>25</v>
      </c>
      <c r="U38" s="1610">
        <f t="shared" si="13"/>
        <v>100</v>
      </c>
      <c r="V38" s="1609" t="s">
        <v>25</v>
      </c>
      <c r="W38" s="1610">
        <f t="shared" si="14"/>
        <v>100</v>
      </c>
      <c r="X38" s="1611"/>
      <c r="Y38" s="3580"/>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80" t="s">
        <v>2036</v>
      </c>
      <c r="Q39" s="2833" t="str">
        <f t="shared" si="11"/>
        <v>物业管理</v>
      </c>
      <c r="R39" s="1654" t="s">
        <v>25</v>
      </c>
      <c r="S39" s="1655">
        <f t="shared" si="12"/>
        <v>100</v>
      </c>
      <c r="T39" s="1654" t="s">
        <v>25</v>
      </c>
      <c r="U39" s="1655">
        <f t="shared" si="13"/>
        <v>100</v>
      </c>
      <c r="V39" s="1654" t="s">
        <v>25</v>
      </c>
      <c r="W39" s="1655">
        <f t="shared" si="14"/>
        <v>100</v>
      </c>
      <c r="X39" s="2003"/>
      <c r="Y39" s="3580"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80"/>
      <c r="Q40" s="2833" t="str">
        <f t="shared" si="11"/>
        <v>市政基础设施</v>
      </c>
      <c r="R40" s="1654" t="s">
        <v>25</v>
      </c>
      <c r="S40" s="1655">
        <f t="shared" si="12"/>
        <v>100</v>
      </c>
      <c r="T40" s="1654" t="s">
        <v>25</v>
      </c>
      <c r="U40" s="1655">
        <f t="shared" si="13"/>
        <v>100</v>
      </c>
      <c r="V40" s="1654" t="s">
        <v>25</v>
      </c>
      <c r="W40" s="1655">
        <f t="shared" si="14"/>
        <v>100</v>
      </c>
      <c r="X40" s="2003"/>
      <c r="Y40" s="3580"/>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80"/>
      <c r="Q41" s="2833" t="str">
        <f t="shared" si="11"/>
        <v>层高</v>
      </c>
      <c r="R41" s="1654" t="s">
        <v>25</v>
      </c>
      <c r="S41" s="1655">
        <f t="shared" si="12"/>
        <v>100</v>
      </c>
      <c r="T41" s="1654" t="s">
        <v>25</v>
      </c>
      <c r="U41" s="1655">
        <f t="shared" si="13"/>
        <v>100</v>
      </c>
      <c r="V41" s="1654" t="s">
        <v>25</v>
      </c>
      <c r="W41" s="1655">
        <f t="shared" si="14"/>
        <v>100</v>
      </c>
      <c r="X41" s="2003"/>
      <c r="Y41" s="3580"/>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80"/>
      <c r="Q42" s="1695" t="str">
        <f t="shared" si="11"/>
        <v>单套建筑面积</v>
      </c>
      <c r="R42" s="1696" t="s">
        <v>25</v>
      </c>
      <c r="S42" s="1697">
        <f t="shared" si="12"/>
        <v>100</v>
      </c>
      <c r="T42" s="1696" t="s">
        <v>25</v>
      </c>
      <c r="U42" s="1697">
        <f t="shared" si="13"/>
        <v>100</v>
      </c>
      <c r="V42" s="1696" t="s">
        <v>25</v>
      </c>
      <c r="W42" s="1697">
        <f t="shared" si="14"/>
        <v>100</v>
      </c>
      <c r="X42" s="1698"/>
      <c r="Y42" s="3580"/>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80"/>
      <c r="Q43" s="2833" t="str">
        <f t="shared" si="11"/>
        <v>内部装修</v>
      </c>
      <c r="R43" s="1654" t="s">
        <v>25</v>
      </c>
      <c r="S43" s="1655">
        <f t="shared" si="12"/>
        <v>100</v>
      </c>
      <c r="T43" s="1654" t="s">
        <v>25</v>
      </c>
      <c r="U43" s="1655">
        <f t="shared" si="13"/>
        <v>100</v>
      </c>
      <c r="V43" s="1654" t="s">
        <v>25</v>
      </c>
      <c r="W43" s="1655">
        <f t="shared" si="14"/>
        <v>100</v>
      </c>
      <c r="X43" s="2003"/>
      <c r="Y43" s="3580"/>
      <c r="Z43" s="2007" t="str">
        <f t="shared" si="15"/>
        <v>内部装修</v>
      </c>
      <c r="AA43" s="1998">
        <f t="shared" si="3"/>
        <v>1</v>
      </c>
      <c r="AB43" s="1998">
        <f t="shared" si="4"/>
        <v>1</v>
      </c>
      <c r="AC43" s="1998">
        <f t="shared" si="5"/>
        <v>1</v>
      </c>
    </row>
    <row r="44" spans="1:29" ht="28.8">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80"/>
      <c r="Q44" s="2833" t="str">
        <f t="shared" si="11"/>
        <v>内部装修维护情况</v>
      </c>
      <c r="R44" s="1654" t="s">
        <v>25</v>
      </c>
      <c r="S44" s="1655">
        <f t="shared" si="12"/>
        <v>100</v>
      </c>
      <c r="T44" s="1654" t="s">
        <v>25</v>
      </c>
      <c r="U44" s="1655">
        <f t="shared" si="13"/>
        <v>100</v>
      </c>
      <c r="V44" s="1654" t="s">
        <v>25</v>
      </c>
      <c r="W44" s="1655">
        <f t="shared" si="14"/>
        <v>100</v>
      </c>
      <c r="X44" s="2003"/>
      <c r="Y44" s="358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80"/>
      <c r="Q45" s="2832">
        <f t="shared" si="11"/>
        <v>111</v>
      </c>
      <c r="R45" s="1609" t="s">
        <v>25</v>
      </c>
      <c r="S45" s="1610">
        <f t="shared" si="12"/>
        <v>100</v>
      </c>
      <c r="T45" s="1609" t="s">
        <v>25</v>
      </c>
      <c r="U45" s="1610">
        <f t="shared" si="13"/>
        <v>100</v>
      </c>
      <c r="V45" s="1609" t="s">
        <v>25</v>
      </c>
      <c r="W45" s="1610">
        <f t="shared" si="14"/>
        <v>100</v>
      </c>
      <c r="X45" s="1611"/>
      <c r="Y45" s="358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80"/>
      <c r="Q46" s="2833">
        <f t="shared" si="11"/>
        <v>111</v>
      </c>
      <c r="R46" s="1654" t="s">
        <v>25</v>
      </c>
      <c r="S46" s="1655">
        <f t="shared" si="12"/>
        <v>100</v>
      </c>
      <c r="T46" s="1654" t="s">
        <v>25</v>
      </c>
      <c r="U46" s="1655">
        <f t="shared" si="13"/>
        <v>100</v>
      </c>
      <c r="V46" s="1654" t="s">
        <v>25</v>
      </c>
      <c r="W46" s="1655">
        <f t="shared" si="14"/>
        <v>100</v>
      </c>
      <c r="X46" s="2003"/>
      <c r="Y46" s="3580"/>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81"/>
      <c r="Q47" s="2833">
        <f t="shared" si="11"/>
        <v>111</v>
      </c>
      <c r="R47" s="1654" t="s">
        <v>25</v>
      </c>
      <c r="S47" s="1655">
        <f t="shared" si="12"/>
        <v>100</v>
      </c>
      <c r="T47" s="1654" t="s">
        <v>25</v>
      </c>
      <c r="U47" s="1655">
        <f t="shared" si="13"/>
        <v>100</v>
      </c>
      <c r="V47" s="1654" t="s">
        <v>25</v>
      </c>
      <c r="W47" s="1655">
        <f t="shared" si="14"/>
        <v>100</v>
      </c>
      <c r="X47" s="2003"/>
      <c r="Y47" s="3581"/>
      <c r="Z47" s="2007">
        <f t="shared" si="15"/>
        <v>111</v>
      </c>
      <c r="AA47" s="1998">
        <f t="shared" si="3"/>
        <v>1</v>
      </c>
      <c r="AB47" s="1998">
        <f t="shared" si="4"/>
        <v>1</v>
      </c>
      <c r="AC47" s="1998">
        <f t="shared" si="5"/>
        <v>1</v>
      </c>
    </row>
    <row r="48" spans="1:29" ht="14.4">
      <c r="A48" s="1710" t="s">
        <v>2048</v>
      </c>
      <c r="B48" s="1711"/>
      <c r="C48" s="1712" t="s">
        <v>1</v>
      </c>
      <c r="D48" s="1713"/>
      <c r="E48" s="1714"/>
      <c r="F48" s="1715"/>
      <c r="G48" s="1716"/>
      <c r="H48" s="1717"/>
      <c r="I48" s="1714"/>
      <c r="J48" s="1717"/>
      <c r="K48" s="1942"/>
      <c r="L48" s="2920"/>
      <c r="M48" s="2915"/>
      <c r="N48" s="2915"/>
      <c r="O48" s="2915"/>
      <c r="P48" s="3572" t="str">
        <f>A48</f>
        <v>成交单价（元/平方米）</v>
      </c>
      <c r="Q48" s="3572"/>
      <c r="R48" s="3573">
        <f>E48</f>
        <v>0</v>
      </c>
      <c r="S48" s="3573"/>
      <c r="T48" s="3573">
        <f>G48</f>
        <v>0</v>
      </c>
      <c r="U48" s="3573"/>
      <c r="V48" s="3573">
        <f>I48</f>
        <v>0</v>
      </c>
      <c r="W48" s="3573"/>
      <c r="X48" s="1720"/>
      <c r="Y48" s="2002"/>
      <c r="Z48" s="1720"/>
      <c r="AA48" s="1720"/>
      <c r="AB48" s="1720"/>
      <c r="AC48" s="1720"/>
    </row>
    <row r="49" spans="1:29" ht="15" thickBot="1">
      <c r="A49" s="1722" t="s">
        <v>2131</v>
      </c>
      <c r="B49" s="1723"/>
      <c r="C49" s="1724" t="e">
        <f>R50</f>
        <v>#DIV/0!</v>
      </c>
      <c r="D49" s="1725" t="s">
        <v>2499</v>
      </c>
      <c r="E49" s="1726" t="e">
        <f>R49</f>
        <v>#DIV/0!</v>
      </c>
      <c r="F49" s="1727"/>
      <c r="G49" s="1724" t="e">
        <f>T49</f>
        <v>#DIV/0!</v>
      </c>
      <c r="H49" s="1727"/>
      <c r="I49" s="1726" t="e">
        <f>V49</f>
        <v>#DIV/0!</v>
      </c>
      <c r="J49" s="1727"/>
      <c r="K49" s="2429">
        <f>F49+H49+J49</f>
        <v>0</v>
      </c>
      <c r="L49" s="2920"/>
      <c r="M49" s="2915"/>
      <c r="N49" s="2915"/>
      <c r="O49" s="2915"/>
      <c r="P49" s="3572" t="str">
        <f>A49</f>
        <v>比较价值（元/平方米）</v>
      </c>
      <c r="Q49" s="3572"/>
      <c r="R49" s="3573" t="e">
        <f>IF(E1="售价",ROUND(PRODUCT(R48,AA7:AA47),0),ROUND(PRODUCT(R48,AA7:AA47),1))</f>
        <v>#DIV/0!</v>
      </c>
      <c r="S49" s="3573"/>
      <c r="T49" s="3573" t="e">
        <f>IF(E1="售价",ROUND(PRODUCT(T48,AB7:AB47),0),ROUND(PRODUCT(T48,AB7:AB47),1))</f>
        <v>#DIV/0!</v>
      </c>
      <c r="U49" s="3573"/>
      <c r="V49" s="3573" t="e">
        <f>IF(E1="售价",ROUND(PRODUCT(V48,AC7:AC47),0),ROUND(PRODUCT(V48,AC7:AC47),1))</f>
        <v>#DIV/0!</v>
      </c>
      <c r="W49" s="3573"/>
      <c r="X49" s="1720"/>
      <c r="Y49" s="1720"/>
      <c r="Z49" s="1720"/>
      <c r="AA49" s="1720"/>
      <c r="AB49" s="1720"/>
      <c r="AC49" s="1720"/>
    </row>
    <row r="50" spans="1:29" ht="15" thickBot="1">
      <c r="A50" s="1728" t="s">
        <v>2154</v>
      </c>
      <c r="B50" s="1729"/>
      <c r="C50" s="1731" t="e">
        <f>R50</f>
        <v>#DIV/0!</v>
      </c>
      <c r="D50" s="1731"/>
      <c r="E50" s="1731"/>
      <c r="F50" s="1731"/>
      <c r="G50" s="1731"/>
      <c r="H50" s="1731"/>
      <c r="I50" s="1731"/>
      <c r="J50" s="1731"/>
      <c r="K50" s="1947"/>
      <c r="L50" s="2920"/>
      <c r="M50" s="2915"/>
      <c r="N50" s="2915"/>
      <c r="O50" s="2915"/>
      <c r="P50" s="3574" t="str">
        <f>A50</f>
        <v>估价对象XX用房的比较价值（楼面单价，元/平方米）</v>
      </c>
      <c r="Q50" s="3575"/>
      <c r="R50" s="3576" t="e">
        <f>IF(E1="售价",ROUND(IF(D49="简单平均",AVERAGE(R49:V49),R49*F49+T49*H49+V49*J49),0),ROUND(IF(D49="简单平均",AVERAGE(R49:V49),R49*F49+T49*H49+V49*J49),1))</f>
        <v>#DIV/0!</v>
      </c>
      <c r="S50" s="3576"/>
      <c r="T50" s="3576"/>
      <c r="U50" s="3576"/>
      <c r="V50" s="3576"/>
      <c r="W50" s="3576"/>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2.2"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4.4">
      <c r="A59" s="1751" t="s">
        <v>2018</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4.4">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4.4" thickBot="1">
      <c r="A63" s="1768"/>
      <c r="B63" s="1758"/>
      <c r="C63" s="1773">
        <v>100</v>
      </c>
      <c r="D63" s="1760"/>
      <c r="E63" s="1760"/>
      <c r="F63" s="1760"/>
      <c r="G63" s="1760"/>
      <c r="H63" s="1760"/>
      <c r="I63" s="1760"/>
      <c r="J63" s="1760"/>
      <c r="K63" s="1760"/>
      <c r="L63" s="1760"/>
      <c r="M63" s="1774"/>
      <c r="N63" s="2932"/>
      <c r="O63" s="2932"/>
      <c r="P63" s="1750"/>
      <c r="Q63" s="1750"/>
    </row>
    <row r="64" spans="1:29" ht="14.4">
      <c r="A64" s="1775" t="s">
        <v>2059</v>
      </c>
      <c r="B64" s="1776" t="s">
        <v>2024</v>
      </c>
      <c r="C64" s="1777">
        <f>C9</f>
        <v>0</v>
      </c>
      <c r="D64" s="1778"/>
      <c r="E64" s="1778"/>
      <c r="F64" s="1778"/>
      <c r="G64" s="1778"/>
      <c r="H64" s="1778"/>
      <c r="I64" s="1778"/>
      <c r="J64" s="1778"/>
      <c r="K64" s="417"/>
      <c r="L64" s="417"/>
      <c r="M64" s="1779"/>
      <c r="N64" s="2933"/>
      <c r="O64" s="2933"/>
      <c r="P64" s="1986"/>
      <c r="Q64" s="1750"/>
    </row>
    <row r="65" spans="1:17" ht="14.4" thickBot="1">
      <c r="A65" s="1782"/>
      <c r="B65" s="1783"/>
      <c r="C65" s="1784">
        <v>100</v>
      </c>
      <c r="D65" s="1784"/>
      <c r="E65" s="1784"/>
      <c r="F65" s="1784"/>
      <c r="G65" s="1784"/>
      <c r="H65" s="1784"/>
      <c r="I65" s="1784"/>
      <c r="J65" s="1784"/>
      <c r="K65" s="1784"/>
      <c r="L65" s="1784"/>
      <c r="M65" s="1785"/>
      <c r="N65" s="2934"/>
      <c r="O65" s="2934"/>
      <c r="P65" s="1986"/>
      <c r="Q65" s="1750"/>
    </row>
    <row r="66" spans="1:17" ht="29.4"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4.4"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c r="A69" s="1782"/>
      <c r="B69" s="1795"/>
      <c r="C69" s="1796"/>
      <c r="D69" s="1796"/>
      <c r="E69" s="1796"/>
      <c r="F69" s="1796"/>
      <c r="G69" s="1796"/>
      <c r="H69" s="1796"/>
      <c r="I69" s="1796"/>
      <c r="J69" s="1796"/>
      <c r="K69" s="438"/>
      <c r="L69" s="438"/>
      <c r="M69" s="1797"/>
      <c r="N69" s="2933"/>
      <c r="O69" s="2933"/>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4.4"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4.4" thickBot="1">
      <c r="A72" s="1798"/>
      <c r="B72" s="1790"/>
      <c r="C72" s="1803"/>
      <c r="D72" s="1784"/>
      <c r="E72" s="1784"/>
      <c r="F72" s="1784"/>
      <c r="G72" s="1784"/>
      <c r="H72" s="1784"/>
      <c r="I72" s="1784"/>
      <c r="J72" s="1784"/>
      <c r="K72" s="1784"/>
      <c r="L72" s="1784"/>
      <c r="M72" s="1785"/>
      <c r="N72" s="2934"/>
      <c r="O72" s="2934"/>
      <c r="P72" s="1987"/>
      <c r="Q72" s="1802"/>
    </row>
    <row r="73" spans="1:17" s="1700" customFormat="1" ht="14.4"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4.4" thickBot="1">
      <c r="A74" s="1798"/>
      <c r="B74" s="1790"/>
      <c r="C74" s="1803"/>
      <c r="D74" s="1803"/>
      <c r="E74" s="1803"/>
      <c r="F74" s="1803"/>
      <c r="G74" s="1803"/>
      <c r="H74" s="1806"/>
      <c r="I74" s="1806"/>
      <c r="J74" s="1806"/>
      <c r="K74" s="1806"/>
      <c r="L74" s="1806"/>
      <c r="M74" s="1807"/>
      <c r="N74" s="2935"/>
      <c r="O74" s="2935"/>
      <c r="P74" s="1987"/>
      <c r="Q74" s="1802"/>
    </row>
    <row r="75" spans="1:17" s="1700" customFormat="1" ht="14.4"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4.4" thickBot="1">
      <c r="A76" s="1809"/>
      <c r="B76" s="1810"/>
      <c r="C76" s="1811"/>
      <c r="D76" s="1811"/>
      <c r="E76" s="1811"/>
      <c r="F76" s="1811"/>
      <c r="G76" s="1811"/>
      <c r="H76" s="1812"/>
      <c r="I76" s="1812"/>
      <c r="J76" s="1812"/>
      <c r="K76" s="1812"/>
      <c r="L76" s="1812"/>
      <c r="M76" s="1813"/>
      <c r="N76" s="2935"/>
      <c r="O76" s="2935"/>
      <c r="P76" s="1987"/>
      <c r="Q76" s="1802"/>
    </row>
    <row r="77" spans="1:17" ht="14.4">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4.4"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4.4"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4.4"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4.4"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4.4"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9.4" thickTop="1">
      <c r="A87" s="1818"/>
      <c r="B87" s="1787" t="s">
        <v>2157</v>
      </c>
      <c r="C87" s="468"/>
      <c r="D87" s="468"/>
      <c r="E87" s="468"/>
      <c r="F87" s="468"/>
      <c r="G87" s="468"/>
      <c r="H87" s="468"/>
      <c r="I87" s="468"/>
      <c r="J87" s="468"/>
      <c r="K87" s="468"/>
      <c r="L87" s="468"/>
      <c r="M87" s="1819"/>
      <c r="N87" s="2932"/>
      <c r="O87" s="2932"/>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4.4"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4.4"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4.4"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4.4" thickTop="1">
      <c r="A93" s="1782"/>
      <c r="B93" s="1787">
        <f>B29</f>
        <v>111</v>
      </c>
      <c r="C93" s="468"/>
      <c r="D93" s="468"/>
      <c r="E93" s="468"/>
      <c r="F93" s="468"/>
      <c r="G93" s="468"/>
      <c r="H93" s="468"/>
      <c r="I93" s="468"/>
      <c r="J93" s="468"/>
      <c r="K93" s="468"/>
      <c r="L93" s="468"/>
      <c r="M93" s="1819"/>
      <c r="N93" s="2933"/>
      <c r="O93" s="2933"/>
      <c r="P93" s="1986"/>
      <c r="Q93" s="1750"/>
    </row>
    <row r="94" spans="1:17" ht="14.4" thickBot="1">
      <c r="A94" s="1782"/>
      <c r="B94" s="1790"/>
      <c r="C94" s="1803"/>
      <c r="D94" s="1784"/>
      <c r="E94" s="1784"/>
      <c r="F94" s="1784"/>
      <c r="G94" s="1784"/>
      <c r="H94" s="1784"/>
      <c r="I94" s="1784"/>
      <c r="J94" s="1784"/>
      <c r="K94" s="1784"/>
      <c r="L94" s="1784"/>
      <c r="M94" s="1785"/>
      <c r="N94" s="2934"/>
      <c r="O94" s="2934"/>
      <c r="P94" s="1986"/>
      <c r="Q94" s="1750"/>
    </row>
    <row r="95" spans="1:17" ht="14.4" thickTop="1">
      <c r="A95" s="1782"/>
      <c r="B95" s="1787">
        <f>B30</f>
        <v>111</v>
      </c>
      <c r="C95" s="468"/>
      <c r="D95" s="468"/>
      <c r="E95" s="468"/>
      <c r="F95" s="468"/>
      <c r="G95" s="1506"/>
      <c r="H95" s="1506"/>
      <c r="I95" s="1506"/>
      <c r="J95" s="1506"/>
      <c r="K95" s="473"/>
      <c r="L95" s="473"/>
      <c r="M95" s="1822"/>
      <c r="N95" s="2933"/>
      <c r="O95" s="2933"/>
      <c r="P95" s="1986"/>
      <c r="Q95" s="1750"/>
    </row>
    <row r="96" spans="1:17" ht="14.4" thickBot="1">
      <c r="A96" s="1782"/>
      <c r="B96" s="1790"/>
      <c r="C96" s="1803"/>
      <c r="D96" s="1803"/>
      <c r="E96" s="1803"/>
      <c r="F96" s="1803"/>
      <c r="G96" s="1784"/>
      <c r="H96" s="1784"/>
      <c r="I96" s="1784"/>
      <c r="J96" s="1784"/>
      <c r="K96" s="1784"/>
      <c r="L96" s="1784"/>
      <c r="M96" s="1785"/>
      <c r="N96" s="2934"/>
      <c r="O96" s="2934"/>
      <c r="P96" s="1986"/>
      <c r="Q96" s="1750"/>
    </row>
    <row r="97" spans="1:17" ht="14.4" thickTop="1">
      <c r="A97" s="1782"/>
      <c r="B97" s="1787">
        <f>B31</f>
        <v>111</v>
      </c>
      <c r="C97" s="468"/>
      <c r="D97" s="468"/>
      <c r="E97" s="468"/>
      <c r="F97" s="468"/>
      <c r="G97" s="1506"/>
      <c r="H97" s="1506"/>
      <c r="I97" s="1506"/>
      <c r="J97" s="1506"/>
      <c r="K97" s="473"/>
      <c r="L97" s="473"/>
      <c r="M97" s="1822"/>
      <c r="N97" s="2933"/>
      <c r="O97" s="2933"/>
      <c r="P97" s="1986"/>
      <c r="Q97" s="1750"/>
    </row>
    <row r="98" spans="1:17" ht="14.4" thickBot="1">
      <c r="A98" s="1782"/>
      <c r="B98" s="1790"/>
      <c r="C98" s="1803"/>
      <c r="D98" s="1784"/>
      <c r="E98" s="1784"/>
      <c r="F98" s="1784"/>
      <c r="G98" s="1784"/>
      <c r="H98" s="1784"/>
      <c r="I98" s="1784"/>
      <c r="J98" s="1784"/>
      <c r="K98" s="1784"/>
      <c r="L98" s="1784"/>
      <c r="M98" s="1785"/>
      <c r="N98" s="2934"/>
      <c r="O98" s="2934"/>
      <c r="P98" s="1986"/>
      <c r="Q98" s="1750"/>
    </row>
    <row r="99" spans="1:17" ht="14.4" thickTop="1">
      <c r="A99" s="1782"/>
      <c r="B99" s="1793">
        <f>B32</f>
        <v>111</v>
      </c>
      <c r="C99" s="409"/>
      <c r="D99" s="409"/>
      <c r="E99" s="409"/>
      <c r="F99" s="409"/>
      <c r="G99" s="1823"/>
      <c r="H99" s="1823"/>
      <c r="I99" s="1823"/>
      <c r="J99" s="1823"/>
      <c r="K99" s="477"/>
      <c r="L99" s="477"/>
      <c r="M99" s="1824"/>
      <c r="N99" s="2933"/>
      <c r="O99" s="2933"/>
      <c r="P99" s="1986"/>
      <c r="Q99" s="1750"/>
    </row>
    <row r="100" spans="1:17" ht="14.4" thickBot="1">
      <c r="A100" s="1825"/>
      <c r="B100" s="1810"/>
      <c r="C100" s="1811"/>
      <c r="D100" s="1811"/>
      <c r="E100" s="1811"/>
      <c r="F100" s="1811"/>
      <c r="G100" s="1826"/>
      <c r="H100" s="1826"/>
      <c r="I100" s="1826"/>
      <c r="J100" s="1826"/>
      <c r="K100" s="1826"/>
      <c r="L100" s="1826"/>
      <c r="M100" s="1827"/>
      <c r="N100" s="2934"/>
      <c r="O100" s="2934"/>
      <c r="P100" s="1986"/>
      <c r="Q100" s="1750"/>
    </row>
    <row r="101" spans="1:17" ht="14.4">
      <c r="A101" s="1775" t="s">
        <v>2034</v>
      </c>
      <c r="B101" s="1776" t="s">
        <v>2083</v>
      </c>
      <c r="C101" s="1778"/>
      <c r="D101" s="1778"/>
      <c r="E101" s="1778"/>
      <c r="F101" s="1778"/>
      <c r="G101" s="1778"/>
      <c r="H101" s="1778"/>
      <c r="I101" s="1778"/>
      <c r="J101" s="1778"/>
      <c r="K101" s="417"/>
      <c r="L101" s="417"/>
      <c r="M101" s="1779"/>
      <c r="N101" s="2933"/>
      <c r="O101" s="2933"/>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4.4"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4.4"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4.4"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4.4"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4.4"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4.4"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29.4"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5"/>
      <c r="O128" s="2935"/>
      <c r="P128" s="1987"/>
      <c r="Q128" s="1802"/>
    </row>
    <row r="129" spans="1:17" ht="14.4"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4.4" thickBot="1">
      <c r="A130" s="1782"/>
      <c r="B130" s="1790"/>
      <c r="C130" s="1803"/>
      <c r="D130" s="1803"/>
      <c r="E130" s="1803"/>
      <c r="F130" s="1803"/>
      <c r="G130" s="1784"/>
      <c r="H130" s="1784"/>
      <c r="I130" s="1784"/>
      <c r="J130" s="1784"/>
      <c r="K130" s="1784"/>
      <c r="L130" s="1784"/>
      <c r="M130" s="1785"/>
      <c r="N130" s="2934"/>
      <c r="O130" s="2934"/>
      <c r="P130" s="1986"/>
      <c r="Q130" s="1750"/>
    </row>
    <row r="131" spans="1:17" ht="14.4"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4.4"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2005</v>
      </c>
      <c r="B4" s="295"/>
      <c r="C4" s="3676" t="s">
        <v>2006</v>
      </c>
      <c r="D4" s="3677"/>
      <c r="E4" s="3678" t="s">
        <v>2007</v>
      </c>
      <c r="F4" s="3679"/>
      <c r="G4" s="3676" t="s">
        <v>2008</v>
      </c>
      <c r="H4" s="3677"/>
      <c r="I4" s="3676" t="s">
        <v>2009</v>
      </c>
      <c r="J4" s="3677"/>
      <c r="K4" s="496" t="s">
        <v>2010</v>
      </c>
      <c r="L4" s="2942"/>
      <c r="M4" s="2943"/>
      <c r="N4" s="2943"/>
      <c r="O4" s="2943"/>
      <c r="P4" s="3680" t="s">
        <v>2011</v>
      </c>
      <c r="Q4" s="3681"/>
      <c r="R4" s="3663" t="s">
        <v>2007</v>
      </c>
      <c r="S4" s="3664"/>
      <c r="T4" s="3663" t="s">
        <v>2008</v>
      </c>
      <c r="U4" s="3664"/>
      <c r="V4" s="3686" t="s">
        <v>2009</v>
      </c>
      <c r="W4" s="3686"/>
      <c r="X4" s="1263"/>
      <c r="Y4" s="3663" t="s">
        <v>2011</v>
      </c>
      <c r="Z4" s="3664"/>
      <c r="AA4" s="3673" t="s">
        <v>2007</v>
      </c>
      <c r="AB4" s="3674" t="s">
        <v>2008</v>
      </c>
      <c r="AC4" s="3673" t="s">
        <v>2009</v>
      </c>
    </row>
    <row r="5" spans="1:29">
      <c r="A5" s="297"/>
      <c r="B5" s="298"/>
      <c r="C5" s="3689" t="s">
        <v>2012</v>
      </c>
      <c r="D5" s="3690"/>
      <c r="E5" s="3687" t="s">
        <v>2013</v>
      </c>
      <c r="F5" s="3688"/>
      <c r="G5" s="3689" t="s">
        <v>2014</v>
      </c>
      <c r="H5" s="3690"/>
      <c r="I5" s="3689" t="s">
        <v>2015</v>
      </c>
      <c r="J5" s="3690"/>
      <c r="K5" s="496"/>
      <c r="L5" s="2942"/>
      <c r="M5" s="2943"/>
      <c r="N5" s="2943"/>
      <c r="O5" s="2943"/>
      <c r="P5" s="3682"/>
      <c r="Q5" s="3683"/>
      <c r="R5" s="3665"/>
      <c r="S5" s="3666"/>
      <c r="T5" s="3665"/>
      <c r="U5" s="3666"/>
      <c r="V5" s="3686"/>
      <c r="W5" s="3686"/>
      <c r="X5" s="1263"/>
      <c r="Y5" s="3665"/>
      <c r="Z5" s="3666"/>
      <c r="AA5" s="3674"/>
      <c r="AB5" s="3674"/>
      <c r="AC5" s="3674"/>
    </row>
    <row r="6" spans="1:29" ht="15" thickBot="1">
      <c r="A6" s="299"/>
      <c r="B6" s="300"/>
      <c r="C6" s="3691" t="s">
        <v>2016</v>
      </c>
      <c r="D6" s="3692"/>
      <c r="E6" s="3693" t="s">
        <v>2016</v>
      </c>
      <c r="F6" s="3694"/>
      <c r="G6" s="3691" t="s">
        <v>2016</v>
      </c>
      <c r="H6" s="3692"/>
      <c r="I6" s="3691" t="s">
        <v>2016</v>
      </c>
      <c r="J6" s="3692"/>
      <c r="K6" s="496" t="s">
        <v>2017</v>
      </c>
      <c r="L6" s="2942"/>
      <c r="M6" s="2943"/>
      <c r="N6" s="2943"/>
      <c r="O6" s="2943"/>
      <c r="P6" s="3684"/>
      <c r="Q6" s="3685"/>
      <c r="R6" s="3665"/>
      <c r="S6" s="3666"/>
      <c r="T6" s="3667"/>
      <c r="U6" s="3668"/>
      <c r="V6" s="3686"/>
      <c r="W6" s="3686"/>
      <c r="X6" s="1263"/>
      <c r="Y6" s="3667"/>
      <c r="Z6" s="3668"/>
      <c r="AA6" s="3675"/>
      <c r="AB6" s="3675"/>
      <c r="AC6" s="3675"/>
    </row>
    <row r="7" spans="1:29" s="25" customFormat="1" ht="15" thickBot="1">
      <c r="A7" s="301" t="s">
        <v>2018</v>
      </c>
      <c r="B7" s="302"/>
      <c r="C7" s="303">
        <f>'数据-取费表'!B2</f>
        <v>44776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61" t="s">
        <v>2019</v>
      </c>
      <c r="Q7" s="3669"/>
      <c r="R7" s="627" t="s">
        <v>25</v>
      </c>
      <c r="S7" s="628">
        <f t="shared" ref="S7:S15" si="0">F7</f>
        <v>0</v>
      </c>
      <c r="T7" s="627" t="s">
        <v>25</v>
      </c>
      <c r="U7" s="628">
        <f t="shared" ref="U7:U15" si="1">H7</f>
        <v>0</v>
      </c>
      <c r="V7" s="627" t="s">
        <v>25</v>
      </c>
      <c r="W7" s="628">
        <f t="shared" ref="W7:W15" si="2">J7</f>
        <v>0</v>
      </c>
      <c r="X7" s="629"/>
      <c r="Y7" s="3661" t="s">
        <v>2019</v>
      </c>
      <c r="Z7" s="3662"/>
      <c r="AA7" s="630" t="e">
        <f>D7/F7</f>
        <v>#DIV/0!</v>
      </c>
      <c r="AB7" s="630" t="e">
        <f>D7/H7</f>
        <v>#DIV/0!</v>
      </c>
      <c r="AC7" s="630" t="e">
        <f>D7/J7</f>
        <v>#DIV/0!</v>
      </c>
    </row>
    <row r="8" spans="1:29" s="25" customFormat="1" ht="15" thickBot="1">
      <c r="A8" s="301" t="s">
        <v>2020</v>
      </c>
      <c r="B8" s="302"/>
      <c r="C8" s="307" t="s">
        <v>2626</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61" t="s">
        <v>2022</v>
      </c>
      <c r="Q8" s="3662"/>
      <c r="R8" s="627" t="s">
        <v>25</v>
      </c>
      <c r="S8" s="628">
        <f t="shared" si="0"/>
        <v>0</v>
      </c>
      <c r="T8" s="627" t="s">
        <v>25</v>
      </c>
      <c r="U8" s="628">
        <f t="shared" si="1"/>
        <v>0</v>
      </c>
      <c r="V8" s="627" t="s">
        <v>25</v>
      </c>
      <c r="W8" s="628">
        <f t="shared" si="2"/>
        <v>0</v>
      </c>
      <c r="X8" s="629"/>
      <c r="Y8" s="3661" t="s">
        <v>2022</v>
      </c>
      <c r="Z8" s="3662"/>
      <c r="AA8" s="630" t="e">
        <f t="shared" ref="AA8:AA40" si="3">D8/F8</f>
        <v>#DIV/0!</v>
      </c>
      <c r="AB8" s="630" t="e">
        <f t="shared" ref="AB8:AB40" si="4">D8/H8</f>
        <v>#DIV/0!</v>
      </c>
      <c r="AC8" s="630" t="e">
        <f t="shared" ref="AC8:AC40" si="5">D8/J8</f>
        <v>#DIV/0!</v>
      </c>
    </row>
    <row r="9" spans="1:29" s="25" customFormat="1" ht="14.4">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53" t="s">
        <v>2025</v>
      </c>
      <c r="Q9" s="1255" t="str">
        <f t="shared" ref="Q9:Q15" si="6">B9</f>
        <v>用途</v>
      </c>
      <c r="R9" s="627" t="s">
        <v>25</v>
      </c>
      <c r="S9" s="628">
        <f t="shared" si="0"/>
        <v>100</v>
      </c>
      <c r="T9" s="627" t="s">
        <v>25</v>
      </c>
      <c r="U9" s="628">
        <f t="shared" si="1"/>
        <v>100</v>
      </c>
      <c r="V9" s="627" t="s">
        <v>25</v>
      </c>
      <c r="W9" s="628">
        <f t="shared" si="2"/>
        <v>100</v>
      </c>
      <c r="X9" s="629"/>
      <c r="Y9" s="3672" t="s">
        <v>2026</v>
      </c>
      <c r="Z9" s="19" t="str">
        <f t="shared" ref="Z9:Z15" si="7">Q9</f>
        <v>用途</v>
      </c>
      <c r="AA9" s="630">
        <f t="shared" si="3"/>
        <v>1</v>
      </c>
      <c r="AB9" s="630">
        <f t="shared" si="4"/>
        <v>1</v>
      </c>
      <c r="AC9" s="630">
        <f t="shared" si="5"/>
        <v>1</v>
      </c>
    </row>
    <row r="10" spans="1:29" s="317" customFormat="1" ht="28.8">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53"/>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53"/>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53"/>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15">
      <c r="A15" s="329" t="s">
        <v>2029</v>
      </c>
      <c r="B15" s="22" t="s">
        <v>2161</v>
      </c>
      <c r="C15" s="1509">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0" t="s">
        <v>2030</v>
      </c>
      <c r="Q15" s="1262" t="str">
        <f t="shared" si="6"/>
        <v>产业集聚程度</v>
      </c>
      <c r="R15" s="631" t="s">
        <v>25</v>
      </c>
      <c r="S15" s="632">
        <f t="shared" si="0"/>
        <v>100</v>
      </c>
      <c r="T15" s="631" t="s">
        <v>25</v>
      </c>
      <c r="U15" s="632">
        <f t="shared" si="1"/>
        <v>100</v>
      </c>
      <c r="V15" s="631" t="s">
        <v>25</v>
      </c>
      <c r="W15" s="632">
        <f t="shared" si="2"/>
        <v>100</v>
      </c>
      <c r="X15" s="1263"/>
      <c r="Y15" s="3670"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71"/>
      <c r="Q16" s="1262"/>
      <c r="R16" s="631"/>
      <c r="S16" s="632"/>
      <c r="T16" s="631"/>
      <c r="U16" s="632"/>
      <c r="V16" s="631"/>
      <c r="W16" s="632"/>
      <c r="X16" s="1263"/>
      <c r="Y16" s="3671"/>
      <c r="Z16" s="1264"/>
      <c r="AA16" s="1265">
        <v>1</v>
      </c>
      <c r="AB16" s="1265">
        <v>1</v>
      </c>
      <c r="AC16" s="1265">
        <v>1</v>
      </c>
    </row>
    <row r="17" spans="1:29" ht="15">
      <c r="A17" s="318"/>
      <c r="B17" s="340" t="s">
        <v>1466</v>
      </c>
      <c r="C17" s="1495">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71"/>
      <c r="Q18" s="1262"/>
      <c r="R18" s="631"/>
      <c r="S18" s="632"/>
      <c r="T18" s="631"/>
      <c r="U18" s="632"/>
      <c r="V18" s="631"/>
      <c r="W18" s="632"/>
      <c r="X18" s="1263"/>
      <c r="Y18" s="3671"/>
      <c r="Z18" s="1264"/>
      <c r="AA18" s="1265">
        <v>1</v>
      </c>
      <c r="AB18" s="1265">
        <v>1</v>
      </c>
      <c r="AC18" s="1265">
        <v>1</v>
      </c>
    </row>
    <row r="19" spans="1:29" ht="15">
      <c r="A19" s="318"/>
      <c r="B19" s="513" t="s">
        <v>2145</v>
      </c>
      <c r="C19" s="1495">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1"/>
      <c r="Q19" s="1262" t="str">
        <f>B19</f>
        <v>公共配套设施</v>
      </c>
      <c r="R19" s="631" t="s">
        <v>25</v>
      </c>
      <c r="S19" s="632">
        <f>F19</f>
        <v>100</v>
      </c>
      <c r="T19" s="631" t="s">
        <v>25</v>
      </c>
      <c r="U19" s="632">
        <f>H19</f>
        <v>100</v>
      </c>
      <c r="V19" s="631" t="s">
        <v>25</v>
      </c>
      <c r="W19" s="632">
        <f>J19</f>
        <v>100</v>
      </c>
      <c r="X19" s="1263"/>
      <c r="Y19" s="367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71"/>
      <c r="Q20" s="1262"/>
      <c r="R20" s="631"/>
      <c r="S20" s="632"/>
      <c r="T20" s="631"/>
      <c r="U20" s="632"/>
      <c r="V20" s="631"/>
      <c r="W20" s="632"/>
      <c r="X20" s="1263"/>
      <c r="Y20" s="3671"/>
      <c r="Z20" s="1264"/>
      <c r="AA20" s="1265">
        <v>1</v>
      </c>
      <c r="AB20" s="1265">
        <v>1</v>
      </c>
      <c r="AC20" s="1265">
        <v>1</v>
      </c>
    </row>
    <row r="21" spans="1:29" ht="15">
      <c r="A21" s="318"/>
      <c r="B21" s="515" t="s">
        <v>2146</v>
      </c>
      <c r="C21" s="1495">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1"/>
      <c r="Q21" s="1262" t="str">
        <f>B21</f>
        <v>基础设施水平</v>
      </c>
      <c r="R21" s="631" t="s">
        <v>25</v>
      </c>
      <c r="S21" s="632">
        <f>F21</f>
        <v>100</v>
      </c>
      <c r="T21" s="631" t="s">
        <v>25</v>
      </c>
      <c r="U21" s="632">
        <f>H21</f>
        <v>100</v>
      </c>
      <c r="V21" s="631" t="s">
        <v>25</v>
      </c>
      <c r="W21" s="632">
        <f>J21</f>
        <v>100</v>
      </c>
      <c r="X21" s="1263"/>
      <c r="Y21" s="367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71"/>
      <c r="Q22" s="1262"/>
      <c r="R22" s="631"/>
      <c r="S22" s="632"/>
      <c r="T22" s="631"/>
      <c r="U22" s="632"/>
      <c r="V22" s="631"/>
      <c r="W22" s="632"/>
      <c r="X22" s="1263"/>
      <c r="Y22" s="3671"/>
      <c r="Z22" s="1264"/>
      <c r="AA22" s="1265">
        <v>1</v>
      </c>
      <c r="AB22" s="1265">
        <v>1</v>
      </c>
      <c r="AC22" s="1265">
        <v>1</v>
      </c>
    </row>
    <row r="23" spans="1:29" ht="15">
      <c r="A23" s="318"/>
      <c r="B23" s="340" t="s">
        <v>2147</v>
      </c>
      <c r="C23" s="1495">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1"/>
      <c r="Q23" s="1262" t="str">
        <f>B23</f>
        <v>环境质量</v>
      </c>
      <c r="R23" s="631" t="s">
        <v>25</v>
      </c>
      <c r="S23" s="632">
        <f>F23</f>
        <v>100</v>
      </c>
      <c r="T23" s="631" t="s">
        <v>25</v>
      </c>
      <c r="U23" s="632">
        <f>H23</f>
        <v>100</v>
      </c>
      <c r="V23" s="631" t="s">
        <v>25</v>
      </c>
      <c r="W23" s="632">
        <f>J23</f>
        <v>100</v>
      </c>
      <c r="X23" s="1263"/>
      <c r="Y23" s="367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71"/>
      <c r="Q24" s="1262"/>
      <c r="R24" s="631"/>
      <c r="S24" s="632"/>
      <c r="T24" s="631"/>
      <c r="U24" s="632"/>
      <c r="V24" s="631"/>
      <c r="W24" s="632"/>
      <c r="X24" s="1263"/>
      <c r="Y24" s="367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1"/>
      <c r="Q25" s="1262">
        <f>B25</f>
        <v>111</v>
      </c>
      <c r="R25" s="631" t="s">
        <v>25</v>
      </c>
      <c r="S25" s="632">
        <f>F25</f>
        <v>100</v>
      </c>
      <c r="T25" s="631" t="s">
        <v>25</v>
      </c>
      <c r="U25" s="632">
        <f>H25</f>
        <v>100</v>
      </c>
      <c r="V25" s="631" t="s">
        <v>25</v>
      </c>
      <c r="W25" s="632">
        <f>J25</f>
        <v>100</v>
      </c>
      <c r="X25" s="1263"/>
      <c r="Y25" s="367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1"/>
      <c r="Q26" s="1262">
        <f t="shared" ref="Q26:Q40" si="11">B26</f>
        <v>111</v>
      </c>
      <c r="R26" s="631" t="s">
        <v>25</v>
      </c>
      <c r="S26" s="632">
        <f>F26</f>
        <v>100</v>
      </c>
      <c r="T26" s="631" t="s">
        <v>25</v>
      </c>
      <c r="U26" s="632">
        <f>H26</f>
        <v>100</v>
      </c>
      <c r="V26" s="631" t="s">
        <v>25</v>
      </c>
      <c r="W26" s="632">
        <f>J26</f>
        <v>100</v>
      </c>
      <c r="X26" s="1263"/>
      <c r="Y26" s="367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1"/>
      <c r="Q27" s="1255">
        <f t="shared" si="11"/>
        <v>111</v>
      </c>
      <c r="R27" s="627" t="s">
        <v>25</v>
      </c>
      <c r="S27" s="628">
        <f>F27</f>
        <v>100</v>
      </c>
      <c r="T27" s="627" t="s">
        <v>25</v>
      </c>
      <c r="U27" s="628">
        <f>H27</f>
        <v>100</v>
      </c>
      <c r="V27" s="627" t="s">
        <v>25</v>
      </c>
      <c r="W27" s="628">
        <f>J27</f>
        <v>100</v>
      </c>
      <c r="X27" s="629"/>
      <c r="Y27" s="3671"/>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1"/>
      <c r="Q28" s="1262">
        <f t="shared" si="11"/>
        <v>111</v>
      </c>
      <c r="R28" s="631" t="s">
        <v>25</v>
      </c>
      <c r="S28" s="632">
        <f t="shared" ref="S28:S40" si="12">F28</f>
        <v>100</v>
      </c>
      <c r="T28" s="631" t="s">
        <v>25</v>
      </c>
      <c r="U28" s="632">
        <f t="shared" ref="U28:U40" si="13">H28</f>
        <v>100</v>
      </c>
      <c r="V28" s="631" t="s">
        <v>25</v>
      </c>
      <c r="W28" s="632">
        <f t="shared" ref="W28:W40" si="14">J28</f>
        <v>100</v>
      </c>
      <c r="X28" s="1263"/>
      <c r="Y28" s="3671"/>
      <c r="Z28" s="1264">
        <f t="shared" ref="Z28:Z40" si="15">Q28</f>
        <v>111</v>
      </c>
      <c r="AA28" s="1265">
        <f t="shared" si="3"/>
        <v>1</v>
      </c>
      <c r="AB28" s="1265">
        <f t="shared" si="4"/>
        <v>1</v>
      </c>
      <c r="AC28" s="1265">
        <f t="shared" si="5"/>
        <v>1</v>
      </c>
    </row>
    <row r="29" spans="1:29" ht="30">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58" t="s">
        <v>2036</v>
      </c>
      <c r="Q29" s="1262" t="str">
        <f t="shared" si="11"/>
        <v>建筑类型</v>
      </c>
      <c r="R29" s="631" t="s">
        <v>25</v>
      </c>
      <c r="S29" s="632">
        <f t="shared" si="12"/>
        <v>100</v>
      </c>
      <c r="T29" s="631" t="s">
        <v>25</v>
      </c>
      <c r="U29" s="632">
        <f t="shared" si="13"/>
        <v>100</v>
      </c>
      <c r="V29" s="631" t="s">
        <v>25</v>
      </c>
      <c r="W29" s="632">
        <f t="shared" si="14"/>
        <v>100</v>
      </c>
      <c r="X29" s="1263"/>
      <c r="Y29" s="3659"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59"/>
      <c r="Q30" s="633" t="str">
        <f t="shared" si="11"/>
        <v>项目建筑规模</v>
      </c>
      <c r="R30" s="634" t="s">
        <v>25</v>
      </c>
      <c r="S30" s="635" t="e">
        <f t="shared" si="12"/>
        <v>#N/A</v>
      </c>
      <c r="T30" s="634" t="s">
        <v>25</v>
      </c>
      <c r="U30" s="635" t="e">
        <f t="shared" si="13"/>
        <v>#N/A</v>
      </c>
      <c r="V30" s="634" t="s">
        <v>25</v>
      </c>
      <c r="W30" s="635" t="e">
        <f t="shared" si="14"/>
        <v>#N/A</v>
      </c>
      <c r="X30" s="636"/>
      <c r="Y30" s="3659"/>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59"/>
      <c r="Q31" s="1262" t="str">
        <f t="shared" si="11"/>
        <v>建筑结构</v>
      </c>
      <c r="R31" s="631" t="s">
        <v>25</v>
      </c>
      <c r="S31" s="632">
        <f t="shared" si="12"/>
        <v>100</v>
      </c>
      <c r="T31" s="631" t="s">
        <v>25</v>
      </c>
      <c r="U31" s="632">
        <f t="shared" si="13"/>
        <v>100</v>
      </c>
      <c r="V31" s="631" t="s">
        <v>25</v>
      </c>
      <c r="W31" s="632">
        <f t="shared" si="14"/>
        <v>100</v>
      </c>
      <c r="X31" s="1263"/>
      <c r="Y31" s="3659"/>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59"/>
      <c r="Q32" s="1262" t="str">
        <f t="shared" si="11"/>
        <v>公共部分装修</v>
      </c>
      <c r="R32" s="631" t="s">
        <v>25</v>
      </c>
      <c r="S32" s="632">
        <f t="shared" si="12"/>
        <v>100</v>
      </c>
      <c r="T32" s="631" t="s">
        <v>25</v>
      </c>
      <c r="U32" s="632">
        <f t="shared" si="13"/>
        <v>100</v>
      </c>
      <c r="V32" s="631" t="s">
        <v>25</v>
      </c>
      <c r="W32" s="632">
        <f t="shared" si="14"/>
        <v>100</v>
      </c>
      <c r="X32" s="1263"/>
      <c r="Y32" s="3659"/>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59"/>
      <c r="Q33" s="1262" t="str">
        <f t="shared" si="11"/>
        <v>成新度</v>
      </c>
      <c r="R33" s="631" t="s">
        <v>25</v>
      </c>
      <c r="S33" s="632" t="e">
        <f t="shared" si="12"/>
        <v>#N/A</v>
      </c>
      <c r="T33" s="631" t="s">
        <v>25</v>
      </c>
      <c r="U33" s="632" t="e">
        <f t="shared" si="13"/>
        <v>#N/A</v>
      </c>
      <c r="V33" s="631" t="s">
        <v>25</v>
      </c>
      <c r="W33" s="632" t="e">
        <f t="shared" si="14"/>
        <v>#N/A</v>
      </c>
      <c r="X33" s="1263"/>
      <c r="Y33" s="3659"/>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59"/>
      <c r="Q34" s="1255" t="str">
        <f t="shared" si="11"/>
        <v>物业管理</v>
      </c>
      <c r="R34" s="627" t="s">
        <v>25</v>
      </c>
      <c r="S34" s="628">
        <f t="shared" si="12"/>
        <v>100</v>
      </c>
      <c r="T34" s="627" t="s">
        <v>25</v>
      </c>
      <c r="U34" s="628">
        <f t="shared" si="13"/>
        <v>100</v>
      </c>
      <c r="V34" s="627" t="s">
        <v>25</v>
      </c>
      <c r="W34" s="628">
        <f t="shared" si="14"/>
        <v>100</v>
      </c>
      <c r="X34" s="629"/>
      <c r="Y34" s="3659"/>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59" t="s">
        <v>2036</v>
      </c>
      <c r="Q35" s="1262" t="str">
        <f t="shared" si="11"/>
        <v>市政基础设施</v>
      </c>
      <c r="R35" s="631" t="s">
        <v>25</v>
      </c>
      <c r="S35" s="632">
        <f t="shared" si="12"/>
        <v>100</v>
      </c>
      <c r="T35" s="631" t="s">
        <v>25</v>
      </c>
      <c r="U35" s="632">
        <f t="shared" si="13"/>
        <v>100</v>
      </c>
      <c r="V35" s="631" t="s">
        <v>25</v>
      </c>
      <c r="W35" s="632">
        <f t="shared" si="14"/>
        <v>100</v>
      </c>
      <c r="X35" s="1263"/>
      <c r="Y35" s="3659"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59"/>
      <c r="Q36" s="1262" t="str">
        <f t="shared" si="11"/>
        <v>内部装修</v>
      </c>
      <c r="R36" s="631" t="s">
        <v>25</v>
      </c>
      <c r="S36" s="632">
        <f t="shared" si="12"/>
        <v>100</v>
      </c>
      <c r="T36" s="631" t="s">
        <v>25</v>
      </c>
      <c r="U36" s="632">
        <f t="shared" si="13"/>
        <v>100</v>
      </c>
      <c r="V36" s="631" t="s">
        <v>25</v>
      </c>
      <c r="W36" s="632">
        <f t="shared" si="14"/>
        <v>100</v>
      </c>
      <c r="X36" s="1263"/>
      <c r="Y36" s="3659"/>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59"/>
      <c r="Q37" s="1262" t="str">
        <f t="shared" si="11"/>
        <v>内部装修状况</v>
      </c>
      <c r="R37" s="631" t="s">
        <v>25</v>
      </c>
      <c r="S37" s="632">
        <f t="shared" si="12"/>
        <v>100</v>
      </c>
      <c r="T37" s="631" t="s">
        <v>25</v>
      </c>
      <c r="U37" s="632">
        <f t="shared" si="13"/>
        <v>100</v>
      </c>
      <c r="V37" s="631" t="s">
        <v>25</v>
      </c>
      <c r="W37" s="632">
        <f t="shared" si="14"/>
        <v>100</v>
      </c>
      <c r="X37" s="1263"/>
      <c r="Y37" s="365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59"/>
      <c r="Q38" s="633">
        <f t="shared" si="11"/>
        <v>111</v>
      </c>
      <c r="R38" s="634" t="s">
        <v>25</v>
      </c>
      <c r="S38" s="635">
        <f t="shared" si="12"/>
        <v>100</v>
      </c>
      <c r="T38" s="634" t="s">
        <v>25</v>
      </c>
      <c r="U38" s="635">
        <f t="shared" si="13"/>
        <v>100</v>
      </c>
      <c r="V38" s="634" t="s">
        <v>25</v>
      </c>
      <c r="W38" s="635">
        <f t="shared" si="14"/>
        <v>100</v>
      </c>
      <c r="X38" s="636"/>
      <c r="Y38" s="365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59"/>
      <c r="Q39" s="1262">
        <f t="shared" si="11"/>
        <v>111</v>
      </c>
      <c r="R39" s="631" t="s">
        <v>25</v>
      </c>
      <c r="S39" s="632">
        <f t="shared" si="12"/>
        <v>100</v>
      </c>
      <c r="T39" s="631" t="s">
        <v>25</v>
      </c>
      <c r="U39" s="632">
        <f t="shared" si="13"/>
        <v>100</v>
      </c>
      <c r="V39" s="631" t="s">
        <v>25</v>
      </c>
      <c r="W39" s="632">
        <f t="shared" si="14"/>
        <v>100</v>
      </c>
      <c r="X39" s="1263"/>
      <c r="Y39" s="3659"/>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0"/>
      <c r="Q40" s="1262">
        <f t="shared" si="11"/>
        <v>111</v>
      </c>
      <c r="R40" s="631" t="s">
        <v>25</v>
      </c>
      <c r="S40" s="632">
        <f t="shared" si="12"/>
        <v>100</v>
      </c>
      <c r="T40" s="631" t="s">
        <v>25</v>
      </c>
      <c r="U40" s="632">
        <f t="shared" si="13"/>
        <v>100</v>
      </c>
      <c r="V40" s="631" t="s">
        <v>25</v>
      </c>
      <c r="W40" s="632">
        <f t="shared" si="14"/>
        <v>100</v>
      </c>
      <c r="X40" s="1263"/>
      <c r="Y40" s="3660"/>
      <c r="Z40" s="1264">
        <f t="shared" si="15"/>
        <v>111</v>
      </c>
      <c r="AA40" s="1265">
        <f t="shared" si="3"/>
        <v>1</v>
      </c>
      <c r="AB40" s="1265">
        <f t="shared" si="4"/>
        <v>1</v>
      </c>
      <c r="AC40" s="1265">
        <f t="shared" si="5"/>
        <v>1</v>
      </c>
    </row>
    <row r="41" spans="1:29" ht="14.4">
      <c r="A41" s="367" t="s">
        <v>2048</v>
      </c>
      <c r="B41" s="368"/>
      <c r="C41" s="1082" t="s">
        <v>1</v>
      </c>
      <c r="D41" s="1083"/>
      <c r="E41" s="1084"/>
      <c r="F41" s="1085"/>
      <c r="G41" s="1086"/>
      <c r="H41" s="1087"/>
      <c r="I41" s="1084"/>
      <c r="J41" s="1087"/>
      <c r="K41" s="640"/>
      <c r="L41" s="2954"/>
      <c r="N41" s="2943"/>
      <c r="P41" s="3653" t="str">
        <f>A41</f>
        <v>成交单价（元/平方米）</v>
      </c>
      <c r="Q41" s="3653"/>
      <c r="R41" s="3654">
        <f>E41</f>
        <v>0</v>
      </c>
      <c r="S41" s="3654"/>
      <c r="T41" s="3654">
        <f>G41</f>
        <v>0</v>
      </c>
      <c r="U41" s="3654"/>
      <c r="V41" s="3654">
        <f>I41</f>
        <v>0</v>
      </c>
      <c r="W41" s="3654"/>
      <c r="X41" s="618"/>
      <c r="Y41" s="638"/>
      <c r="Z41" s="618"/>
      <c r="AA41" s="618"/>
      <c r="AB41" s="618"/>
      <c r="AC41" s="618"/>
    </row>
    <row r="42" spans="1:29" ht="15" thickBot="1">
      <c r="A42" s="374" t="s">
        <v>2131</v>
      </c>
      <c r="B42" s="375"/>
      <c r="C42" s="1088" t="e">
        <f>R43</f>
        <v>#DIV/0!</v>
      </c>
      <c r="D42" s="1725" t="s">
        <v>2499</v>
      </c>
      <c r="E42" s="1089" t="e">
        <f>R42</f>
        <v>#DIV/0!</v>
      </c>
      <c r="F42" s="1727"/>
      <c r="G42" s="1088" t="e">
        <f>T42</f>
        <v>#DIV/0!</v>
      </c>
      <c r="H42" s="1727"/>
      <c r="I42" s="1089" t="e">
        <f>V42</f>
        <v>#DIV/0!</v>
      </c>
      <c r="J42" s="1727"/>
      <c r="K42" s="2429">
        <f>F42+H42+J42</f>
        <v>0</v>
      </c>
      <c r="L42" s="2954"/>
      <c r="N42" s="2943"/>
      <c r="P42" s="3653" t="str">
        <f>A42</f>
        <v>比较价值（元/平方米）</v>
      </c>
      <c r="Q42" s="3653"/>
      <c r="R42" s="3654" t="e">
        <f>IF(E1="售价",ROUND(PRODUCT(R41,AA7:AA40),0),ROUND(PRODUCT(R41,AA7:AA40),1))</f>
        <v>#DIV/0!</v>
      </c>
      <c r="S42" s="3654"/>
      <c r="T42" s="3654" t="e">
        <f>IF(E1="售价",ROUND(PRODUCT(T41,AB7:AB40),0),ROUND(PRODUCT(T41,AB7:AB40),1))</f>
        <v>#DIV/0!</v>
      </c>
      <c r="U42" s="3654"/>
      <c r="V42" s="3654" t="e">
        <f>IF(E1="售价",ROUND(PRODUCT(V41,AC7:AC40),0),ROUND(PRODUCT(V41,AC7:AC40),1))</f>
        <v>#DIV/0!</v>
      </c>
      <c r="W42" s="3654"/>
      <c r="X42" s="618"/>
      <c r="Y42" s="618"/>
      <c r="Z42" s="618"/>
      <c r="AA42" s="618"/>
      <c r="AB42" s="618"/>
      <c r="AC42" s="618"/>
    </row>
    <row r="43" spans="1:29" ht="15" thickBot="1">
      <c r="A43" s="378" t="s">
        <v>2154</v>
      </c>
      <c r="B43" s="379"/>
      <c r="C43" s="1090" t="e">
        <f>R43</f>
        <v>#DIV/0!</v>
      </c>
      <c r="D43" s="1090"/>
      <c r="E43" s="1090"/>
      <c r="F43" s="1090"/>
      <c r="G43" s="1090"/>
      <c r="H43" s="1090"/>
      <c r="I43" s="1090"/>
      <c r="J43" s="1090"/>
      <c r="K43" s="641"/>
      <c r="L43" s="2954"/>
      <c r="P43" s="3655" t="str">
        <f>A43</f>
        <v>估价对象XX用房的比较价值（楼面单价，元/平方米）</v>
      </c>
      <c r="Q43" s="3656"/>
      <c r="R43" s="3657" t="e">
        <f>IF(E1="售价",ROUND(IF(D42="简单平均",AVERAGE(R42:V42),R42*F42+T42*H42+V42*J42),0),ROUND(IF(D42="简单平均",AVERAGE(R42:V42),R42*F42+T42*H42+V42*J42),1))</f>
        <v>#DIV/0!</v>
      </c>
      <c r="S43" s="3657"/>
      <c r="T43" s="3657"/>
      <c r="U43" s="3657"/>
      <c r="V43" s="3657"/>
      <c r="W43" s="3657"/>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2.2" thickBot="1">
      <c r="A51" s="620" t="s">
        <v>2136</v>
      </c>
      <c r="B51" s="618"/>
      <c r="C51" s="621"/>
      <c r="D51" s="621"/>
      <c r="E51" s="621"/>
      <c r="F51" s="622"/>
      <c r="G51" s="622"/>
      <c r="H51" s="621"/>
      <c r="I51" s="621"/>
      <c r="J51" s="621"/>
      <c r="K51" s="623"/>
      <c r="L51" s="624"/>
      <c r="M51" s="621"/>
      <c r="N51" s="2960"/>
      <c r="O51" s="2960"/>
      <c r="P51" s="389"/>
      <c r="Q51" s="390"/>
    </row>
    <row r="52" spans="1:17" s="394" customFormat="1" ht="14.4">
      <c r="A52" s="391" t="s">
        <v>2018</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2056</v>
      </c>
      <c r="B54" s="401"/>
      <c r="C54" s="402"/>
      <c r="D54" s="403"/>
      <c r="E54" s="403"/>
      <c r="F54" s="403"/>
      <c r="G54" s="403"/>
      <c r="H54" s="403"/>
      <c r="I54" s="403"/>
      <c r="J54" s="403"/>
      <c r="K54" s="403"/>
      <c r="L54" s="403"/>
      <c r="M54" s="404"/>
      <c r="N54" s="403"/>
      <c r="O54" s="405"/>
      <c r="P54" s="390"/>
      <c r="Q54" s="390"/>
    </row>
    <row r="55" spans="1:17" s="25" customFormat="1" ht="14.4">
      <c r="A55" s="406" t="s">
        <v>2020</v>
      </c>
      <c r="B55" s="396"/>
      <c r="C55" s="407" t="s">
        <v>2021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2059</v>
      </c>
      <c r="B57" s="413" t="s">
        <v>2024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2034</v>
      </c>
      <c r="B88" s="413" t="s">
        <v>2083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829.41000000000008</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2005</v>
      </c>
      <c r="B4" s="295"/>
      <c r="C4" s="3676" t="s">
        <v>2006</v>
      </c>
      <c r="D4" s="3677"/>
      <c r="E4" s="3678" t="s">
        <v>2007</v>
      </c>
      <c r="F4" s="3679"/>
      <c r="G4" s="3676" t="s">
        <v>2008</v>
      </c>
      <c r="H4" s="3677"/>
      <c r="I4" s="3676" t="s">
        <v>2009</v>
      </c>
      <c r="J4" s="3677"/>
      <c r="K4" s="496" t="s">
        <v>2010</v>
      </c>
      <c r="L4" s="2942"/>
      <c r="M4" s="2943"/>
      <c r="N4" s="2943"/>
      <c r="O4" s="2943"/>
      <c r="P4" s="3680" t="s">
        <v>2011</v>
      </c>
      <c r="Q4" s="3681"/>
      <c r="R4" s="3663" t="s">
        <v>2007</v>
      </c>
      <c r="S4" s="3664"/>
      <c r="T4" s="3663" t="s">
        <v>2008</v>
      </c>
      <c r="U4" s="3664"/>
      <c r="V4" s="3686" t="s">
        <v>2009</v>
      </c>
      <c r="W4" s="3686"/>
      <c r="X4" s="1263"/>
      <c r="Y4" s="3663" t="s">
        <v>2011</v>
      </c>
      <c r="Z4" s="3664"/>
      <c r="AA4" s="3673" t="s">
        <v>2007</v>
      </c>
      <c r="AB4" s="3674" t="s">
        <v>2008</v>
      </c>
      <c r="AC4" s="3673" t="s">
        <v>2009</v>
      </c>
    </row>
    <row r="5" spans="1:29">
      <c r="A5" s="297"/>
      <c r="B5" s="298"/>
      <c r="C5" s="3689" t="s">
        <v>2012</v>
      </c>
      <c r="D5" s="3690"/>
      <c r="E5" s="3687" t="s">
        <v>2013</v>
      </c>
      <c r="F5" s="3688"/>
      <c r="G5" s="3689" t="s">
        <v>2014</v>
      </c>
      <c r="H5" s="3690"/>
      <c r="I5" s="3689" t="s">
        <v>2015</v>
      </c>
      <c r="J5" s="3690"/>
      <c r="K5" s="496"/>
      <c r="L5" s="2942"/>
      <c r="M5" s="2943"/>
      <c r="N5" s="2943"/>
      <c r="O5" s="2943"/>
      <c r="P5" s="3682"/>
      <c r="Q5" s="3683"/>
      <c r="R5" s="3665"/>
      <c r="S5" s="3666"/>
      <c r="T5" s="3665"/>
      <c r="U5" s="3666"/>
      <c r="V5" s="3686"/>
      <c r="W5" s="3686"/>
      <c r="X5" s="1263"/>
      <c r="Y5" s="3665"/>
      <c r="Z5" s="3666"/>
      <c r="AA5" s="3674"/>
      <c r="AB5" s="3674"/>
      <c r="AC5" s="3674"/>
    </row>
    <row r="6" spans="1:29" ht="15" thickBot="1">
      <c r="A6" s="299"/>
      <c r="B6" s="300"/>
      <c r="C6" s="3691" t="s">
        <v>2016</v>
      </c>
      <c r="D6" s="3692"/>
      <c r="E6" s="3693" t="s">
        <v>2016</v>
      </c>
      <c r="F6" s="3694"/>
      <c r="G6" s="3691" t="s">
        <v>2016</v>
      </c>
      <c r="H6" s="3692"/>
      <c r="I6" s="3691" t="s">
        <v>2016</v>
      </c>
      <c r="J6" s="3692"/>
      <c r="K6" s="496" t="s">
        <v>2017</v>
      </c>
      <c r="L6" s="2942"/>
      <c r="M6" s="2943"/>
      <c r="N6" s="2943"/>
      <c r="O6" s="2943"/>
      <c r="P6" s="3684"/>
      <c r="Q6" s="3685"/>
      <c r="R6" s="3665"/>
      <c r="S6" s="3666"/>
      <c r="T6" s="3667"/>
      <c r="U6" s="3668"/>
      <c r="V6" s="3686"/>
      <c r="W6" s="3686"/>
      <c r="X6" s="1263"/>
      <c r="Y6" s="3667"/>
      <c r="Z6" s="3668"/>
      <c r="AA6" s="3675"/>
      <c r="AB6" s="3675"/>
      <c r="AC6" s="3675"/>
    </row>
    <row r="7" spans="1:29" s="25" customFormat="1" ht="15" thickBot="1">
      <c r="A7" s="301" t="s">
        <v>2018</v>
      </c>
      <c r="B7" s="302"/>
      <c r="C7" s="303">
        <f>'数据-取费表'!B2</f>
        <v>44776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61" t="s">
        <v>2019</v>
      </c>
      <c r="Q7" s="3669"/>
      <c r="R7" s="627" t="s">
        <v>25</v>
      </c>
      <c r="S7" s="628">
        <f t="shared" ref="S7:S14" si="0">F7</f>
        <v>0</v>
      </c>
      <c r="T7" s="627" t="s">
        <v>25</v>
      </c>
      <c r="U7" s="628">
        <f t="shared" ref="U7:U14" si="1">H7</f>
        <v>0</v>
      </c>
      <c r="V7" s="627" t="s">
        <v>25</v>
      </c>
      <c r="W7" s="628">
        <f t="shared" ref="W7:W14" si="2">J7</f>
        <v>0</v>
      </c>
      <c r="X7" s="629"/>
      <c r="Y7" s="3661" t="s">
        <v>2019</v>
      </c>
      <c r="Z7" s="3662"/>
      <c r="AA7" s="630" t="e">
        <f>D7/F7</f>
        <v>#DIV/0!</v>
      </c>
      <c r="AB7" s="630" t="e">
        <f>D7/H7</f>
        <v>#DIV/0!</v>
      </c>
      <c r="AC7" s="630" t="e">
        <f>D7/J7</f>
        <v>#DIV/0!</v>
      </c>
    </row>
    <row r="8" spans="1:29" s="25" customFormat="1" ht="1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61" t="s">
        <v>2022</v>
      </c>
      <c r="Q8" s="3662"/>
      <c r="R8" s="627" t="s">
        <v>25</v>
      </c>
      <c r="S8" s="628">
        <f t="shared" si="0"/>
        <v>0</v>
      </c>
      <c r="T8" s="627" t="s">
        <v>25</v>
      </c>
      <c r="U8" s="628">
        <f t="shared" si="1"/>
        <v>0</v>
      </c>
      <c r="V8" s="627" t="s">
        <v>25</v>
      </c>
      <c r="W8" s="628">
        <f t="shared" si="2"/>
        <v>0</v>
      </c>
      <c r="X8" s="629"/>
      <c r="Y8" s="3661" t="s">
        <v>2022</v>
      </c>
      <c r="Z8" s="3662"/>
      <c r="AA8" s="630" t="e">
        <f t="shared" ref="AA8:AA36" si="3">D8/F8</f>
        <v>#DIV/0!</v>
      </c>
      <c r="AB8" s="630" t="e">
        <f t="shared" ref="AB8:AB36" si="4">D8/H8</f>
        <v>#DIV/0!</v>
      </c>
      <c r="AC8" s="630" t="e">
        <f t="shared" ref="AC8:AC36" si="5">D8/J8</f>
        <v>#DIV/0!</v>
      </c>
    </row>
    <row r="9" spans="1:29" s="25" customFormat="1" ht="14.4">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53" t="s">
        <v>2025</v>
      </c>
      <c r="Q9" s="1255" t="str">
        <f t="shared" ref="Q9:Q14" si="6">B9</f>
        <v>用途</v>
      </c>
      <c r="R9" s="627" t="s">
        <v>25</v>
      </c>
      <c r="S9" s="628">
        <f t="shared" si="0"/>
        <v>100</v>
      </c>
      <c r="T9" s="627" t="s">
        <v>25</v>
      </c>
      <c r="U9" s="628">
        <f t="shared" si="1"/>
        <v>100</v>
      </c>
      <c r="V9" s="627" t="s">
        <v>25</v>
      </c>
      <c r="W9" s="628">
        <f t="shared" si="2"/>
        <v>100</v>
      </c>
      <c r="X9" s="629"/>
      <c r="Y9" s="3672" t="s">
        <v>2026</v>
      </c>
      <c r="Z9" s="19" t="str">
        <f t="shared" ref="Z9:Z14" si="7">Q9</f>
        <v>用途</v>
      </c>
      <c r="AA9" s="630">
        <f t="shared" si="3"/>
        <v>1</v>
      </c>
      <c r="AB9" s="630">
        <f t="shared" si="4"/>
        <v>1</v>
      </c>
      <c r="AC9" s="630">
        <f t="shared" si="5"/>
        <v>1</v>
      </c>
    </row>
    <row r="10" spans="1:29" s="317" customFormat="1" ht="28.8">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53"/>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53"/>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
      <c r="A14" s="294" t="s">
        <v>2029</v>
      </c>
      <c r="B14" s="511" t="s">
        <v>2167</v>
      </c>
      <c r="C14" s="1072" t="str">
        <f>IF(B1="工业",估价对象房地状况!G4,估价对象房地状况!C6)</f>
        <v>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0" t="s">
        <v>2030</v>
      </c>
      <c r="Q14" s="1262" t="str">
        <f t="shared" si="6"/>
        <v>交通便捷度</v>
      </c>
      <c r="R14" s="631" t="s">
        <v>25</v>
      </c>
      <c r="S14" s="632">
        <f t="shared" si="0"/>
        <v>100</v>
      </c>
      <c r="T14" s="631" t="s">
        <v>25</v>
      </c>
      <c r="U14" s="632">
        <f t="shared" si="1"/>
        <v>100</v>
      </c>
      <c r="V14" s="631" t="s">
        <v>25</v>
      </c>
      <c r="W14" s="632">
        <f t="shared" si="2"/>
        <v>100</v>
      </c>
      <c r="X14" s="1263"/>
      <c r="Y14" s="3670"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71"/>
      <c r="Q15" s="1262"/>
      <c r="R15" s="631"/>
      <c r="S15" s="632"/>
      <c r="T15" s="631"/>
      <c r="U15" s="632"/>
      <c r="V15" s="631"/>
      <c r="W15" s="632"/>
      <c r="X15" s="1263"/>
      <c r="Y15" s="3671"/>
      <c r="Z15" s="1264"/>
      <c r="AA15" s="1265">
        <v>1</v>
      </c>
      <c r="AB15" s="1265">
        <v>1</v>
      </c>
      <c r="AC15" s="1265">
        <v>1</v>
      </c>
    </row>
    <row r="16" spans="1:29" ht="15">
      <c r="A16" s="297"/>
      <c r="B16" s="513" t="s">
        <v>2145</v>
      </c>
      <c r="C16" s="1074" t="str">
        <f>IF(B1="工业",估价对象房地状况!G5,估价对象房地状况!C7)</f>
        <v>较好</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71"/>
      <c r="Q17" s="1262"/>
      <c r="R17" s="631"/>
      <c r="S17" s="632"/>
      <c r="T17" s="631"/>
      <c r="U17" s="632"/>
      <c r="V17" s="631"/>
      <c r="W17" s="632"/>
      <c r="X17" s="1263"/>
      <c r="Y17" s="3671"/>
      <c r="Z17" s="1264"/>
      <c r="AA17" s="1265">
        <v>1</v>
      </c>
      <c r="AB17" s="1265">
        <v>1</v>
      </c>
      <c r="AC17" s="1265">
        <v>1</v>
      </c>
    </row>
    <row r="18" spans="1:29" ht="15">
      <c r="A18" s="297"/>
      <c r="B18" s="515" t="s">
        <v>2146</v>
      </c>
      <c r="C18" s="1074" t="str">
        <f>IF(B1="工业",估价对象房地状况!G6,估价对象房地状况!C8)</f>
        <v>六通</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71"/>
      <c r="Q19" s="1262"/>
      <c r="R19" s="631"/>
      <c r="S19" s="632"/>
      <c r="T19" s="631"/>
      <c r="U19" s="632"/>
      <c r="V19" s="631"/>
      <c r="W19" s="632"/>
      <c r="X19" s="1263"/>
      <c r="Y19" s="3671"/>
      <c r="Z19" s="1264"/>
      <c r="AA19" s="1265">
        <v>1</v>
      </c>
      <c r="AB19" s="1265">
        <v>1</v>
      </c>
      <c r="AC19" s="1265">
        <v>1</v>
      </c>
    </row>
    <row r="20" spans="1:29" ht="15">
      <c r="A20" s="297"/>
      <c r="B20" s="513" t="s">
        <v>2168</v>
      </c>
      <c r="C20" s="1074" t="str">
        <f>IF(B1="工业",估价对象房地状况!G7,估价对象房地状况!C9)</f>
        <v>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71"/>
      <c r="Q21" s="1262"/>
      <c r="R21" s="631"/>
      <c r="S21" s="632"/>
      <c r="T21" s="631"/>
      <c r="U21" s="632"/>
      <c r="V21" s="631"/>
      <c r="W21" s="632"/>
      <c r="X21" s="1263"/>
      <c r="Y21" s="3671"/>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71"/>
      <c r="Q24" s="1262">
        <f t="shared" ref="Q24:Q36"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30">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58"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9"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59"/>
      <c r="Q27" s="633" t="str">
        <f t="shared" si="11"/>
        <v>项目停车位配比</v>
      </c>
      <c r="R27" s="634" t="s">
        <v>25</v>
      </c>
      <c r="S27" s="635">
        <f t="shared" si="12"/>
        <v>100</v>
      </c>
      <c r="T27" s="634" t="s">
        <v>25</v>
      </c>
      <c r="U27" s="635">
        <f t="shared" si="13"/>
        <v>100</v>
      </c>
      <c r="V27" s="634" t="s">
        <v>25</v>
      </c>
      <c r="W27" s="635">
        <f t="shared" si="14"/>
        <v>100</v>
      </c>
      <c r="X27" s="636"/>
      <c r="Y27" s="3659"/>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59"/>
      <c r="Q28" s="1262" t="str">
        <f t="shared" si="11"/>
        <v>公共部分装修</v>
      </c>
      <c r="R28" s="631" t="s">
        <v>25</v>
      </c>
      <c r="S28" s="632">
        <f t="shared" si="12"/>
        <v>100</v>
      </c>
      <c r="T28" s="631" t="s">
        <v>25</v>
      </c>
      <c r="U28" s="632">
        <f t="shared" si="13"/>
        <v>100</v>
      </c>
      <c r="V28" s="631" t="s">
        <v>25</v>
      </c>
      <c r="W28" s="632">
        <f t="shared" si="14"/>
        <v>100</v>
      </c>
      <c r="X28" s="1263"/>
      <c r="Y28" s="3659"/>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59"/>
      <c r="Q29" s="1262" t="str">
        <f t="shared" si="11"/>
        <v>成新率</v>
      </c>
      <c r="R29" s="631" t="s">
        <v>25</v>
      </c>
      <c r="S29" s="632" t="e">
        <f t="shared" si="12"/>
        <v>#N/A</v>
      </c>
      <c r="T29" s="631" t="s">
        <v>25</v>
      </c>
      <c r="U29" s="632" t="e">
        <f t="shared" si="13"/>
        <v>#N/A</v>
      </c>
      <c r="V29" s="631" t="s">
        <v>25</v>
      </c>
      <c r="W29" s="632" t="e">
        <f t="shared" si="14"/>
        <v>#N/A</v>
      </c>
      <c r="X29" s="1263"/>
      <c r="Y29" s="3659"/>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59"/>
      <c r="Q30" s="1262" t="str">
        <f t="shared" si="11"/>
        <v>物业等级</v>
      </c>
      <c r="R30" s="631" t="s">
        <v>25</v>
      </c>
      <c r="S30" s="632">
        <f t="shared" si="12"/>
        <v>100</v>
      </c>
      <c r="T30" s="631" t="s">
        <v>25</v>
      </c>
      <c r="U30" s="632">
        <f t="shared" si="13"/>
        <v>100</v>
      </c>
      <c r="V30" s="631" t="s">
        <v>25</v>
      </c>
      <c r="W30" s="632">
        <f t="shared" si="14"/>
        <v>100</v>
      </c>
      <c r="X30" s="1263"/>
      <c r="Y30" s="3659"/>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59"/>
      <c r="Q31" s="1255" t="str">
        <f t="shared" si="11"/>
        <v>停车位面积</v>
      </c>
      <c r="R31" s="627" t="s">
        <v>25</v>
      </c>
      <c r="S31" s="628" t="e">
        <f t="shared" si="12"/>
        <v>#N/A</v>
      </c>
      <c r="T31" s="627" t="s">
        <v>25</v>
      </c>
      <c r="U31" s="628" t="e">
        <f t="shared" si="13"/>
        <v>#N/A</v>
      </c>
      <c r="V31" s="627" t="s">
        <v>25</v>
      </c>
      <c r="W31" s="628" t="e">
        <f t="shared" si="14"/>
        <v>#N/A</v>
      </c>
      <c r="X31" s="629"/>
      <c r="Y31" s="3659"/>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59" t="s">
        <v>2036</v>
      </c>
      <c r="Q32" s="1262" t="str">
        <f t="shared" si="11"/>
        <v>车位类型</v>
      </c>
      <c r="R32" s="631" t="s">
        <v>25</v>
      </c>
      <c r="S32" s="632">
        <f t="shared" si="12"/>
        <v>100</v>
      </c>
      <c r="T32" s="631" t="s">
        <v>25</v>
      </c>
      <c r="U32" s="632">
        <f t="shared" si="13"/>
        <v>100</v>
      </c>
      <c r="V32" s="631" t="s">
        <v>25</v>
      </c>
      <c r="W32" s="632">
        <f t="shared" si="14"/>
        <v>100</v>
      </c>
      <c r="X32" s="1263"/>
      <c r="Y32" s="3659"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59"/>
      <c r="Q33" s="1262" t="str">
        <f t="shared" si="11"/>
        <v>是否直接入户</v>
      </c>
      <c r="R33" s="631" t="s">
        <v>25</v>
      </c>
      <c r="S33" s="632">
        <f t="shared" si="12"/>
        <v>100</v>
      </c>
      <c r="T33" s="631" t="s">
        <v>25</v>
      </c>
      <c r="U33" s="632">
        <f t="shared" si="13"/>
        <v>100</v>
      </c>
      <c r="V33" s="631" t="s">
        <v>25</v>
      </c>
      <c r="W33" s="632">
        <f t="shared" si="14"/>
        <v>100</v>
      </c>
      <c r="X33" s="1263"/>
      <c r="Y33" s="365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59"/>
      <c r="Q34" s="1262">
        <f t="shared" si="11"/>
        <v>111</v>
      </c>
      <c r="R34" s="631" t="s">
        <v>25</v>
      </c>
      <c r="S34" s="632">
        <f t="shared" si="12"/>
        <v>100</v>
      </c>
      <c r="T34" s="631" t="s">
        <v>25</v>
      </c>
      <c r="U34" s="632">
        <f t="shared" si="13"/>
        <v>100</v>
      </c>
      <c r="V34" s="631" t="s">
        <v>25</v>
      </c>
      <c r="W34" s="632">
        <f t="shared" si="14"/>
        <v>100</v>
      </c>
      <c r="X34" s="1263"/>
      <c r="Y34" s="365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59"/>
      <c r="Q35" s="633">
        <f t="shared" si="11"/>
        <v>111</v>
      </c>
      <c r="R35" s="634" t="s">
        <v>25</v>
      </c>
      <c r="S35" s="635">
        <f t="shared" si="12"/>
        <v>100</v>
      </c>
      <c r="T35" s="634" t="s">
        <v>25</v>
      </c>
      <c r="U35" s="635">
        <f t="shared" si="13"/>
        <v>100</v>
      </c>
      <c r="V35" s="634" t="s">
        <v>25</v>
      </c>
      <c r="W35" s="635">
        <f t="shared" si="14"/>
        <v>100</v>
      </c>
      <c r="X35" s="636"/>
      <c r="Y35" s="3659"/>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59"/>
      <c r="Q36" s="1262">
        <f t="shared" si="11"/>
        <v>111</v>
      </c>
      <c r="R36" s="631" t="s">
        <v>25</v>
      </c>
      <c r="S36" s="632">
        <f t="shared" si="12"/>
        <v>100</v>
      </c>
      <c r="T36" s="631" t="s">
        <v>25</v>
      </c>
      <c r="U36" s="632">
        <f t="shared" si="13"/>
        <v>100</v>
      </c>
      <c r="V36" s="631" t="s">
        <v>25</v>
      </c>
      <c r="W36" s="632">
        <f t="shared" si="14"/>
        <v>100</v>
      </c>
      <c r="X36" s="1263"/>
      <c r="Y36" s="3659"/>
      <c r="Z36" s="1264">
        <f t="shared" si="15"/>
        <v>111</v>
      </c>
      <c r="AA36" s="1265">
        <f t="shared" si="3"/>
        <v>1</v>
      </c>
      <c r="AB36" s="1265">
        <f t="shared" si="4"/>
        <v>1</v>
      </c>
      <c r="AC36" s="1265">
        <f t="shared" si="5"/>
        <v>1</v>
      </c>
    </row>
    <row r="37" spans="1:29" ht="14.4">
      <c r="A37" s="367" t="s">
        <v>2178</v>
      </c>
      <c r="B37" s="798" t="s">
        <v>2179</v>
      </c>
      <c r="C37" s="1082" t="s">
        <v>1</v>
      </c>
      <c r="D37" s="1083"/>
      <c r="E37" s="1084"/>
      <c r="F37" s="1085"/>
      <c r="G37" s="1086"/>
      <c r="H37" s="1087"/>
      <c r="I37" s="1084"/>
      <c r="J37" s="1087"/>
      <c r="K37" s="503"/>
      <c r="L37" s="2954"/>
      <c r="N37" s="2943"/>
      <c r="P37" s="3653" t="str">
        <f>A37</f>
        <v>成交单价</v>
      </c>
      <c r="Q37" s="3653"/>
      <c r="R37" s="3654">
        <f>E37</f>
        <v>0</v>
      </c>
      <c r="S37" s="3654"/>
      <c r="T37" s="3654">
        <f>G37</f>
        <v>0</v>
      </c>
      <c r="U37" s="3654"/>
      <c r="V37" s="3654">
        <f>I37</f>
        <v>0</v>
      </c>
      <c r="W37" s="3654"/>
      <c r="X37" s="618"/>
      <c r="Y37" s="638"/>
      <c r="Z37" s="618"/>
      <c r="AA37" s="618"/>
      <c r="AB37" s="618"/>
      <c r="AC37" s="618"/>
    </row>
    <row r="38" spans="1:29" ht="15" thickBot="1">
      <c r="A38" s="374" t="s">
        <v>2180</v>
      </c>
      <c r="B38" s="375" t="str">
        <f>B37</f>
        <v>元/平方米</v>
      </c>
      <c r="C38" s="1088" t="e">
        <f>R39</f>
        <v>#DIV/0!</v>
      </c>
      <c r="D38" s="1725" t="s">
        <v>2499</v>
      </c>
      <c r="E38" s="1089" t="e">
        <f>R38</f>
        <v>#DIV/0!</v>
      </c>
      <c r="F38" s="1727"/>
      <c r="G38" s="1088" t="e">
        <f>T38</f>
        <v>#DIV/0!</v>
      </c>
      <c r="H38" s="1727"/>
      <c r="I38" s="1089" t="e">
        <f>V38</f>
        <v>#DIV/0!</v>
      </c>
      <c r="J38" s="1727"/>
      <c r="K38" s="2429">
        <f>F38+H38+J38</f>
        <v>0</v>
      </c>
      <c r="L38" s="2954"/>
      <c r="P38" s="3653" t="str">
        <f>A38</f>
        <v>比较价值</v>
      </c>
      <c r="Q38" s="3653"/>
      <c r="R38" s="3654" t="e">
        <f>IF(E1="售价",ROUND(PRODUCT(R37,AA7:AA36),0),ROUND(PRODUCT(R37,AA7:AA36),1))</f>
        <v>#DIV/0!</v>
      </c>
      <c r="S38" s="3654"/>
      <c r="T38" s="3654" t="e">
        <f>IF(E1="售价",ROUND(PRODUCT(T37,AB7:AB36),0),ROUND(PRODUCT(T37,AB7:AB36),1))</f>
        <v>#DIV/0!</v>
      </c>
      <c r="U38" s="3654"/>
      <c r="V38" s="3654" t="e">
        <f>IF(E1="售价",ROUND(PRODUCT(V37,AC7:AC36),0),ROUND(PRODUCT(V37,AC7:AC36),1))</f>
        <v>#DIV/0!</v>
      </c>
      <c r="W38" s="3654"/>
      <c r="X38" s="618"/>
      <c r="Y38" s="618"/>
      <c r="Z38" s="618"/>
      <c r="AA38" s="618"/>
      <c r="AB38" s="618"/>
      <c r="AC38" s="618"/>
    </row>
    <row r="39" spans="1:29" ht="15" thickBot="1">
      <c r="A39" s="378" t="s">
        <v>2181</v>
      </c>
      <c r="B39" s="379"/>
      <c r="C39" s="1090" t="e">
        <f>R39</f>
        <v>#DIV/0!</v>
      </c>
      <c r="D39" s="1090"/>
      <c r="E39" s="1090"/>
      <c r="F39" s="1090"/>
      <c r="G39" s="1090"/>
      <c r="H39" s="1090"/>
      <c r="I39" s="1090"/>
      <c r="J39" s="1090"/>
      <c r="K39" s="504"/>
      <c r="L39" s="2954"/>
      <c r="P39" s="3655" t="str">
        <f>A39</f>
        <v>估价对象XX用房的比较价值（楼面单价，元/平方米）</v>
      </c>
      <c r="Q39" s="3656"/>
      <c r="R39" s="3657" t="e">
        <f>IF(E1="售价",ROUND(IF(D38="简单平均",AVERAGE(R38:W38),R38*F38+T38*H38+V38*J38),0),ROUND(IF(D38="简单平均",AVERAGE(R38:V38),R38*F38+T38*H38+V38*J38),1))</f>
        <v>#DIV/0!</v>
      </c>
      <c r="S39" s="3657"/>
      <c r="T39" s="3657"/>
      <c r="U39" s="3657"/>
      <c r="V39" s="3657"/>
      <c r="W39" s="3657"/>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2.2"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2056</v>
      </c>
      <c r="B50" s="401"/>
      <c r="C50" s="402"/>
      <c r="D50" s="403"/>
      <c r="E50" s="403"/>
      <c r="F50" s="403"/>
      <c r="G50" s="403"/>
      <c r="H50" s="403"/>
      <c r="I50" s="403"/>
      <c r="J50" s="403"/>
      <c r="K50" s="403"/>
      <c r="L50" s="403"/>
      <c r="M50" s="404"/>
      <c r="N50" s="403"/>
      <c r="O50" s="405"/>
      <c r="P50" s="390"/>
      <c r="Q50" s="390"/>
    </row>
    <row r="51" spans="1:17" s="25" customFormat="1" ht="14.4">
      <c r="A51" s="406" t="s">
        <v>2020</v>
      </c>
      <c r="B51" s="396"/>
      <c r="C51" s="407" t="s">
        <v>2021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2059</v>
      </c>
      <c r="B53" s="413" t="s">
        <v>2024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2034</v>
      </c>
      <c r="B79" s="413" t="s">
        <v>2188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2189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2165</v>
      </c>
      <c r="B1" s="1510"/>
      <c r="C1" s="1150"/>
      <c r="D1" s="1160"/>
      <c r="E1" s="1487" t="s">
        <v>2500</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829.41000000000008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2005</v>
      </c>
      <c r="B4" s="295"/>
      <c r="C4" s="3676" t="s">
        <v>2006</v>
      </c>
      <c r="D4" s="3677"/>
      <c r="E4" s="3678" t="s">
        <v>2007</v>
      </c>
      <c r="F4" s="3679"/>
      <c r="G4" s="3676" t="s">
        <v>2008</v>
      </c>
      <c r="H4" s="3677"/>
      <c r="I4" s="3676" t="s">
        <v>2009</v>
      </c>
      <c r="J4" s="3677"/>
      <c r="K4" s="496" t="s">
        <v>2010</v>
      </c>
      <c r="L4" s="2942"/>
      <c r="M4" s="2943"/>
      <c r="N4" s="2943"/>
      <c r="O4" s="2943"/>
      <c r="P4" s="3680" t="s">
        <v>2011</v>
      </c>
      <c r="Q4" s="3681"/>
      <c r="R4" s="3663" t="s">
        <v>2007</v>
      </c>
      <c r="S4" s="3664"/>
      <c r="T4" s="3663" t="s">
        <v>2008</v>
      </c>
      <c r="U4" s="3664"/>
      <c r="V4" s="3686" t="s">
        <v>2009</v>
      </c>
      <c r="W4" s="3686"/>
      <c r="X4" s="1263"/>
      <c r="Y4" s="3663" t="s">
        <v>2011</v>
      </c>
      <c r="Z4" s="3664"/>
      <c r="AA4" s="3673" t="s">
        <v>2007</v>
      </c>
      <c r="AB4" s="3674" t="s">
        <v>2008</v>
      </c>
      <c r="AC4" s="3673" t="s">
        <v>2009</v>
      </c>
    </row>
    <row r="5" spans="1:29">
      <c r="A5" s="297"/>
      <c r="B5" s="298"/>
      <c r="C5" s="3689" t="s">
        <v>2012</v>
      </c>
      <c r="D5" s="3690"/>
      <c r="E5" s="3687" t="s">
        <v>2013</v>
      </c>
      <c r="F5" s="3688"/>
      <c r="G5" s="3689" t="s">
        <v>2014</v>
      </c>
      <c r="H5" s="3690"/>
      <c r="I5" s="3689" t="s">
        <v>2015</v>
      </c>
      <c r="J5" s="3690"/>
      <c r="K5" s="496"/>
      <c r="L5" s="2942"/>
      <c r="M5" s="2943"/>
      <c r="N5" s="2943"/>
      <c r="O5" s="2943"/>
      <c r="P5" s="3682"/>
      <c r="Q5" s="3683"/>
      <c r="R5" s="3665"/>
      <c r="S5" s="3666"/>
      <c r="T5" s="3665"/>
      <c r="U5" s="3666"/>
      <c r="V5" s="3686"/>
      <c r="W5" s="3686"/>
      <c r="X5" s="1263"/>
      <c r="Y5" s="3665"/>
      <c r="Z5" s="3666"/>
      <c r="AA5" s="3674"/>
      <c r="AB5" s="3674"/>
      <c r="AC5" s="3674"/>
    </row>
    <row r="6" spans="1:29" ht="15" thickBot="1">
      <c r="A6" s="299"/>
      <c r="B6" s="300"/>
      <c r="C6" s="3691" t="s">
        <v>2016</v>
      </c>
      <c r="D6" s="3692"/>
      <c r="E6" s="3693" t="s">
        <v>2016</v>
      </c>
      <c r="F6" s="3694"/>
      <c r="G6" s="3691" t="s">
        <v>2016</v>
      </c>
      <c r="H6" s="3692"/>
      <c r="I6" s="3691" t="s">
        <v>2016</v>
      </c>
      <c r="J6" s="3692"/>
      <c r="K6" s="496" t="s">
        <v>2017</v>
      </c>
      <c r="L6" s="2942"/>
      <c r="M6" s="2943"/>
      <c r="N6" s="2943"/>
      <c r="O6" s="2943"/>
      <c r="P6" s="3684"/>
      <c r="Q6" s="3685"/>
      <c r="R6" s="3665"/>
      <c r="S6" s="3666"/>
      <c r="T6" s="3667"/>
      <c r="U6" s="3668"/>
      <c r="V6" s="3686"/>
      <c r="W6" s="3686"/>
      <c r="X6" s="1263"/>
      <c r="Y6" s="3667"/>
      <c r="Z6" s="3668"/>
      <c r="AA6" s="3675"/>
      <c r="AB6" s="3675"/>
      <c r="AC6" s="3675"/>
    </row>
    <row r="7" spans="1:29" s="25" customFormat="1" ht="15" thickBot="1">
      <c r="A7" s="301" t="s">
        <v>2018</v>
      </c>
      <c r="B7" s="302"/>
      <c r="C7" s="303">
        <f>'数据-取费表'!B2</f>
        <v>44776</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61" t="s">
        <v>2019</v>
      </c>
      <c r="Q7" s="3669"/>
      <c r="R7" s="627" t="s">
        <v>25</v>
      </c>
      <c r="S7" s="628">
        <f t="shared" ref="S7:S14" si="0">F7</f>
        <v>0</v>
      </c>
      <c r="T7" s="627" t="s">
        <v>25</v>
      </c>
      <c r="U7" s="628">
        <f t="shared" ref="U7:U14" si="1">H7</f>
        <v>0</v>
      </c>
      <c r="V7" s="627" t="s">
        <v>25</v>
      </c>
      <c r="W7" s="628">
        <f t="shared" ref="W7:W14" si="2">J7</f>
        <v>0</v>
      </c>
      <c r="X7" s="629"/>
      <c r="Y7" s="3661" t="s">
        <v>2019</v>
      </c>
      <c r="Z7" s="3662"/>
      <c r="AA7" s="630" t="e">
        <f>D7/F7</f>
        <v>#DIV/0!</v>
      </c>
      <c r="AB7" s="630" t="e">
        <f>D7/H7</f>
        <v>#DIV/0!</v>
      </c>
      <c r="AC7" s="630" t="e">
        <f>D7/J7</f>
        <v>#DIV/0!</v>
      </c>
    </row>
    <row r="8" spans="1:29" s="25" customFormat="1" ht="1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61" t="s">
        <v>2022</v>
      </c>
      <c r="Q8" s="3662"/>
      <c r="R8" s="627" t="s">
        <v>25</v>
      </c>
      <c r="S8" s="628">
        <f t="shared" si="0"/>
        <v>0</v>
      </c>
      <c r="T8" s="627" t="s">
        <v>25</v>
      </c>
      <c r="U8" s="628">
        <f t="shared" si="1"/>
        <v>0</v>
      </c>
      <c r="V8" s="627" t="s">
        <v>25</v>
      </c>
      <c r="W8" s="628">
        <f t="shared" si="2"/>
        <v>0</v>
      </c>
      <c r="X8" s="629"/>
      <c r="Y8" s="3661" t="s">
        <v>2022</v>
      </c>
      <c r="Z8" s="3662"/>
      <c r="AA8" s="630" t="e">
        <f t="shared" ref="AA8:AA34" si="3">D8/F8</f>
        <v>#DIV/0!</v>
      </c>
      <c r="AB8" s="630" t="e">
        <f t="shared" ref="AB8:AB34" si="4">D8/H8</f>
        <v>#DIV/0!</v>
      </c>
      <c r="AC8" s="630" t="e">
        <f t="shared" ref="AC8:AC34" si="5">D8/J8</f>
        <v>#DIV/0!</v>
      </c>
    </row>
    <row r="9" spans="1:29" s="25" customFormat="1" ht="14.4">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53" t="s">
        <v>2025</v>
      </c>
      <c r="Q9" s="1255" t="str">
        <f t="shared" ref="Q9:Q14" si="6">B9</f>
        <v>用途</v>
      </c>
      <c r="R9" s="627" t="s">
        <v>25</v>
      </c>
      <c r="S9" s="628">
        <f t="shared" si="0"/>
        <v>100</v>
      </c>
      <c r="T9" s="627" t="s">
        <v>25</v>
      </c>
      <c r="U9" s="628">
        <f t="shared" si="1"/>
        <v>100</v>
      </c>
      <c r="V9" s="627" t="s">
        <v>25</v>
      </c>
      <c r="W9" s="628">
        <f t="shared" si="2"/>
        <v>100</v>
      </c>
      <c r="X9" s="629"/>
      <c r="Y9" s="3672" t="s">
        <v>2026</v>
      </c>
      <c r="Z9" s="19" t="str">
        <f t="shared" ref="Z9:Z14" si="7">Q9</f>
        <v>用途</v>
      </c>
      <c r="AA9" s="630">
        <f t="shared" si="3"/>
        <v>1</v>
      </c>
      <c r="AB9" s="630">
        <f t="shared" si="4"/>
        <v>1</v>
      </c>
      <c r="AC9" s="630">
        <f t="shared" si="5"/>
        <v>1</v>
      </c>
    </row>
    <row r="10" spans="1:29" s="317" customFormat="1" ht="28.8">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53"/>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53"/>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
      <c r="A14" s="329" t="s">
        <v>2029</v>
      </c>
      <c r="B14" s="22" t="s">
        <v>2167</v>
      </c>
      <c r="C14" s="150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0" t="s">
        <v>2030</v>
      </c>
      <c r="Q14" s="1262" t="str">
        <f t="shared" si="6"/>
        <v>交通便捷度</v>
      </c>
      <c r="R14" s="631" t="s">
        <v>25</v>
      </c>
      <c r="S14" s="632">
        <f t="shared" si="0"/>
        <v>100</v>
      </c>
      <c r="T14" s="631" t="s">
        <v>25</v>
      </c>
      <c r="U14" s="632">
        <f t="shared" si="1"/>
        <v>100</v>
      </c>
      <c r="V14" s="631" t="s">
        <v>25</v>
      </c>
      <c r="W14" s="632">
        <f t="shared" si="2"/>
        <v>100</v>
      </c>
      <c r="X14" s="1263"/>
      <c r="Y14" s="3670"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71"/>
      <c r="Q15" s="1262"/>
      <c r="R15" s="631"/>
      <c r="S15" s="632"/>
      <c r="T15" s="631"/>
      <c r="U15" s="632"/>
      <c r="V15" s="631"/>
      <c r="W15" s="632"/>
      <c r="X15" s="1263"/>
      <c r="Y15" s="3671"/>
      <c r="Z15" s="1264"/>
      <c r="AA15" s="1265">
        <v>1</v>
      </c>
      <c r="AB15" s="1265">
        <v>1</v>
      </c>
      <c r="AC15" s="1265">
        <v>1</v>
      </c>
    </row>
    <row r="16" spans="1:29" ht="15">
      <c r="A16" s="318"/>
      <c r="B16" s="513" t="s">
        <v>2145</v>
      </c>
      <c r="C16" s="149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71"/>
      <c r="Q17" s="1262"/>
      <c r="R17" s="631"/>
      <c r="S17" s="632"/>
      <c r="T17" s="631"/>
      <c r="U17" s="632"/>
      <c r="V17" s="631"/>
      <c r="W17" s="632"/>
      <c r="X17" s="1263"/>
      <c r="Y17" s="3671"/>
      <c r="Z17" s="1264"/>
      <c r="AA17" s="1265">
        <v>1</v>
      </c>
      <c r="AB17" s="1265">
        <v>1</v>
      </c>
      <c r="AC17" s="1265">
        <v>1</v>
      </c>
    </row>
    <row r="18" spans="1:29" ht="15">
      <c r="A18" s="318"/>
      <c r="B18" s="515" t="s">
        <v>2146</v>
      </c>
      <c r="C18" s="1495"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71"/>
      <c r="Q19" s="1262"/>
      <c r="R19" s="631"/>
      <c r="S19" s="632"/>
      <c r="T19" s="631"/>
      <c r="U19" s="632"/>
      <c r="V19" s="631"/>
      <c r="W19" s="632"/>
      <c r="X19" s="1263"/>
      <c r="Y19" s="3671"/>
      <c r="Z19" s="1264"/>
      <c r="AA19" s="1265">
        <v>1</v>
      </c>
      <c r="AB19" s="1265">
        <v>1</v>
      </c>
      <c r="AC19" s="1265">
        <v>1</v>
      </c>
    </row>
    <row r="20" spans="1:29" ht="15">
      <c r="A20" s="318"/>
      <c r="B20" s="340" t="s">
        <v>2168</v>
      </c>
      <c r="C20" s="149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71"/>
      <c r="Q21" s="1262"/>
      <c r="R21" s="631"/>
      <c r="S21" s="632"/>
      <c r="T21" s="631"/>
      <c r="U21" s="632"/>
      <c r="V21" s="631"/>
      <c r="W21" s="632"/>
      <c r="X21" s="1263"/>
      <c r="Y21" s="3671"/>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1"/>
      <c r="Q24" s="1262">
        <f t="shared" ref="Q24:Q34"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30">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58"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9"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59"/>
      <c r="Q27" s="633" t="str">
        <f t="shared" si="11"/>
        <v>成新率</v>
      </c>
      <c r="R27" s="634" t="s">
        <v>25</v>
      </c>
      <c r="S27" s="635" t="e">
        <f t="shared" si="12"/>
        <v>#N/A</v>
      </c>
      <c r="T27" s="634" t="s">
        <v>25</v>
      </c>
      <c r="U27" s="635" t="e">
        <f t="shared" si="13"/>
        <v>#N/A</v>
      </c>
      <c r="V27" s="634" t="s">
        <v>25</v>
      </c>
      <c r="W27" s="635" t="e">
        <f t="shared" si="14"/>
        <v>#N/A</v>
      </c>
      <c r="X27" s="636"/>
      <c r="Y27" s="3659"/>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59"/>
      <c r="Q28" s="1262" t="str">
        <f t="shared" si="11"/>
        <v>物业等级</v>
      </c>
      <c r="R28" s="631" t="s">
        <v>25</v>
      </c>
      <c r="S28" s="632">
        <f t="shared" si="12"/>
        <v>100</v>
      </c>
      <c r="T28" s="631" t="s">
        <v>25</v>
      </c>
      <c r="U28" s="632">
        <f t="shared" si="13"/>
        <v>100</v>
      </c>
      <c r="V28" s="631" t="s">
        <v>25</v>
      </c>
      <c r="W28" s="632">
        <f t="shared" si="14"/>
        <v>100</v>
      </c>
      <c r="X28" s="1263"/>
      <c r="Y28" s="3659"/>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59"/>
      <c r="Q29" s="1262" t="str">
        <f t="shared" si="11"/>
        <v>有无电梯</v>
      </c>
      <c r="R29" s="631" t="s">
        <v>25</v>
      </c>
      <c r="S29" s="632">
        <f t="shared" si="12"/>
        <v>100</v>
      </c>
      <c r="T29" s="631" t="s">
        <v>25</v>
      </c>
      <c r="U29" s="632">
        <f t="shared" si="13"/>
        <v>100</v>
      </c>
      <c r="V29" s="631" t="s">
        <v>25</v>
      </c>
      <c r="W29" s="632">
        <f t="shared" si="14"/>
        <v>100</v>
      </c>
      <c r="X29" s="1263"/>
      <c r="Y29" s="3659"/>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59"/>
      <c r="Q30" s="1262" t="str">
        <f t="shared" si="11"/>
        <v>建筑面积</v>
      </c>
      <c r="R30" s="631" t="s">
        <v>25</v>
      </c>
      <c r="S30" s="632" t="e">
        <f t="shared" si="12"/>
        <v>#N/A</v>
      </c>
      <c r="T30" s="631" t="s">
        <v>25</v>
      </c>
      <c r="U30" s="632" t="e">
        <f t="shared" si="13"/>
        <v>#N/A</v>
      </c>
      <c r="V30" s="631" t="s">
        <v>25</v>
      </c>
      <c r="W30" s="632" t="e">
        <f t="shared" si="14"/>
        <v>#N/A</v>
      </c>
      <c r="X30" s="1263"/>
      <c r="Y30" s="3659"/>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59"/>
      <c r="Q31" s="1255" t="str">
        <f t="shared" si="11"/>
        <v>是否封闭</v>
      </c>
      <c r="R31" s="627" t="s">
        <v>25</v>
      </c>
      <c r="S31" s="628">
        <f t="shared" si="12"/>
        <v>100</v>
      </c>
      <c r="T31" s="627" t="s">
        <v>25</v>
      </c>
      <c r="U31" s="628">
        <f t="shared" si="13"/>
        <v>100</v>
      </c>
      <c r="V31" s="627" t="s">
        <v>25</v>
      </c>
      <c r="W31" s="628">
        <f t="shared" si="14"/>
        <v>100</v>
      </c>
      <c r="X31" s="629"/>
      <c r="Y31" s="365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59" t="s">
        <v>2036</v>
      </c>
      <c r="Q32" s="1262">
        <f t="shared" si="11"/>
        <v>111</v>
      </c>
      <c r="R32" s="631" t="s">
        <v>25</v>
      </c>
      <c r="S32" s="632">
        <f t="shared" si="12"/>
        <v>100</v>
      </c>
      <c r="T32" s="631" t="s">
        <v>25</v>
      </c>
      <c r="U32" s="632">
        <f t="shared" si="13"/>
        <v>100</v>
      </c>
      <c r="V32" s="631" t="s">
        <v>25</v>
      </c>
      <c r="W32" s="632">
        <f t="shared" si="14"/>
        <v>100</v>
      </c>
      <c r="X32" s="1263"/>
      <c r="Y32" s="3659"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59"/>
      <c r="Q33" s="1262">
        <f t="shared" si="11"/>
        <v>111</v>
      </c>
      <c r="R33" s="631" t="s">
        <v>25</v>
      </c>
      <c r="S33" s="632">
        <f t="shared" si="12"/>
        <v>100</v>
      </c>
      <c r="T33" s="631" t="s">
        <v>25</v>
      </c>
      <c r="U33" s="632">
        <f t="shared" si="13"/>
        <v>100</v>
      </c>
      <c r="V33" s="631" t="s">
        <v>25</v>
      </c>
      <c r="W33" s="632">
        <f t="shared" si="14"/>
        <v>100</v>
      </c>
      <c r="X33" s="1263"/>
      <c r="Y33" s="3659"/>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59"/>
      <c r="Q34" s="1262">
        <f t="shared" si="11"/>
        <v>111</v>
      </c>
      <c r="R34" s="631" t="s">
        <v>25</v>
      </c>
      <c r="S34" s="632">
        <f t="shared" si="12"/>
        <v>100</v>
      </c>
      <c r="T34" s="631" t="s">
        <v>25</v>
      </c>
      <c r="U34" s="632">
        <f t="shared" si="13"/>
        <v>100</v>
      </c>
      <c r="V34" s="631" t="s">
        <v>25</v>
      </c>
      <c r="W34" s="632">
        <f t="shared" si="14"/>
        <v>100</v>
      </c>
      <c r="X34" s="1263"/>
      <c r="Y34" s="3659"/>
      <c r="Z34" s="1264">
        <f t="shared" si="15"/>
        <v>111</v>
      </c>
      <c r="AA34" s="1265">
        <f t="shared" si="3"/>
        <v>1</v>
      </c>
      <c r="AB34" s="1265">
        <f t="shared" si="4"/>
        <v>1</v>
      </c>
      <c r="AC34" s="1265">
        <f t="shared" si="5"/>
        <v>1</v>
      </c>
    </row>
    <row r="35" spans="1:29" ht="14.4">
      <c r="A35" s="367" t="s">
        <v>2048</v>
      </c>
      <c r="B35" s="368"/>
      <c r="C35" s="1082" t="s">
        <v>1</v>
      </c>
      <c r="D35" s="1083"/>
      <c r="E35" s="1084"/>
      <c r="F35" s="1085"/>
      <c r="G35" s="1086"/>
      <c r="H35" s="1087"/>
      <c r="I35" s="1084"/>
      <c r="J35" s="1087"/>
      <c r="K35" s="640"/>
      <c r="L35" s="2954"/>
      <c r="N35" s="2943"/>
      <c r="P35" s="3653" t="str">
        <f>A35</f>
        <v>成交单价（元/平方米）</v>
      </c>
      <c r="Q35" s="3653"/>
      <c r="R35" s="3654">
        <f>E35</f>
        <v>0</v>
      </c>
      <c r="S35" s="3654"/>
      <c r="T35" s="3654">
        <f>G35</f>
        <v>0</v>
      </c>
      <c r="U35" s="3654"/>
      <c r="V35" s="3654">
        <f>I35</f>
        <v>0</v>
      </c>
      <c r="W35" s="3654"/>
      <c r="X35" s="618"/>
      <c r="Y35" s="638"/>
      <c r="Z35" s="618"/>
      <c r="AA35" s="618"/>
      <c r="AB35" s="618"/>
      <c r="AC35" s="618"/>
    </row>
    <row r="36" spans="1:29" ht="15" thickBot="1">
      <c r="A36" s="374" t="s">
        <v>2131</v>
      </c>
      <c r="B36" s="375"/>
      <c r="C36" s="1088" t="e">
        <f>R37</f>
        <v>#DIV/0!</v>
      </c>
      <c r="D36" s="1725" t="s">
        <v>2499</v>
      </c>
      <c r="E36" s="1089" t="e">
        <f>R36</f>
        <v>#DIV/0!</v>
      </c>
      <c r="F36" s="1727"/>
      <c r="G36" s="1088" t="e">
        <f>T36</f>
        <v>#DIV/0!</v>
      </c>
      <c r="H36" s="1727"/>
      <c r="I36" s="1089" t="e">
        <f>V36</f>
        <v>#DIV/0!</v>
      </c>
      <c r="J36" s="1727"/>
      <c r="K36" s="2429">
        <f>F36+H36+J36</f>
        <v>0</v>
      </c>
      <c r="L36" s="2954"/>
      <c r="N36" s="2943"/>
      <c r="P36" s="3653" t="str">
        <f>A36</f>
        <v>比较价值（元/平方米）</v>
      </c>
      <c r="Q36" s="3653"/>
      <c r="R36" s="3654" t="e">
        <f>IF(E1="售价",ROUND(PRODUCT(R35,AA7:AA34),0),ROUND(PRODUCT(R35,AA7:AA34),1))</f>
        <v>#DIV/0!</v>
      </c>
      <c r="S36" s="3654"/>
      <c r="T36" s="3654" t="e">
        <f>IF(E1="售价",ROUND(PRODUCT(T35,AB7:AB34),0),ROUND(PRODUCT(T35,AB7:AB34),1))</f>
        <v>#DIV/0!</v>
      </c>
      <c r="U36" s="3654"/>
      <c r="V36" s="3654" t="e">
        <f>IF(E1="售价",ROUND(PRODUCT(V35,AC7:AC34),0),ROUND(PRODUCT(V35,AC7:AC34),1))</f>
        <v>#DIV/0!</v>
      </c>
      <c r="W36" s="3654"/>
      <c r="X36" s="618"/>
      <c r="Y36" s="618"/>
      <c r="Z36" s="618"/>
      <c r="AA36" s="618"/>
      <c r="AB36" s="618"/>
      <c r="AC36" s="618"/>
    </row>
    <row r="37" spans="1:29" ht="15" thickBot="1">
      <c r="A37" s="378" t="s">
        <v>2154</v>
      </c>
      <c r="B37" s="379"/>
      <c r="C37" s="1090" t="e">
        <f>R37</f>
        <v>#DIV/0!</v>
      </c>
      <c r="D37" s="1090"/>
      <c r="E37" s="1090"/>
      <c r="F37" s="1090"/>
      <c r="G37" s="1090"/>
      <c r="H37" s="1090"/>
      <c r="I37" s="1090"/>
      <c r="J37" s="1090"/>
      <c r="K37" s="641"/>
      <c r="L37" s="2954"/>
      <c r="P37" s="3655" t="str">
        <f>A37</f>
        <v>估价对象XX用房的比较价值（楼面单价，元/平方米）</v>
      </c>
      <c r="Q37" s="3656"/>
      <c r="R37" s="3657" t="e">
        <f>IF(E1="售价",ROUND(IF(D36="简单平均",AVERAGE(R36:W36),R36*F36+T36*H36+V36*J36),0),ROUND(IF(D36="简单平均",AVERAGE(R36:V36),R36*F36+T36*H36+V36*J36),1))</f>
        <v>#DIV/0!</v>
      </c>
      <c r="S37" s="3657"/>
      <c r="T37" s="3657"/>
      <c r="U37" s="3657"/>
      <c r="V37" s="3657"/>
      <c r="W37" s="3657"/>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2.2" thickBot="1">
      <c r="A45" s="620" t="s">
        <v>2136</v>
      </c>
      <c r="B45" s="618"/>
      <c r="C45" s="621"/>
      <c r="D45" s="621"/>
      <c r="E45" s="621"/>
      <c r="F45" s="622"/>
      <c r="G45" s="622"/>
      <c r="H45" s="621"/>
      <c r="I45" s="621"/>
      <c r="J45" s="621"/>
      <c r="K45" s="623"/>
      <c r="L45" s="624"/>
      <c r="M45" s="621"/>
      <c r="N45" s="2960"/>
      <c r="O45" s="2960"/>
      <c r="P45" s="389"/>
      <c r="Q45" s="390"/>
    </row>
    <row r="46" spans="1:29" s="394" customFormat="1" ht="14.4">
      <c r="A46" s="391" t="s">
        <v>2018</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2056</v>
      </c>
      <c r="B48" s="401"/>
      <c r="C48" s="402"/>
      <c r="D48" s="403"/>
      <c r="E48" s="403"/>
      <c r="F48" s="403"/>
      <c r="G48" s="403"/>
      <c r="H48" s="403"/>
      <c r="I48" s="403"/>
      <c r="J48" s="403"/>
      <c r="K48" s="403"/>
      <c r="L48" s="403"/>
      <c r="M48" s="404"/>
      <c r="N48" s="403"/>
      <c r="O48" s="405"/>
      <c r="P48" s="390"/>
      <c r="Q48" s="390"/>
    </row>
    <row r="49" spans="1:17" s="25" customFormat="1" ht="14.4">
      <c r="A49" s="406" t="s">
        <v>2020</v>
      </c>
      <c r="B49" s="396"/>
      <c r="C49" s="407" t="s">
        <v>2021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2059</v>
      </c>
      <c r="B51" s="413" t="s">
        <v>2024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估价对象为房地产，为所有。根据《》[]，估价对象建筑面积为829.41平方米。根据《》[]，估价对象（分摊）出让国有建设用地使用权面积为30.71平方米。估价对象用途为。</v>
      </c>
      <c r="B6" s="1277"/>
      <c r="C6" s="1277"/>
      <c r="D6" s="1277"/>
      <c r="E6" s="1277"/>
      <c r="F6" s="1277"/>
      <c r="G6" s="1277"/>
    </row>
    <row r="7" spans="1:7" ht="17.399999999999999">
      <c r="A7" s="1278" t="s">
        <v>1016</v>
      </c>
    </row>
    <row r="8" spans="1:7" ht="17.399999999999999">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2022年8月3日（评估专业人员实地查勘之日）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c r="B13" s="1277"/>
      <c r="C13" s="1277"/>
      <c r="D13" s="1277"/>
      <c r="E13" s="1277"/>
      <c r="F13" s="1277"/>
      <c r="G13" s="1277"/>
    </row>
    <row r="14" spans="1:7" ht="8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4.4">
      <c r="A4" s="1591" t="s">
        <v>2005</v>
      </c>
      <c r="B4" s="1592"/>
      <c r="C4" s="3598" t="s">
        <v>2006</v>
      </c>
      <c r="D4" s="3599"/>
      <c r="E4" s="3600" t="s">
        <v>2007</v>
      </c>
      <c r="F4" s="3601"/>
      <c r="G4" s="3598" t="s">
        <v>2008</v>
      </c>
      <c r="H4" s="3599"/>
      <c r="I4" s="3598" t="s">
        <v>2009</v>
      </c>
      <c r="J4" s="3599"/>
      <c r="K4" s="1894" t="s">
        <v>2010</v>
      </c>
      <c r="L4" s="2914"/>
      <c r="M4" s="2915"/>
      <c r="N4" s="2915"/>
      <c r="O4" s="2915"/>
      <c r="P4" s="3602" t="s">
        <v>2011</v>
      </c>
      <c r="Q4" s="3603"/>
      <c r="R4" s="3584" t="s">
        <v>2007</v>
      </c>
      <c r="S4" s="3585"/>
      <c r="T4" s="3584" t="s">
        <v>2008</v>
      </c>
      <c r="U4" s="3585"/>
      <c r="V4" s="3608" t="s">
        <v>2009</v>
      </c>
      <c r="W4" s="3608"/>
      <c r="X4" s="1594"/>
      <c r="Y4" s="3584" t="s">
        <v>2011</v>
      </c>
      <c r="Z4" s="3585"/>
      <c r="AA4" s="3595" t="s">
        <v>2007</v>
      </c>
      <c r="AB4" s="3596" t="s">
        <v>2008</v>
      </c>
      <c r="AC4" s="3595" t="s">
        <v>2009</v>
      </c>
    </row>
    <row r="5" spans="1:30">
      <c r="A5" s="1596"/>
      <c r="B5" s="1597"/>
      <c r="C5" s="3611" t="s">
        <v>2012</v>
      </c>
      <c r="D5" s="3612"/>
      <c r="E5" s="3651" t="s">
        <v>2013</v>
      </c>
      <c r="F5" s="3610"/>
      <c r="G5" s="3611" t="s">
        <v>2014</v>
      </c>
      <c r="H5" s="3612"/>
      <c r="I5" s="3611" t="s">
        <v>2015</v>
      </c>
      <c r="J5" s="3612"/>
      <c r="K5" s="1894"/>
      <c r="L5" s="2914"/>
      <c r="M5" s="2915"/>
      <c r="N5" s="2915"/>
      <c r="O5" s="2915"/>
      <c r="P5" s="3604"/>
      <c r="Q5" s="3605"/>
      <c r="R5" s="3586"/>
      <c r="S5" s="3587"/>
      <c r="T5" s="3586"/>
      <c r="U5" s="3587"/>
      <c r="V5" s="3608"/>
      <c r="W5" s="3608"/>
      <c r="X5" s="1594"/>
      <c r="Y5" s="3586"/>
      <c r="Z5" s="3587"/>
      <c r="AA5" s="3596"/>
      <c r="AB5" s="3596"/>
      <c r="AC5" s="3596"/>
    </row>
    <row r="6" spans="1:30" ht="15" thickBot="1">
      <c r="A6" s="1599"/>
      <c r="B6" s="1600"/>
      <c r="C6" s="3613" t="s">
        <v>2016</v>
      </c>
      <c r="D6" s="3614"/>
      <c r="E6" s="3616" t="s">
        <v>2016</v>
      </c>
      <c r="F6" s="3617"/>
      <c r="G6" s="3613" t="s">
        <v>2016</v>
      </c>
      <c r="H6" s="3614"/>
      <c r="I6" s="3613" t="s">
        <v>2016</v>
      </c>
      <c r="J6" s="3614"/>
      <c r="K6" s="1894" t="s">
        <v>2017</v>
      </c>
      <c r="L6" s="2914"/>
      <c r="M6" s="2915"/>
      <c r="N6" s="2915"/>
      <c r="O6" s="2915"/>
      <c r="P6" s="3606"/>
      <c r="Q6" s="3607"/>
      <c r="R6" s="3586"/>
      <c r="S6" s="3587"/>
      <c r="T6" s="3588"/>
      <c r="U6" s="3589"/>
      <c r="V6" s="3608"/>
      <c r="W6" s="3608"/>
      <c r="X6" s="1594"/>
      <c r="Y6" s="3588"/>
      <c r="Z6" s="3589"/>
      <c r="AA6" s="3597"/>
      <c r="AB6" s="3597"/>
      <c r="AC6" s="3597"/>
    </row>
    <row r="7" spans="1:30" s="1613" customFormat="1" ht="15" thickBot="1">
      <c r="A7" s="1601" t="s">
        <v>2018</v>
      </c>
      <c r="B7" s="1602"/>
      <c r="C7" s="1603">
        <f>'数据-取费表'!B2</f>
        <v>44776</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82" t="s">
        <v>2019</v>
      </c>
      <c r="Q7" s="3590"/>
      <c r="R7" s="1609" t="s">
        <v>25</v>
      </c>
      <c r="S7" s="1610">
        <f t="shared" ref="S7:S15" si="0">F7</f>
        <v>0</v>
      </c>
      <c r="T7" s="1609" t="s">
        <v>25</v>
      </c>
      <c r="U7" s="1610">
        <f t="shared" ref="U7:U15" si="1">H7</f>
        <v>0</v>
      </c>
      <c r="V7" s="1609" t="s">
        <v>25</v>
      </c>
      <c r="W7" s="1610">
        <f t="shared" ref="W7:W15" si="2">J7</f>
        <v>0</v>
      </c>
      <c r="X7" s="1611"/>
      <c r="Y7" s="3582" t="s">
        <v>2019</v>
      </c>
      <c r="Z7" s="3583"/>
      <c r="AA7" s="1612" t="e">
        <f>D7/F7</f>
        <v>#DIV/0!</v>
      </c>
      <c r="AB7" s="1612" t="e">
        <f>D7/H7</f>
        <v>#DIV/0!</v>
      </c>
      <c r="AC7" s="1612" t="e">
        <f>D7/J7</f>
        <v>#DIV/0!</v>
      </c>
    </row>
    <row r="8" spans="1:30" s="1613" customFormat="1" ht="1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82" t="s">
        <v>2022</v>
      </c>
      <c r="Q8" s="3583"/>
      <c r="R8" s="1609" t="s">
        <v>25</v>
      </c>
      <c r="S8" s="1610">
        <f t="shared" si="0"/>
        <v>0</v>
      </c>
      <c r="T8" s="1609" t="s">
        <v>25</v>
      </c>
      <c r="U8" s="1610">
        <f t="shared" si="1"/>
        <v>0</v>
      </c>
      <c r="V8" s="1609" t="s">
        <v>25</v>
      </c>
      <c r="W8" s="1610">
        <f t="shared" si="2"/>
        <v>0</v>
      </c>
      <c r="X8" s="1611"/>
      <c r="Y8" s="3582" t="s">
        <v>2022</v>
      </c>
      <c r="Z8" s="3583"/>
      <c r="AA8" s="1612" t="e">
        <f t="shared" ref="AA8:AA45" si="3">D8/F8</f>
        <v>#DIV/0!</v>
      </c>
      <c r="AB8" s="1612" t="e">
        <f t="shared" ref="AB8:AB45" si="4">D8/H8</f>
        <v>#DIV/0!</v>
      </c>
      <c r="AC8" s="1612" t="e">
        <f t="shared" ref="AC8:AC45" si="5">D8/J8</f>
        <v>#DIV/0!</v>
      </c>
    </row>
    <row r="9" spans="1:30" s="1613" customFormat="1" ht="14.4">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72" t="s">
        <v>2025</v>
      </c>
      <c r="Q9" s="1563" t="str">
        <f t="shared" ref="Q9:Q15" si="6">B9</f>
        <v>用途</v>
      </c>
      <c r="R9" s="1609" t="s">
        <v>25</v>
      </c>
      <c r="S9" s="1610">
        <f t="shared" si="0"/>
        <v>100</v>
      </c>
      <c r="T9" s="1609" t="s">
        <v>25</v>
      </c>
      <c r="U9" s="1610">
        <f t="shared" si="1"/>
        <v>100</v>
      </c>
      <c r="V9" s="1609" t="s">
        <v>25</v>
      </c>
      <c r="W9" s="1610">
        <f t="shared" si="2"/>
        <v>100</v>
      </c>
      <c r="X9" s="1611"/>
      <c r="Y9" s="3468" t="s">
        <v>2026</v>
      </c>
      <c r="Z9" s="1622" t="str">
        <f t="shared" ref="Z9:Z15" si="7">Q9</f>
        <v>用途</v>
      </c>
      <c r="AA9" s="1612">
        <f t="shared" si="3"/>
        <v>1</v>
      </c>
      <c r="AB9" s="1612">
        <f t="shared" si="4"/>
        <v>1</v>
      </c>
      <c r="AC9" s="1612">
        <f t="shared" si="5"/>
        <v>1</v>
      </c>
    </row>
    <row r="10" spans="1:30" s="1630" customFormat="1" ht="28.8">
      <c r="A10" s="1623"/>
      <c r="B10" s="1624" t="s">
        <v>2027</v>
      </c>
      <c r="C10" s="1636"/>
      <c r="D10" s="1626">
        <v>100</v>
      </c>
      <c r="E10" s="1688"/>
      <c r="F10" s="1626">
        <f>ROUND(100/'数据-取费表'!B14,0)</f>
        <v>118</v>
      </c>
      <c r="G10" s="1686"/>
      <c r="H10" s="1626">
        <f>ROUND(100/'数据-取费表'!B14,0)</f>
        <v>118</v>
      </c>
      <c r="I10" s="1686"/>
      <c r="J10" s="1626">
        <f>ROUND(100/'数据-取费表'!B14,0)</f>
        <v>118</v>
      </c>
      <c r="K10" s="1898"/>
      <c r="L10" s="2916"/>
      <c r="M10" s="2917"/>
      <c r="N10" s="2917"/>
      <c r="O10" s="2962"/>
      <c r="P10" s="3572"/>
      <c r="Q10" s="1563" t="str">
        <f t="shared" si="6"/>
        <v>土地使用年限（年）</v>
      </c>
      <c r="R10" s="1609" t="s">
        <v>25</v>
      </c>
      <c r="S10" s="1610">
        <f t="shared" si="0"/>
        <v>118</v>
      </c>
      <c r="T10" s="1609" t="s">
        <v>25</v>
      </c>
      <c r="U10" s="1610">
        <f t="shared" si="1"/>
        <v>118</v>
      </c>
      <c r="V10" s="1609" t="s">
        <v>25</v>
      </c>
      <c r="W10" s="1610">
        <f t="shared" si="2"/>
        <v>118</v>
      </c>
      <c r="X10" s="1611"/>
      <c r="Y10" s="3468"/>
      <c r="Z10" s="1622" t="str">
        <f t="shared" si="7"/>
        <v>土地使用年限（年）</v>
      </c>
      <c r="AA10" s="1612">
        <f t="shared" si="3"/>
        <v>0.84745762711864403</v>
      </c>
      <c r="AB10" s="1612">
        <f t="shared" si="4"/>
        <v>0.84745762711864403</v>
      </c>
      <c r="AC10" s="1612">
        <f t="shared" si="5"/>
        <v>0.84745762711864403</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72"/>
      <c r="Q11" s="1563" t="str">
        <f t="shared" si="6"/>
        <v>容积率</v>
      </c>
      <c r="R11" s="1609" t="s">
        <v>25</v>
      </c>
      <c r="S11" s="1610" t="e">
        <f t="shared" si="0"/>
        <v>#N/A</v>
      </c>
      <c r="T11" s="1609" t="s">
        <v>25</v>
      </c>
      <c r="U11" s="1610" t="e">
        <f t="shared" si="1"/>
        <v>#N/A</v>
      </c>
      <c r="V11" s="1609" t="s">
        <v>25</v>
      </c>
      <c r="W11" s="1610" t="e">
        <f t="shared" si="2"/>
        <v>#N/A</v>
      </c>
      <c r="X11" s="1611"/>
      <c r="Y11" s="3468"/>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72"/>
      <c r="Q12" s="1563" t="str">
        <f t="shared" si="6"/>
        <v>配建</v>
      </c>
      <c r="R12" s="1609" t="s">
        <v>25</v>
      </c>
      <c r="S12" s="1610">
        <f t="shared" si="0"/>
        <v>100</v>
      </c>
      <c r="T12" s="1609" t="s">
        <v>25</v>
      </c>
      <c r="U12" s="1610">
        <f t="shared" si="1"/>
        <v>100</v>
      </c>
      <c r="V12" s="1609" t="s">
        <v>25</v>
      </c>
      <c r="W12" s="1610">
        <f t="shared" si="2"/>
        <v>100</v>
      </c>
      <c r="X12" s="1611"/>
      <c r="Y12" s="346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72"/>
      <c r="Q13" s="1563">
        <f t="shared" si="6"/>
        <v>111</v>
      </c>
      <c r="R13" s="1609" t="s">
        <v>25</v>
      </c>
      <c r="S13" s="1610">
        <f t="shared" si="0"/>
        <v>100</v>
      </c>
      <c r="T13" s="1609" t="s">
        <v>25</v>
      </c>
      <c r="U13" s="1610">
        <f t="shared" si="1"/>
        <v>100</v>
      </c>
      <c r="V13" s="1609" t="s">
        <v>25</v>
      </c>
      <c r="W13" s="1610">
        <f t="shared" si="2"/>
        <v>100</v>
      </c>
      <c r="X13" s="1611"/>
      <c r="Y13" s="3468"/>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72"/>
      <c r="Q14" s="1563">
        <f t="shared" si="6"/>
        <v>111</v>
      </c>
      <c r="R14" s="1609" t="s">
        <v>25</v>
      </c>
      <c r="S14" s="1610">
        <f t="shared" si="0"/>
        <v>100</v>
      </c>
      <c r="T14" s="1609" t="s">
        <v>25</v>
      </c>
      <c r="U14" s="1610">
        <f t="shared" si="1"/>
        <v>100</v>
      </c>
      <c r="V14" s="1609" t="s">
        <v>25</v>
      </c>
      <c r="W14" s="1610">
        <f t="shared" si="2"/>
        <v>100</v>
      </c>
      <c r="X14" s="1611"/>
      <c r="Y14" s="3468"/>
      <c r="Z14" s="1622">
        <f t="shared" si="7"/>
        <v>111</v>
      </c>
      <c r="AA14" s="1612">
        <f>D14/F14</f>
        <v>1</v>
      </c>
      <c r="AB14" s="1612">
        <f>D14/H14</f>
        <v>1</v>
      </c>
      <c r="AC14" s="1612">
        <f>D14/J14</f>
        <v>1</v>
      </c>
    </row>
    <row r="15" spans="1:30" ht="15">
      <c r="A15" s="1591" t="s">
        <v>2029</v>
      </c>
      <c r="B15" s="1901" t="s">
        <v>1464</v>
      </c>
      <c r="C15" s="1902">
        <f>估价对象房地状况!C15</f>
        <v>0</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93" t="s">
        <v>2030</v>
      </c>
      <c r="Q15" s="1544" t="str">
        <f t="shared" si="6"/>
        <v>居住社区成熟度</v>
      </c>
      <c r="R15" s="1654" t="s">
        <v>25</v>
      </c>
      <c r="S15" s="1655">
        <f t="shared" si="0"/>
        <v>100</v>
      </c>
      <c r="T15" s="1654" t="s">
        <v>25</v>
      </c>
      <c r="U15" s="1655">
        <f t="shared" si="1"/>
        <v>100</v>
      </c>
      <c r="V15" s="1654" t="s">
        <v>25</v>
      </c>
      <c r="W15" s="1655">
        <f t="shared" si="2"/>
        <v>100</v>
      </c>
      <c r="X15" s="1594"/>
      <c r="Y15" s="3593"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94"/>
      <c r="Q16" s="1544"/>
      <c r="R16" s="1654"/>
      <c r="S16" s="1655"/>
      <c r="T16" s="1654"/>
      <c r="U16" s="1655"/>
      <c r="V16" s="1654"/>
      <c r="W16" s="1655"/>
      <c r="X16" s="1594"/>
      <c r="Y16" s="3594"/>
      <c r="Z16" s="1656"/>
      <c r="AA16" s="1657">
        <v>1</v>
      </c>
      <c r="AB16" s="1657">
        <v>1</v>
      </c>
      <c r="AC16" s="1657">
        <v>1</v>
      </c>
    </row>
    <row r="17" spans="1:29" ht="15">
      <c r="A17" s="1596"/>
      <c r="B17" s="1905" t="s">
        <v>2115</v>
      </c>
      <c r="C17" s="1906" t="str">
        <f>估价对象房地状况!C16</f>
        <v>较好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94"/>
      <c r="Q18" s="1544"/>
      <c r="R18" s="1654"/>
      <c r="S18" s="1655"/>
      <c r="T18" s="1654"/>
      <c r="U18" s="1655"/>
      <c r="V18" s="1654"/>
      <c r="W18" s="1655"/>
      <c r="X18" s="1594"/>
      <c r="Y18" s="3594"/>
      <c r="Z18" s="1656"/>
      <c r="AA18" s="1657">
        <v>1</v>
      </c>
      <c r="AB18" s="1657">
        <v>1</v>
      </c>
      <c r="AC18" s="1657">
        <v>1</v>
      </c>
    </row>
    <row r="19" spans="1:29" ht="15">
      <c r="A19" s="1596"/>
      <c r="B19" s="1905" t="s">
        <v>2144</v>
      </c>
      <c r="C19" s="1906">
        <f>估价对象房地状况!C17</f>
        <v>0</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94"/>
      <c r="Q20" s="1544"/>
      <c r="R20" s="1654"/>
      <c r="S20" s="1655"/>
      <c r="T20" s="1654"/>
      <c r="U20" s="1655"/>
      <c r="V20" s="1654"/>
      <c r="W20" s="1655"/>
      <c r="X20" s="1594"/>
      <c r="Y20" s="3594"/>
      <c r="Z20" s="1656"/>
      <c r="AA20" s="1657">
        <v>1</v>
      </c>
      <c r="AB20" s="1657">
        <v>1</v>
      </c>
      <c r="AC20" s="1657">
        <v>1</v>
      </c>
    </row>
    <row r="21" spans="1:29" ht="15">
      <c r="A21" s="1596"/>
      <c r="B21" s="1905" t="s">
        <v>2167</v>
      </c>
      <c r="C21" s="1909" t="str">
        <f>估价对象房地状况!C18</f>
        <v>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94"/>
      <c r="Q22" s="1544"/>
      <c r="R22" s="1654"/>
      <c r="S22" s="1655"/>
      <c r="T22" s="1654"/>
      <c r="U22" s="1655"/>
      <c r="V22" s="1654"/>
      <c r="W22" s="1655"/>
      <c r="X22" s="1594"/>
      <c r="Y22" s="3594"/>
      <c r="Z22" s="1656"/>
      <c r="AA22" s="1657">
        <v>1</v>
      </c>
      <c r="AB22" s="1657">
        <v>1</v>
      </c>
      <c r="AC22" s="1657">
        <v>1</v>
      </c>
    </row>
    <row r="23" spans="1:29" ht="28.8">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94"/>
      <c r="Q24" s="1544"/>
      <c r="R24" s="1654"/>
      <c r="S24" s="1655"/>
      <c r="T24" s="1654"/>
      <c r="U24" s="1655"/>
      <c r="V24" s="1654"/>
      <c r="W24" s="1655"/>
      <c r="X24" s="1594"/>
      <c r="Y24" s="3594"/>
      <c r="Z24" s="1656"/>
      <c r="AA24" s="1657"/>
      <c r="AB24" s="1657"/>
      <c r="AC24" s="1657"/>
    </row>
    <row r="25" spans="1:29" ht="28.8">
      <c r="A25" s="1596"/>
      <c r="B25" s="1910" t="s">
        <v>2208</v>
      </c>
      <c r="C25" s="1906" t="str">
        <f>估价对象房地状况!C20</f>
        <v>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94"/>
      <c r="Q26" s="1544"/>
      <c r="R26" s="1654"/>
      <c r="S26" s="1655"/>
      <c r="T26" s="1654"/>
      <c r="U26" s="1655"/>
      <c r="V26" s="1654"/>
      <c r="W26" s="1655"/>
      <c r="X26" s="1594"/>
      <c r="Y26" s="3594"/>
      <c r="Z26" s="1656"/>
      <c r="AA26" s="1657">
        <v>1</v>
      </c>
      <c r="AB26" s="1657">
        <v>1</v>
      </c>
      <c r="AC26" s="1657">
        <v>1</v>
      </c>
    </row>
    <row r="27" spans="1:29" ht="15">
      <c r="A27" s="1596"/>
      <c r="B27" s="1910" t="s">
        <v>2116</v>
      </c>
      <c r="C27" s="1909" t="str">
        <f>估价对象房地状况!C21</f>
        <v>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94"/>
      <c r="Q28" s="1544"/>
      <c r="R28" s="1654"/>
      <c r="S28" s="1655"/>
      <c r="T28" s="1654"/>
      <c r="U28" s="1655"/>
      <c r="V28" s="1654"/>
      <c r="W28" s="1655"/>
      <c r="X28" s="1594"/>
      <c r="Y28" s="3594"/>
      <c r="Z28" s="1622"/>
      <c r="AA28" s="1657">
        <v>1</v>
      </c>
      <c r="AB28" s="1657">
        <v>1</v>
      </c>
      <c r="AC28" s="1657">
        <v>1</v>
      </c>
    </row>
    <row r="29" spans="1:29" s="1613" customFormat="1" ht="15">
      <c r="A29" s="1916"/>
      <c r="B29" s="1910" t="s">
        <v>2117</v>
      </c>
      <c r="C29" s="1917" t="str">
        <f>估价对象房地状况!C22</f>
        <v>六通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94"/>
      <c r="Q30" s="1563"/>
      <c r="R30" s="1609"/>
      <c r="S30" s="1610"/>
      <c r="T30" s="1609"/>
      <c r="U30" s="1610"/>
      <c r="V30" s="1609"/>
      <c r="W30" s="1610"/>
      <c r="X30" s="1611"/>
      <c r="Y30" s="3594"/>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8.8">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94"/>
      <c r="Q33" s="1544"/>
      <c r="R33" s="1654"/>
      <c r="S33" s="1655"/>
      <c r="T33" s="1654"/>
      <c r="U33" s="1655"/>
      <c r="V33" s="1654"/>
      <c r="W33" s="1655"/>
      <c r="X33" s="1594"/>
      <c r="Y33" s="3594"/>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52" t="s">
        <v>2036</v>
      </c>
      <c r="Q36" s="1544">
        <f t="shared" si="8"/>
        <v>111</v>
      </c>
      <c r="R36" s="1654" t="s">
        <v>25</v>
      </c>
      <c r="S36" s="1655">
        <f t="shared" si="10"/>
        <v>100</v>
      </c>
      <c r="T36" s="1654" t="s">
        <v>25</v>
      </c>
      <c r="U36" s="1655">
        <f t="shared" si="11"/>
        <v>100</v>
      </c>
      <c r="V36" s="1654" t="s">
        <v>25</v>
      </c>
      <c r="W36" s="1655">
        <f t="shared" si="12"/>
        <v>100</v>
      </c>
      <c r="X36" s="1594"/>
      <c r="Y36" s="3580" t="s">
        <v>2036</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80"/>
      <c r="Q37" s="1544">
        <f t="shared" si="8"/>
        <v>111</v>
      </c>
      <c r="R37" s="1696" t="s">
        <v>25</v>
      </c>
      <c r="S37" s="1697">
        <f t="shared" si="10"/>
        <v>100</v>
      </c>
      <c r="T37" s="1696" t="s">
        <v>25</v>
      </c>
      <c r="U37" s="1697">
        <f t="shared" si="11"/>
        <v>100</v>
      </c>
      <c r="V37" s="1696" t="s">
        <v>25</v>
      </c>
      <c r="W37" s="1697">
        <f t="shared" si="12"/>
        <v>100</v>
      </c>
      <c r="X37" s="1698"/>
      <c r="Y37" s="3580"/>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80"/>
      <c r="Q38" s="1544" t="str">
        <f>B38</f>
        <v>宗地面积</v>
      </c>
      <c r="R38" s="1654" t="s">
        <v>25</v>
      </c>
      <c r="S38" s="1655" t="e">
        <f t="shared" si="10"/>
        <v>#N/A</v>
      </c>
      <c r="T38" s="1654" t="s">
        <v>25</v>
      </c>
      <c r="U38" s="1655" t="e">
        <f t="shared" si="11"/>
        <v>#N/A</v>
      </c>
      <c r="V38" s="1654" t="s">
        <v>25</v>
      </c>
      <c r="W38" s="1655" t="e">
        <f t="shared" si="12"/>
        <v>#N/A</v>
      </c>
      <c r="X38" s="1594"/>
      <c r="Y38" s="3580"/>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80"/>
      <c r="Q39" s="1544" t="str">
        <f t="shared" ref="Q39:Q45" si="14">B39</f>
        <v>宗地形状</v>
      </c>
      <c r="R39" s="1654" t="s">
        <v>25</v>
      </c>
      <c r="S39" s="1655">
        <f t="shared" si="10"/>
        <v>100</v>
      </c>
      <c r="T39" s="1654" t="s">
        <v>25</v>
      </c>
      <c r="U39" s="1655">
        <f t="shared" si="11"/>
        <v>100</v>
      </c>
      <c r="V39" s="1654" t="s">
        <v>25</v>
      </c>
      <c r="W39" s="1655">
        <f t="shared" si="12"/>
        <v>100</v>
      </c>
      <c r="X39" s="1594"/>
      <c r="Y39" s="3580"/>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80"/>
      <c r="Q40" s="1544" t="str">
        <f t="shared" si="14"/>
        <v>临街宽度及深度</v>
      </c>
      <c r="R40" s="1654" t="s">
        <v>25</v>
      </c>
      <c r="S40" s="1655">
        <f t="shared" si="10"/>
        <v>100</v>
      </c>
      <c r="T40" s="1654" t="s">
        <v>25</v>
      </c>
      <c r="U40" s="1655">
        <f t="shared" si="11"/>
        <v>100</v>
      </c>
      <c r="V40" s="1654" t="s">
        <v>25</v>
      </c>
      <c r="W40" s="1655">
        <f t="shared" si="12"/>
        <v>100</v>
      </c>
      <c r="X40" s="1594"/>
      <c r="Y40" s="3580"/>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80"/>
      <c r="Q41" s="1544" t="str">
        <f t="shared" si="14"/>
        <v>宗地开发程度</v>
      </c>
      <c r="R41" s="1609" t="s">
        <v>25</v>
      </c>
      <c r="S41" s="1610">
        <f t="shared" si="10"/>
        <v>100</v>
      </c>
      <c r="T41" s="1609" t="s">
        <v>25</v>
      </c>
      <c r="U41" s="1610">
        <f t="shared" si="11"/>
        <v>100</v>
      </c>
      <c r="V41" s="1609" t="s">
        <v>25</v>
      </c>
      <c r="W41" s="1610">
        <f t="shared" si="12"/>
        <v>100</v>
      </c>
      <c r="X41" s="1611"/>
      <c r="Y41" s="3580"/>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80" t="s">
        <v>2036</v>
      </c>
      <c r="Q42" s="1544" t="str">
        <f t="shared" si="14"/>
        <v>工程地质条件</v>
      </c>
      <c r="R42" s="1654" t="s">
        <v>25</v>
      </c>
      <c r="S42" s="1655">
        <f t="shared" si="10"/>
        <v>100</v>
      </c>
      <c r="T42" s="1654" t="s">
        <v>25</v>
      </c>
      <c r="U42" s="1655">
        <f t="shared" si="11"/>
        <v>100</v>
      </c>
      <c r="V42" s="1654" t="s">
        <v>25</v>
      </c>
      <c r="W42" s="1655">
        <f t="shared" si="12"/>
        <v>100</v>
      </c>
      <c r="X42" s="1594"/>
      <c r="Y42" s="3580"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80"/>
      <c r="Q43" s="1544">
        <f t="shared" si="14"/>
        <v>111</v>
      </c>
      <c r="R43" s="1654" t="s">
        <v>25</v>
      </c>
      <c r="S43" s="1655">
        <f t="shared" si="10"/>
        <v>100</v>
      </c>
      <c r="T43" s="1654" t="s">
        <v>25</v>
      </c>
      <c r="U43" s="1655">
        <f t="shared" si="11"/>
        <v>100</v>
      </c>
      <c r="V43" s="1654" t="s">
        <v>25</v>
      </c>
      <c r="W43" s="1655">
        <f t="shared" si="12"/>
        <v>100</v>
      </c>
      <c r="X43" s="1594"/>
      <c r="Y43" s="358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80"/>
      <c r="Q44" s="1544">
        <f t="shared" si="14"/>
        <v>111</v>
      </c>
      <c r="R44" s="1654" t="s">
        <v>25</v>
      </c>
      <c r="S44" s="1655">
        <f t="shared" si="10"/>
        <v>100</v>
      </c>
      <c r="T44" s="1654" t="s">
        <v>25</v>
      </c>
      <c r="U44" s="1655">
        <f t="shared" si="11"/>
        <v>100</v>
      </c>
      <c r="V44" s="1654" t="s">
        <v>25</v>
      </c>
      <c r="W44" s="1655">
        <f t="shared" si="12"/>
        <v>100</v>
      </c>
      <c r="X44" s="1594"/>
      <c r="Y44" s="3580"/>
      <c r="Z44" s="1656">
        <f t="shared" si="13"/>
        <v>111</v>
      </c>
      <c r="AA44" s="1657">
        <f t="shared" si="3"/>
        <v>1</v>
      </c>
      <c r="AB44" s="1657">
        <f t="shared" si="4"/>
        <v>1</v>
      </c>
      <c r="AC44" s="1657">
        <f t="shared" si="5"/>
        <v>1</v>
      </c>
    </row>
    <row r="45" spans="1:29" s="1700" customFormat="1" ht="15.6"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80"/>
      <c r="Q45" s="1544">
        <f t="shared" si="14"/>
        <v>111</v>
      </c>
      <c r="R45" s="1696" t="s">
        <v>25</v>
      </c>
      <c r="S45" s="1697">
        <f t="shared" si="10"/>
        <v>100</v>
      </c>
      <c r="T45" s="1696" t="s">
        <v>25</v>
      </c>
      <c r="U45" s="1697">
        <f t="shared" si="11"/>
        <v>100</v>
      </c>
      <c r="V45" s="1696" t="s">
        <v>25</v>
      </c>
      <c r="W45" s="1697">
        <f t="shared" si="12"/>
        <v>100</v>
      </c>
      <c r="X45" s="1698"/>
      <c r="Y45" s="3580"/>
      <c r="Z45" s="1699">
        <f t="shared" si="13"/>
        <v>111</v>
      </c>
      <c r="AA45" s="1657">
        <f t="shared" si="3"/>
        <v>1</v>
      </c>
      <c r="AB45" s="1657">
        <f t="shared" si="4"/>
        <v>1</v>
      </c>
      <c r="AC45" s="1657">
        <f t="shared" si="5"/>
        <v>1</v>
      </c>
    </row>
    <row r="46" spans="1:29" ht="14.4">
      <c r="A46" s="1710" t="s">
        <v>2178</v>
      </c>
      <c r="B46" s="1935" t="s">
        <v>2215</v>
      </c>
      <c r="C46" s="1936" t="s">
        <v>1</v>
      </c>
      <c r="D46" s="1937"/>
      <c r="E46" s="1938"/>
      <c r="F46" s="1939"/>
      <c r="G46" s="1940"/>
      <c r="H46" s="1941"/>
      <c r="I46" s="1938"/>
      <c r="J46" s="1941"/>
      <c r="K46" s="1942"/>
      <c r="L46" s="2920"/>
      <c r="N46" s="2915"/>
      <c r="P46" s="3572" t="str">
        <f>A46</f>
        <v>成交单价</v>
      </c>
      <c r="Q46" s="3572"/>
      <c r="R46" s="3608">
        <f>E46</f>
        <v>0</v>
      </c>
      <c r="S46" s="3608"/>
      <c r="T46" s="3608">
        <f>G46</f>
        <v>0</v>
      </c>
      <c r="U46" s="3608"/>
      <c r="V46" s="3608">
        <f>I46</f>
        <v>0</v>
      </c>
      <c r="W46" s="3608"/>
      <c r="X46" s="1720"/>
      <c r="Y46" s="1721"/>
      <c r="Z46" s="1720"/>
      <c r="AA46" s="1720"/>
      <c r="AB46" s="1720"/>
      <c r="AC46" s="1720"/>
    </row>
    <row r="47" spans="1:29" ht="15" thickBot="1">
      <c r="A47" s="1722" t="s">
        <v>2131</v>
      </c>
      <c r="B47" s="1943"/>
      <c r="C47" s="1944" t="e">
        <f>R48</f>
        <v>#DIV/0!</v>
      </c>
      <c r="D47" s="1725" t="s">
        <v>2499</v>
      </c>
      <c r="E47" s="1944" t="e">
        <f>R47</f>
        <v>#DIV/0!</v>
      </c>
      <c r="F47" s="1727"/>
      <c r="G47" s="1945" t="e">
        <f>T47</f>
        <v>#DIV/0!</v>
      </c>
      <c r="H47" s="1727"/>
      <c r="I47" s="1944" t="e">
        <f>V47</f>
        <v>#DIV/0!</v>
      </c>
      <c r="J47" s="1727"/>
      <c r="K47" s="2429">
        <f>F47+H47+J47</f>
        <v>0</v>
      </c>
      <c r="L47" s="2920"/>
      <c r="P47" s="3572" t="str">
        <f>A47</f>
        <v>比较价值（元/平方米）</v>
      </c>
      <c r="Q47" s="3572"/>
      <c r="R47" s="3695" t="e">
        <f>ROUND(PRODUCT(R46,AA7:AA45),0)</f>
        <v>#DIV/0!</v>
      </c>
      <c r="S47" s="3695"/>
      <c r="T47" s="3695" t="e">
        <f>ROUND(PRODUCT(T46,AB7:AB45),0)</f>
        <v>#DIV/0!</v>
      </c>
      <c r="U47" s="3695"/>
      <c r="V47" s="3695" t="e">
        <f>ROUND(PRODUCT(V46,AC7:AC45),0)</f>
        <v>#DIV/0!</v>
      </c>
      <c r="W47" s="3695"/>
      <c r="X47" s="1720"/>
      <c r="Y47" s="1720"/>
      <c r="Z47" s="1720"/>
      <c r="AA47" s="1720"/>
      <c r="AB47" s="1720"/>
      <c r="AC47" s="1720"/>
    </row>
    <row r="48" spans="1:29" ht="15" thickBot="1">
      <c r="A48" s="1728" t="s">
        <v>2154</v>
      </c>
      <c r="B48" s="1729"/>
      <c r="C48" s="1946" t="e">
        <f>R48</f>
        <v>#DIV/0!</v>
      </c>
      <c r="D48" s="1946"/>
      <c r="E48" s="1946"/>
      <c r="F48" s="1946"/>
      <c r="G48" s="1946"/>
      <c r="H48" s="1946"/>
      <c r="I48" s="1946"/>
      <c r="J48" s="1946"/>
      <c r="K48" s="1947"/>
      <c r="L48" s="2920"/>
      <c r="P48" s="3574" t="str">
        <f>A48</f>
        <v>估价对象XX用房的比较价值（楼面单价，元/平方米）</v>
      </c>
      <c r="Q48" s="3575"/>
      <c r="R48" s="3696" t="e">
        <f>ROUND(IF(D47="简单平均",AVERAGE(R47:W47),R47*F47+T47*H47+V47*J47),0)</f>
        <v>#DIV/0!</v>
      </c>
      <c r="S48" s="3696"/>
      <c r="T48" s="3696"/>
      <c r="U48" s="3696"/>
      <c r="V48" s="3696"/>
      <c r="W48" s="3696"/>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4.4" thickBot="1">
      <c r="B54" s="2925"/>
      <c r="C54" s="2926"/>
      <c r="K54" s="2927"/>
      <c r="L54" s="2921"/>
    </row>
    <row r="55" spans="1:14" ht="28.8">
      <c r="A55" s="564" t="s">
        <v>2216</v>
      </c>
      <c r="B55" s="1948" t="s">
        <v>2217</v>
      </c>
      <c r="C55" s="1949" t="s">
        <v>2218</v>
      </c>
      <c r="D55" s="1950" t="s">
        <v>2219</v>
      </c>
      <c r="E55" s="1951" t="s">
        <v>2220</v>
      </c>
      <c r="F55" s="1952" t="s">
        <v>2221</v>
      </c>
      <c r="G55" s="1847" t="s">
        <v>2222</v>
      </c>
      <c r="H55" s="1847">
        <f>项目基本情况!G8</f>
        <v>0</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2.2"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4.4">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4.4">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4.4" thickBot="1">
      <c r="A73" s="1768"/>
      <c r="B73" s="1758"/>
      <c r="C73" s="1759">
        <v>100</v>
      </c>
      <c r="D73" s="1760"/>
      <c r="E73" s="1760"/>
      <c r="F73" s="1760"/>
      <c r="G73" s="1760"/>
      <c r="H73" s="1760"/>
      <c r="I73" s="1760"/>
      <c r="J73" s="1760"/>
      <c r="K73" s="1760"/>
      <c r="L73" s="1760"/>
      <c r="M73" s="1774"/>
      <c r="N73" s="2932"/>
      <c r="O73" s="2932"/>
      <c r="P73" s="1750"/>
      <c r="Q73" s="1750"/>
    </row>
    <row r="74" spans="1:17" ht="14.4">
      <c r="A74" s="1775" t="s">
        <v>2059</v>
      </c>
      <c r="B74" s="1776" t="s">
        <v>2024</v>
      </c>
      <c r="C74" s="1778"/>
      <c r="D74" s="1778"/>
      <c r="E74" s="1778"/>
      <c r="F74" s="1778"/>
      <c r="G74" s="1778"/>
      <c r="H74" s="1778"/>
      <c r="I74" s="1778"/>
      <c r="J74" s="1778"/>
      <c r="K74" s="417"/>
      <c r="L74" s="417"/>
      <c r="M74" s="1779"/>
      <c r="N74" s="2933"/>
      <c r="O74" s="2933"/>
      <c r="P74" s="1986"/>
      <c r="Q74" s="1750"/>
    </row>
    <row r="75" spans="1:17" ht="14.4" thickBot="1">
      <c r="A75" s="1782"/>
      <c r="B75" s="1783"/>
      <c r="C75" s="1784"/>
      <c r="D75" s="1784"/>
      <c r="E75" s="1784"/>
      <c r="F75" s="1784"/>
      <c r="G75" s="1784"/>
      <c r="H75" s="1784"/>
      <c r="I75" s="1784"/>
      <c r="J75" s="1784"/>
      <c r="K75" s="1784"/>
      <c r="L75" s="1784"/>
      <c r="M75" s="1785"/>
      <c r="N75" s="2934"/>
      <c r="O75" s="2934"/>
      <c r="P75" s="1986"/>
      <c r="Q75" s="1750"/>
    </row>
    <row r="76" spans="1:17" ht="29.4" thickTop="1">
      <c r="A76" s="1782"/>
      <c r="B76" s="1787" t="s">
        <v>2027</v>
      </c>
      <c r="C76" s="1788"/>
      <c r="D76" s="1788"/>
      <c r="E76" s="1788"/>
      <c r="F76" s="1788"/>
      <c r="G76" s="1788"/>
      <c r="H76" s="1788"/>
      <c r="I76" s="1788"/>
      <c r="J76" s="1788"/>
      <c r="K76" s="428"/>
      <c r="L76" s="428"/>
      <c r="M76" s="1789"/>
      <c r="N76" s="2933"/>
      <c r="O76" s="2933"/>
      <c r="P76" s="1986"/>
      <c r="Q76" s="1750"/>
    </row>
    <row r="77" spans="1:17" ht="14.4" thickBot="1">
      <c r="A77" s="1782"/>
      <c r="B77" s="1790"/>
      <c r="C77" s="1791"/>
      <c r="D77" s="1791"/>
      <c r="E77" s="1791"/>
      <c r="F77" s="1791"/>
      <c r="G77" s="1791"/>
      <c r="H77" s="1791"/>
      <c r="I77" s="1791"/>
      <c r="J77" s="1791"/>
      <c r="K77" s="1791"/>
      <c r="L77" s="1791"/>
      <c r="M77" s="1792"/>
      <c r="N77" s="2934"/>
      <c r="O77" s="2934"/>
      <c r="P77" s="1986"/>
      <c r="Q77" s="1750"/>
    </row>
    <row r="78" spans="1:17" ht="1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c r="A79" s="1782"/>
      <c r="B79" s="1795"/>
      <c r="C79" s="1796"/>
      <c r="D79" s="1796"/>
      <c r="E79" s="1796"/>
      <c r="F79" s="1796"/>
      <c r="G79" s="1796"/>
      <c r="H79" s="1796"/>
      <c r="I79" s="1796"/>
      <c r="J79" s="1796"/>
      <c r="K79" s="438"/>
      <c r="L79" s="438"/>
      <c r="M79" s="1797"/>
      <c r="N79" s="2933"/>
      <c r="O79" s="2933"/>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4.4"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4.4" thickBot="1">
      <c r="A82" s="1798"/>
      <c r="B82" s="1790"/>
      <c r="C82" s="1803"/>
      <c r="D82" s="1784"/>
      <c r="E82" s="1784"/>
      <c r="F82" s="1784"/>
      <c r="G82" s="1784"/>
      <c r="H82" s="1784"/>
      <c r="I82" s="1784"/>
      <c r="J82" s="1784"/>
      <c r="K82" s="1784"/>
      <c r="L82" s="1784"/>
      <c r="M82" s="1785"/>
      <c r="N82" s="2934"/>
      <c r="O82" s="2934"/>
      <c r="P82" s="1987"/>
      <c r="Q82" s="1802"/>
    </row>
    <row r="83" spans="1:17" s="1700" customFormat="1" ht="14.4"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4.4" thickBot="1">
      <c r="A84" s="1798"/>
      <c r="B84" s="1790"/>
      <c r="C84" s="1803"/>
      <c r="D84" s="1803"/>
      <c r="E84" s="1803"/>
      <c r="F84" s="1803"/>
      <c r="G84" s="1803"/>
      <c r="H84" s="1806"/>
      <c r="I84" s="1806"/>
      <c r="J84" s="1806"/>
      <c r="K84" s="1806"/>
      <c r="L84" s="1806"/>
      <c r="M84" s="1807"/>
      <c r="N84" s="2935"/>
      <c r="O84" s="2935"/>
      <c r="P84" s="1987"/>
      <c r="Q84" s="1802"/>
    </row>
    <row r="85" spans="1:17" s="1700" customFormat="1" ht="14.4"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4.4" thickBot="1">
      <c r="A86" s="1809"/>
      <c r="B86" s="1810"/>
      <c r="C86" s="1811"/>
      <c r="D86" s="1811"/>
      <c r="E86" s="1811"/>
      <c r="F86" s="1811"/>
      <c r="G86" s="1811"/>
      <c r="H86" s="1812"/>
      <c r="I86" s="1812"/>
      <c r="J86" s="1812"/>
      <c r="K86" s="1812"/>
      <c r="L86" s="1812"/>
      <c r="M86" s="1813"/>
      <c r="N86" s="2935"/>
      <c r="O86" s="2935"/>
      <c r="P86" s="1987"/>
      <c r="Q86" s="1802"/>
    </row>
    <row r="87" spans="1:17" ht="14.4">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29.4"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9.4"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9.4" thickTop="1">
      <c r="A105" s="1782"/>
      <c r="B105" s="1787" t="s">
        <v>2148</v>
      </c>
      <c r="C105" s="468"/>
      <c r="D105" s="468"/>
      <c r="E105" s="468"/>
      <c r="F105" s="468"/>
      <c r="G105" s="468"/>
      <c r="H105" s="1506"/>
      <c r="I105" s="1506"/>
      <c r="J105" s="1506"/>
      <c r="K105" s="473"/>
      <c r="L105" s="473"/>
      <c r="M105" s="1822"/>
      <c r="N105" s="2933"/>
      <c r="O105" s="2933"/>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4.4"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4.4" thickBot="1">
      <c r="A110" s="1782"/>
      <c r="B110" s="1810"/>
      <c r="C110" s="1803"/>
      <c r="D110" s="1803"/>
      <c r="E110" s="1803"/>
      <c r="F110" s="1803"/>
      <c r="G110" s="1826"/>
      <c r="H110" s="1826"/>
      <c r="I110" s="1826"/>
      <c r="J110" s="1826"/>
      <c r="K110" s="1826"/>
      <c r="L110" s="1826"/>
      <c r="M110" s="1827"/>
      <c r="N110" s="2934"/>
      <c r="O110" s="2934"/>
      <c r="P110" s="1986"/>
      <c r="Q110" s="1750"/>
    </row>
    <row r="111" spans="1:17" ht="14.4"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4.4"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4"/>
      <c r="O114" s="2934"/>
      <c r="P114" s="1987"/>
      <c r="Q114" s="1802"/>
    </row>
    <row r="115" spans="1:17" ht="14.4">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c r="A116" s="1782"/>
      <c r="B116" s="1793"/>
      <c r="C116" s="1830"/>
      <c r="D116" s="1830"/>
      <c r="E116" s="1830"/>
      <c r="F116" s="1830"/>
      <c r="G116" s="1830"/>
      <c r="H116" s="1830"/>
      <c r="I116" s="1830"/>
      <c r="J116" s="485"/>
      <c r="K116" s="485"/>
      <c r="L116" s="485"/>
      <c r="M116" s="1831"/>
      <c r="N116" s="2933"/>
      <c r="O116" s="2933"/>
      <c r="P116" s="1986"/>
      <c r="Q116" s="1750"/>
    </row>
    <row r="117" spans="1:17" ht="14.4"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4.4"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4.4" thickBot="1">
      <c r="A127" s="1782"/>
      <c r="B127" s="1790"/>
      <c r="C127" s="1803"/>
      <c r="D127" s="1803"/>
      <c r="E127" s="1803"/>
      <c r="F127" s="1803"/>
      <c r="G127" s="1784"/>
      <c r="H127" s="1784"/>
      <c r="I127" s="1784"/>
      <c r="J127" s="1784"/>
      <c r="K127" s="1784"/>
      <c r="L127" s="1784"/>
      <c r="M127" s="1785"/>
      <c r="N127" s="2934"/>
      <c r="O127" s="2934"/>
      <c r="P127" s="1986"/>
      <c r="Q127" s="1750"/>
    </row>
    <row r="128" spans="1:17" ht="14.4"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4.4"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4.4">
      <c r="A4" s="294" t="s">
        <v>2005</v>
      </c>
      <c r="B4" s="295"/>
      <c r="C4" s="3676" t="s">
        <v>2006</v>
      </c>
      <c r="D4" s="3677"/>
      <c r="E4" s="3678" t="s">
        <v>2007</v>
      </c>
      <c r="F4" s="3679"/>
      <c r="G4" s="3676" t="s">
        <v>2008</v>
      </c>
      <c r="H4" s="3677"/>
      <c r="I4" s="3676" t="s">
        <v>2009</v>
      </c>
      <c r="J4" s="3677"/>
      <c r="K4" s="496" t="s">
        <v>2010</v>
      </c>
      <c r="L4" s="2942"/>
      <c r="M4" s="2943"/>
      <c r="N4" s="2943"/>
      <c r="O4" s="2943"/>
      <c r="P4" s="3680" t="s">
        <v>2011</v>
      </c>
      <c r="Q4" s="3681"/>
      <c r="R4" s="3663" t="s">
        <v>2007</v>
      </c>
      <c r="S4" s="3664"/>
      <c r="T4" s="3663" t="s">
        <v>2008</v>
      </c>
      <c r="U4" s="3664"/>
      <c r="V4" s="3686" t="s">
        <v>2009</v>
      </c>
      <c r="W4" s="3686"/>
      <c r="X4" s="1263"/>
      <c r="Y4" s="3663" t="s">
        <v>2011</v>
      </c>
      <c r="Z4" s="3664"/>
      <c r="AA4" s="3673" t="s">
        <v>2007</v>
      </c>
      <c r="AB4" s="3674" t="s">
        <v>2008</v>
      </c>
      <c r="AC4" s="3673" t="s">
        <v>2009</v>
      </c>
    </row>
    <row r="5" spans="1:29">
      <c r="A5" s="297"/>
      <c r="B5" s="298"/>
      <c r="C5" s="3689" t="s">
        <v>2012</v>
      </c>
      <c r="D5" s="3690"/>
      <c r="E5" s="3687" t="s">
        <v>2013</v>
      </c>
      <c r="F5" s="3688"/>
      <c r="G5" s="3689" t="s">
        <v>2014</v>
      </c>
      <c r="H5" s="3690"/>
      <c r="I5" s="3689" t="s">
        <v>2015</v>
      </c>
      <c r="J5" s="3690"/>
      <c r="K5" s="496"/>
      <c r="L5" s="2942"/>
      <c r="M5" s="2943"/>
      <c r="N5" s="2943"/>
      <c r="O5" s="2943"/>
      <c r="P5" s="3682"/>
      <c r="Q5" s="3683"/>
      <c r="R5" s="3665"/>
      <c r="S5" s="3666"/>
      <c r="T5" s="3665"/>
      <c r="U5" s="3666"/>
      <c r="V5" s="3686"/>
      <c r="W5" s="3686"/>
      <c r="X5" s="1263"/>
      <c r="Y5" s="3665"/>
      <c r="Z5" s="3666"/>
      <c r="AA5" s="3674"/>
      <c r="AB5" s="3674"/>
      <c r="AC5" s="3674"/>
    </row>
    <row r="6" spans="1:29" ht="15" thickBot="1">
      <c r="A6" s="299"/>
      <c r="B6" s="300"/>
      <c r="C6" s="3691" t="s">
        <v>2016</v>
      </c>
      <c r="D6" s="3692"/>
      <c r="E6" s="3693" t="s">
        <v>2016</v>
      </c>
      <c r="F6" s="3694"/>
      <c r="G6" s="3691" t="s">
        <v>2016</v>
      </c>
      <c r="H6" s="3692"/>
      <c r="I6" s="3691" t="s">
        <v>2016</v>
      </c>
      <c r="J6" s="3692"/>
      <c r="K6" s="496" t="s">
        <v>2017</v>
      </c>
      <c r="L6" s="2942"/>
      <c r="M6" s="2943"/>
      <c r="N6" s="2943"/>
      <c r="O6" s="2943"/>
      <c r="P6" s="3684"/>
      <c r="Q6" s="3685"/>
      <c r="R6" s="3665"/>
      <c r="S6" s="3666"/>
      <c r="T6" s="3667"/>
      <c r="U6" s="3668"/>
      <c r="V6" s="3686"/>
      <c r="W6" s="3686"/>
      <c r="X6" s="1263"/>
      <c r="Y6" s="3667"/>
      <c r="Z6" s="3668"/>
      <c r="AA6" s="3675"/>
      <c r="AB6" s="3675"/>
      <c r="AC6" s="3675"/>
    </row>
    <row r="7" spans="1:29" s="25" customFormat="1" ht="15" thickBot="1">
      <c r="A7" s="301" t="s">
        <v>2018</v>
      </c>
      <c r="B7" s="302"/>
      <c r="C7" s="303">
        <f>'数据-取费表'!B2</f>
        <v>44776</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61" t="s">
        <v>2019</v>
      </c>
      <c r="Q7" s="3669"/>
      <c r="R7" s="627" t="s">
        <v>25</v>
      </c>
      <c r="S7" s="628">
        <f t="shared" ref="S7:S15" si="0">F7</f>
        <v>0</v>
      </c>
      <c r="T7" s="627" t="s">
        <v>25</v>
      </c>
      <c r="U7" s="628">
        <f t="shared" ref="U7:U15" si="1">H7</f>
        <v>0</v>
      </c>
      <c r="V7" s="627" t="s">
        <v>25</v>
      </c>
      <c r="W7" s="628">
        <f t="shared" ref="W7:W15" si="2">J7</f>
        <v>0</v>
      </c>
      <c r="X7" s="629"/>
      <c r="Y7" s="3661" t="s">
        <v>2019</v>
      </c>
      <c r="Z7" s="3662"/>
      <c r="AA7" s="630" t="e">
        <f>D7/F7</f>
        <v>#DIV/0!</v>
      </c>
      <c r="AB7" s="630" t="e">
        <f>D7/H7</f>
        <v>#DIV/0!</v>
      </c>
      <c r="AC7" s="630" t="e">
        <f>D7/J7</f>
        <v>#DIV/0!</v>
      </c>
    </row>
    <row r="8" spans="1:29" s="25" customFormat="1" ht="1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61" t="s">
        <v>2022</v>
      </c>
      <c r="Q8" s="3662"/>
      <c r="R8" s="627" t="s">
        <v>25</v>
      </c>
      <c r="S8" s="628">
        <f t="shared" si="0"/>
        <v>0</v>
      </c>
      <c r="T8" s="627" t="s">
        <v>25</v>
      </c>
      <c r="U8" s="628">
        <f t="shared" si="1"/>
        <v>0</v>
      </c>
      <c r="V8" s="627" t="s">
        <v>25</v>
      </c>
      <c r="W8" s="628">
        <f t="shared" si="2"/>
        <v>0</v>
      </c>
      <c r="X8" s="629"/>
      <c r="Y8" s="3661" t="s">
        <v>2022</v>
      </c>
      <c r="Z8" s="3662"/>
      <c r="AA8" s="630" t="e">
        <f t="shared" ref="AA8:AA40" si="3">D8/F8</f>
        <v>#DIV/0!</v>
      </c>
      <c r="AB8" s="630" t="e">
        <f t="shared" ref="AB8:AB40" si="4">D8/H8</f>
        <v>#DIV/0!</v>
      </c>
      <c r="AC8" s="630" t="e">
        <f t="shared" ref="AC8:AC40" si="5">D8/J8</f>
        <v>#DIV/0!</v>
      </c>
    </row>
    <row r="9" spans="1:29" s="25" customFormat="1" ht="14.4">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53" t="s">
        <v>2025</v>
      </c>
      <c r="Q9" s="1255" t="str">
        <f t="shared" ref="Q9:Q15" si="6">B9</f>
        <v>用途</v>
      </c>
      <c r="R9" s="627" t="s">
        <v>25</v>
      </c>
      <c r="S9" s="628">
        <f t="shared" si="0"/>
        <v>100</v>
      </c>
      <c r="T9" s="627" t="s">
        <v>25</v>
      </c>
      <c r="U9" s="628">
        <f t="shared" si="1"/>
        <v>100</v>
      </c>
      <c r="V9" s="627" t="s">
        <v>25</v>
      </c>
      <c r="W9" s="628">
        <f t="shared" si="2"/>
        <v>100</v>
      </c>
      <c r="X9" s="629"/>
      <c r="Y9" s="3672" t="s">
        <v>2026</v>
      </c>
      <c r="Z9" s="19" t="str">
        <f t="shared" ref="Z9:Z15" si="7">Q9</f>
        <v>用途</v>
      </c>
      <c r="AA9" s="630">
        <f t="shared" si="3"/>
        <v>1</v>
      </c>
      <c r="AB9" s="630">
        <f t="shared" si="4"/>
        <v>1</v>
      </c>
      <c r="AC9" s="630">
        <f t="shared" si="5"/>
        <v>1</v>
      </c>
    </row>
    <row r="10" spans="1:29" s="317" customFormat="1" ht="28.8">
      <c r="A10" s="312"/>
      <c r="B10" s="313" t="s">
        <v>2027</v>
      </c>
      <c r="C10" s="322"/>
      <c r="D10" s="29">
        <v>100</v>
      </c>
      <c r="E10" s="322"/>
      <c r="F10" s="29">
        <f>ROUND(100/'数据-取费表'!B14,0)</f>
        <v>118</v>
      </c>
      <c r="G10" s="322"/>
      <c r="H10" s="29">
        <f>ROUND(100/'数据-取费表'!B14,0)</f>
        <v>118</v>
      </c>
      <c r="I10" s="322"/>
      <c r="J10" s="29">
        <f>ROUND(100/'数据-取费表'!B14,0)</f>
        <v>118</v>
      </c>
      <c r="K10" s="553"/>
      <c r="L10" s="2947"/>
      <c r="M10" s="2948"/>
      <c r="N10" s="2948"/>
      <c r="O10" s="2949"/>
      <c r="P10" s="3653"/>
      <c r="Q10" s="1255" t="str">
        <f t="shared" si="6"/>
        <v>土地使用年限（年）</v>
      </c>
      <c r="R10" s="627" t="s">
        <v>25</v>
      </c>
      <c r="S10" s="628">
        <f t="shared" si="0"/>
        <v>118</v>
      </c>
      <c r="T10" s="627" t="s">
        <v>25</v>
      </c>
      <c r="U10" s="628">
        <f t="shared" si="1"/>
        <v>118</v>
      </c>
      <c r="V10" s="627" t="s">
        <v>25</v>
      </c>
      <c r="W10" s="628">
        <f t="shared" si="2"/>
        <v>118</v>
      </c>
      <c r="X10" s="629"/>
      <c r="Y10" s="3672"/>
      <c r="Z10" s="19" t="str">
        <f t="shared" si="7"/>
        <v>土地使用年限（年）</v>
      </c>
      <c r="AA10" s="630">
        <f t="shared" si="3"/>
        <v>0.84745762711864403</v>
      </c>
      <c r="AB10" s="630">
        <f t="shared" si="4"/>
        <v>0.84745762711864403</v>
      </c>
      <c r="AC10" s="630">
        <f t="shared" si="5"/>
        <v>0.84745762711864403</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53"/>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53"/>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53"/>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53"/>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15">
      <c r="A15" s="329" t="s">
        <v>2029</v>
      </c>
      <c r="B15" s="511" t="s">
        <v>2250</v>
      </c>
      <c r="C15" s="1509">
        <f>估价对象房地状况!G15</f>
        <v>0</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0" t="s">
        <v>2030</v>
      </c>
      <c r="Q15" s="1262" t="str">
        <f t="shared" si="6"/>
        <v>产业集聚程度</v>
      </c>
      <c r="R15" s="631" t="s">
        <v>25</v>
      </c>
      <c r="S15" s="632">
        <f t="shared" si="0"/>
        <v>100</v>
      </c>
      <c r="T15" s="631" t="s">
        <v>25</v>
      </c>
      <c r="U15" s="632">
        <f t="shared" si="1"/>
        <v>100</v>
      </c>
      <c r="V15" s="631" t="s">
        <v>25</v>
      </c>
      <c r="W15" s="632">
        <f t="shared" si="2"/>
        <v>100</v>
      </c>
      <c r="X15" s="1263"/>
      <c r="Y15" s="3670"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71"/>
      <c r="Q16" s="1262"/>
      <c r="R16" s="631"/>
      <c r="S16" s="632"/>
      <c r="T16" s="631"/>
      <c r="U16" s="632"/>
      <c r="V16" s="631"/>
      <c r="W16" s="632"/>
      <c r="X16" s="1263"/>
      <c r="Y16" s="3671"/>
      <c r="Z16" s="1264"/>
      <c r="AA16" s="1265">
        <v>1</v>
      </c>
      <c r="AB16" s="1265">
        <v>1</v>
      </c>
      <c r="AC16" s="1265">
        <v>1</v>
      </c>
    </row>
    <row r="17" spans="1:29" ht="15">
      <c r="A17" s="318"/>
      <c r="B17" s="513" t="s">
        <v>2167</v>
      </c>
      <c r="C17" s="1495">
        <f>估价对象房地状况!G16</f>
        <v>0</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71"/>
      <c r="Q18" s="1262"/>
      <c r="R18" s="631"/>
      <c r="S18" s="632"/>
      <c r="T18" s="631"/>
      <c r="U18" s="632"/>
      <c r="V18" s="631"/>
      <c r="W18" s="632"/>
      <c r="X18" s="1263"/>
      <c r="Y18" s="3671"/>
      <c r="Z18" s="1264"/>
      <c r="AA18" s="1265">
        <v>1</v>
      </c>
      <c r="AB18" s="1265">
        <v>1</v>
      </c>
      <c r="AC18" s="1265">
        <v>1</v>
      </c>
    </row>
    <row r="19" spans="1:29" ht="28.8">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1"/>
      <c r="Q19" s="1262" t="str">
        <f t="shared" ref="Q19:Q33" si="8">B19</f>
        <v>区域土地利用方向</v>
      </c>
      <c r="R19" s="631" t="s">
        <v>25</v>
      </c>
      <c r="S19" s="632">
        <f>F19</f>
        <v>100</v>
      </c>
      <c r="T19" s="631" t="s">
        <v>25</v>
      </c>
      <c r="U19" s="632">
        <f>H19</f>
        <v>100</v>
      </c>
      <c r="V19" s="631" t="s">
        <v>25</v>
      </c>
      <c r="W19" s="632">
        <f>J19</f>
        <v>100</v>
      </c>
      <c r="X19" s="1263"/>
      <c r="Y19" s="367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71"/>
      <c r="Q20" s="1262"/>
      <c r="R20" s="631"/>
      <c r="S20" s="632"/>
      <c r="T20" s="631"/>
      <c r="U20" s="632"/>
      <c r="V20" s="631"/>
      <c r="W20" s="632"/>
      <c r="X20" s="1263"/>
      <c r="Y20" s="3671"/>
      <c r="Z20" s="1264"/>
      <c r="AA20" s="1265"/>
      <c r="AB20" s="1265"/>
      <c r="AC20" s="1265"/>
    </row>
    <row r="21" spans="1:29" ht="15">
      <c r="A21" s="297"/>
      <c r="B21" s="513" t="s">
        <v>2251</v>
      </c>
      <c r="C21" s="1495">
        <f>估价对象房地状况!G18</f>
        <v>0</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1"/>
      <c r="Q21" s="1262" t="str">
        <f t="shared" si="8"/>
        <v>环境状况</v>
      </c>
      <c r="R21" s="631" t="s">
        <v>25</v>
      </c>
      <c r="S21" s="632">
        <f>F21</f>
        <v>100</v>
      </c>
      <c r="T21" s="631" t="s">
        <v>25</v>
      </c>
      <c r="U21" s="632">
        <f>H21</f>
        <v>100</v>
      </c>
      <c r="V21" s="631" t="s">
        <v>25</v>
      </c>
      <c r="W21" s="632">
        <f>J21</f>
        <v>100</v>
      </c>
      <c r="X21" s="1263"/>
      <c r="Y21" s="367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71"/>
      <c r="Q22" s="1262"/>
      <c r="R22" s="631"/>
      <c r="S22" s="632"/>
      <c r="T22" s="631"/>
      <c r="U22" s="632"/>
      <c r="V22" s="631"/>
      <c r="W22" s="632"/>
      <c r="X22" s="1263"/>
      <c r="Y22" s="3671"/>
      <c r="Z22" s="1264"/>
      <c r="AA22" s="1265">
        <v>1</v>
      </c>
      <c r="AB22" s="1265">
        <v>1</v>
      </c>
      <c r="AC22" s="1265">
        <v>1</v>
      </c>
    </row>
    <row r="23" spans="1:29" s="25" customFormat="1" ht="15">
      <c r="A23" s="531"/>
      <c r="B23" s="513" t="s">
        <v>2116</v>
      </c>
      <c r="C23" s="1495">
        <f>估价对象房地状况!G19</f>
        <v>0</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1"/>
      <c r="Q23" s="1255" t="str">
        <f t="shared" si="8"/>
        <v>公共配套设施</v>
      </c>
      <c r="R23" s="627" t="s">
        <v>25</v>
      </c>
      <c r="S23" s="628">
        <f>F23</f>
        <v>100</v>
      </c>
      <c r="T23" s="627" t="s">
        <v>25</v>
      </c>
      <c r="U23" s="628">
        <f>H23</f>
        <v>100</v>
      </c>
      <c r="V23" s="627" t="s">
        <v>25</v>
      </c>
      <c r="W23" s="628">
        <f>J23</f>
        <v>100</v>
      </c>
      <c r="X23" s="629"/>
      <c r="Y23" s="367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71"/>
      <c r="Q24" s="1255"/>
      <c r="R24" s="627"/>
      <c r="S24" s="628"/>
      <c r="T24" s="627"/>
      <c r="U24" s="628"/>
      <c r="V24" s="627"/>
      <c r="W24" s="628"/>
      <c r="X24" s="629"/>
      <c r="Y24" s="3671"/>
      <c r="Z24" s="19"/>
      <c r="AA24" s="630">
        <v>1</v>
      </c>
      <c r="AB24" s="630">
        <v>1</v>
      </c>
      <c r="AC24" s="630">
        <v>1</v>
      </c>
    </row>
    <row r="25" spans="1:29" s="25" customFormat="1" ht="15">
      <c r="A25" s="531"/>
      <c r="B25" s="515" t="s">
        <v>2117</v>
      </c>
      <c r="C25" s="1495">
        <f>估价对象房地状况!G20</f>
        <v>0</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1"/>
      <c r="Q25" s="1255" t="str">
        <f t="shared" ref="Q25" si="9">B25</f>
        <v>基础设施水平</v>
      </c>
      <c r="R25" s="627" t="s">
        <v>25</v>
      </c>
      <c r="S25" s="628">
        <f>F25</f>
        <v>100</v>
      </c>
      <c r="T25" s="627" t="s">
        <v>25</v>
      </c>
      <c r="U25" s="628">
        <f>H25</f>
        <v>100</v>
      </c>
      <c r="V25" s="627" t="s">
        <v>25</v>
      </c>
      <c r="W25" s="628">
        <f>J25</f>
        <v>100</v>
      </c>
      <c r="X25" s="629"/>
      <c r="Y25" s="367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71"/>
      <c r="Q26" s="1255"/>
      <c r="R26" s="627"/>
      <c r="S26" s="628"/>
      <c r="T26" s="627"/>
      <c r="U26" s="628"/>
      <c r="V26" s="627"/>
      <c r="W26" s="628"/>
      <c r="X26" s="629"/>
      <c r="Y26" s="3671"/>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1"/>
      <c r="Z27" s="1264" t="str">
        <f t="shared" ref="Z27:Z40" si="13">Q27</f>
        <v>临街状况</v>
      </c>
      <c r="AA27" s="1265">
        <f t="shared" si="3"/>
        <v>1</v>
      </c>
      <c r="AB27" s="1265">
        <f t="shared" si="4"/>
        <v>1</v>
      </c>
      <c r="AC27" s="1265">
        <f t="shared" si="5"/>
        <v>1</v>
      </c>
    </row>
    <row r="28" spans="1:29" ht="28.8">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1"/>
      <c r="Q28" s="1262" t="str">
        <f t="shared" si="8"/>
        <v>毗邻道路的类型与等级</v>
      </c>
      <c r="R28" s="631" t="s">
        <v>25</v>
      </c>
      <c r="S28" s="632">
        <f t="shared" si="10"/>
        <v>100</v>
      </c>
      <c r="T28" s="631" t="s">
        <v>25</v>
      </c>
      <c r="U28" s="632">
        <f t="shared" si="11"/>
        <v>100</v>
      </c>
      <c r="V28" s="631" t="s">
        <v>25</v>
      </c>
      <c r="W28" s="632">
        <f t="shared" si="12"/>
        <v>100</v>
      </c>
      <c r="X28" s="1263"/>
      <c r="Y28" s="367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71"/>
      <c r="Q29" s="1262"/>
      <c r="R29" s="631"/>
      <c r="S29" s="632"/>
      <c r="T29" s="631"/>
      <c r="U29" s="632"/>
      <c r="V29" s="631"/>
      <c r="W29" s="632"/>
      <c r="X29" s="1263"/>
      <c r="Y29" s="3671"/>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1"/>
      <c r="Q30" s="1262" t="str">
        <f t="shared" si="8"/>
        <v>土地级别</v>
      </c>
      <c r="R30" s="631" t="s">
        <v>25</v>
      </c>
      <c r="S30" s="632">
        <f t="shared" si="10"/>
        <v>100</v>
      </c>
      <c r="T30" s="631" t="s">
        <v>25</v>
      </c>
      <c r="U30" s="632">
        <f t="shared" si="11"/>
        <v>100</v>
      </c>
      <c r="V30" s="631" t="s">
        <v>25</v>
      </c>
      <c r="W30" s="632">
        <f t="shared" si="12"/>
        <v>100</v>
      </c>
      <c r="X30" s="1263"/>
      <c r="Y30" s="367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1"/>
      <c r="Q31" s="1262">
        <f t="shared" si="8"/>
        <v>111</v>
      </c>
      <c r="R31" s="631" t="s">
        <v>25</v>
      </c>
      <c r="S31" s="632">
        <f t="shared" si="10"/>
        <v>100</v>
      </c>
      <c r="T31" s="631" t="s">
        <v>25</v>
      </c>
      <c r="U31" s="632">
        <f t="shared" si="11"/>
        <v>100</v>
      </c>
      <c r="V31" s="631" t="s">
        <v>25</v>
      </c>
      <c r="W31" s="632">
        <f t="shared" si="12"/>
        <v>100</v>
      </c>
      <c r="X31" s="1263"/>
      <c r="Y31" s="367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58" t="s">
        <v>2036</v>
      </c>
      <c r="Q32" s="1262">
        <f t="shared" si="8"/>
        <v>111</v>
      </c>
      <c r="R32" s="631" t="s">
        <v>25</v>
      </c>
      <c r="S32" s="632">
        <f t="shared" si="10"/>
        <v>100</v>
      </c>
      <c r="T32" s="631" t="s">
        <v>25</v>
      </c>
      <c r="U32" s="632">
        <f t="shared" si="11"/>
        <v>100</v>
      </c>
      <c r="V32" s="631" t="s">
        <v>25</v>
      </c>
      <c r="W32" s="632">
        <f t="shared" si="12"/>
        <v>100</v>
      </c>
      <c r="X32" s="1263"/>
      <c r="Y32" s="3659" t="s">
        <v>2036</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59"/>
      <c r="Q33" s="1262">
        <f t="shared" si="8"/>
        <v>111</v>
      </c>
      <c r="R33" s="634" t="s">
        <v>25</v>
      </c>
      <c r="S33" s="635">
        <f t="shared" si="10"/>
        <v>100</v>
      </c>
      <c r="T33" s="634" t="s">
        <v>25</v>
      </c>
      <c r="U33" s="635">
        <f t="shared" si="11"/>
        <v>100</v>
      </c>
      <c r="V33" s="634" t="s">
        <v>25</v>
      </c>
      <c r="W33" s="635">
        <f t="shared" si="12"/>
        <v>100</v>
      </c>
      <c r="X33" s="636"/>
      <c r="Y33" s="3659"/>
      <c r="Z33" s="637">
        <f t="shared" si="13"/>
        <v>111</v>
      </c>
      <c r="AA33" s="1265">
        <f t="shared" si="3"/>
        <v>1</v>
      </c>
      <c r="AB33" s="1265">
        <f t="shared" si="4"/>
        <v>1</v>
      </c>
      <c r="AC33" s="1265">
        <f t="shared" si="5"/>
        <v>1</v>
      </c>
    </row>
    <row r="34" spans="1:29" ht="15.6">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59"/>
      <c r="Q34" s="1262" t="str">
        <f>B34</f>
        <v>宗地面积</v>
      </c>
      <c r="R34" s="631" t="s">
        <v>25</v>
      </c>
      <c r="S34" s="632" t="e">
        <f t="shared" si="10"/>
        <v>#N/A</v>
      </c>
      <c r="T34" s="631" t="s">
        <v>25</v>
      </c>
      <c r="U34" s="632" t="e">
        <f t="shared" si="11"/>
        <v>#N/A</v>
      </c>
      <c r="V34" s="631" t="s">
        <v>25</v>
      </c>
      <c r="W34" s="632" t="e">
        <f t="shared" si="12"/>
        <v>#N/A</v>
      </c>
      <c r="X34" s="1263"/>
      <c r="Y34" s="3659"/>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59"/>
      <c r="Q35" s="1262" t="str">
        <f t="shared" ref="Q35:Q40" si="14">B35</f>
        <v>宗地形状</v>
      </c>
      <c r="R35" s="631" t="s">
        <v>25</v>
      </c>
      <c r="S35" s="632">
        <f t="shared" si="10"/>
        <v>100</v>
      </c>
      <c r="T35" s="631" t="s">
        <v>25</v>
      </c>
      <c r="U35" s="632">
        <f t="shared" si="11"/>
        <v>100</v>
      </c>
      <c r="V35" s="631" t="s">
        <v>25</v>
      </c>
      <c r="W35" s="632">
        <f t="shared" si="12"/>
        <v>100</v>
      </c>
      <c r="X35" s="1263"/>
      <c r="Y35" s="3659"/>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59"/>
      <c r="Q36" s="1262" t="str">
        <f t="shared" si="14"/>
        <v>宗地开发程度</v>
      </c>
      <c r="R36" s="627" t="s">
        <v>25</v>
      </c>
      <c r="S36" s="628">
        <f t="shared" si="10"/>
        <v>100</v>
      </c>
      <c r="T36" s="627" t="s">
        <v>25</v>
      </c>
      <c r="U36" s="628">
        <f t="shared" si="11"/>
        <v>100</v>
      </c>
      <c r="V36" s="627" t="s">
        <v>25</v>
      </c>
      <c r="W36" s="628">
        <f t="shared" si="12"/>
        <v>100</v>
      </c>
      <c r="X36" s="629"/>
      <c r="Y36" s="3659"/>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59" t="s">
        <v>2036</v>
      </c>
      <c r="Q37" s="1262" t="str">
        <f t="shared" si="14"/>
        <v>工程地质条件</v>
      </c>
      <c r="R37" s="631" t="s">
        <v>25</v>
      </c>
      <c r="S37" s="632">
        <f t="shared" si="10"/>
        <v>100</v>
      </c>
      <c r="T37" s="631" t="s">
        <v>25</v>
      </c>
      <c r="U37" s="632">
        <f t="shared" si="11"/>
        <v>100</v>
      </c>
      <c r="V37" s="631" t="s">
        <v>25</v>
      </c>
      <c r="W37" s="632">
        <f t="shared" si="12"/>
        <v>100</v>
      </c>
      <c r="X37" s="1263"/>
      <c r="Y37" s="3659"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59"/>
      <c r="Q38" s="1262">
        <f t="shared" si="14"/>
        <v>111</v>
      </c>
      <c r="R38" s="631" t="s">
        <v>25</v>
      </c>
      <c r="S38" s="632">
        <f t="shared" si="10"/>
        <v>100</v>
      </c>
      <c r="T38" s="631" t="s">
        <v>25</v>
      </c>
      <c r="U38" s="632">
        <f t="shared" si="11"/>
        <v>100</v>
      </c>
      <c r="V38" s="631" t="s">
        <v>25</v>
      </c>
      <c r="W38" s="632">
        <f t="shared" si="12"/>
        <v>100</v>
      </c>
      <c r="X38" s="1263"/>
      <c r="Y38" s="365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59"/>
      <c r="Q39" s="1262">
        <f t="shared" si="14"/>
        <v>111</v>
      </c>
      <c r="R39" s="631" t="s">
        <v>25</v>
      </c>
      <c r="S39" s="632">
        <f t="shared" si="10"/>
        <v>100</v>
      </c>
      <c r="T39" s="631" t="s">
        <v>25</v>
      </c>
      <c r="U39" s="632">
        <f t="shared" si="11"/>
        <v>100</v>
      </c>
      <c r="V39" s="631" t="s">
        <v>25</v>
      </c>
      <c r="W39" s="632">
        <f t="shared" si="12"/>
        <v>100</v>
      </c>
      <c r="X39" s="1263"/>
      <c r="Y39" s="3659"/>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59"/>
      <c r="Q40" s="1262">
        <f t="shared" si="14"/>
        <v>111</v>
      </c>
      <c r="R40" s="634" t="s">
        <v>25</v>
      </c>
      <c r="S40" s="635">
        <f t="shared" si="10"/>
        <v>100</v>
      </c>
      <c r="T40" s="634" t="s">
        <v>25</v>
      </c>
      <c r="U40" s="635">
        <f t="shared" si="11"/>
        <v>100</v>
      </c>
      <c r="V40" s="634" t="s">
        <v>25</v>
      </c>
      <c r="W40" s="635">
        <f t="shared" si="12"/>
        <v>100</v>
      </c>
      <c r="X40" s="636"/>
      <c r="Y40" s="3659"/>
      <c r="Z40" s="637">
        <f t="shared" si="13"/>
        <v>111</v>
      </c>
      <c r="AA40" s="1265">
        <f t="shared" si="3"/>
        <v>1</v>
      </c>
      <c r="AB40" s="1265">
        <f t="shared" si="4"/>
        <v>1</v>
      </c>
      <c r="AC40" s="1265">
        <f t="shared" si="5"/>
        <v>1</v>
      </c>
    </row>
    <row r="41" spans="1:29" ht="14.4">
      <c r="A41" s="367" t="s">
        <v>2178</v>
      </c>
      <c r="B41" s="1519" t="s">
        <v>2252</v>
      </c>
      <c r="C41" s="562" t="s">
        <v>1</v>
      </c>
      <c r="D41" s="369"/>
      <c r="E41" s="370"/>
      <c r="F41" s="371"/>
      <c r="G41" s="372"/>
      <c r="H41" s="373"/>
      <c r="I41" s="370"/>
      <c r="J41" s="373"/>
      <c r="K41" s="640"/>
      <c r="L41" s="2954"/>
      <c r="M41" s="2943"/>
      <c r="N41" s="2943"/>
      <c r="P41" s="3653" t="str">
        <f>A41</f>
        <v>成交单价</v>
      </c>
      <c r="Q41" s="3653"/>
      <c r="R41" s="3686">
        <f>E41</f>
        <v>0</v>
      </c>
      <c r="S41" s="3686"/>
      <c r="T41" s="3686">
        <f>G41</f>
        <v>0</v>
      </c>
      <c r="U41" s="3686"/>
      <c r="V41" s="3686">
        <f>I41</f>
        <v>0</v>
      </c>
      <c r="W41" s="3686"/>
      <c r="X41" s="618"/>
      <c r="Y41" s="638"/>
      <c r="Z41" s="618"/>
      <c r="AA41" s="618"/>
      <c r="AB41" s="618"/>
      <c r="AC41" s="618"/>
    </row>
    <row r="42" spans="1:29" ht="15" thickBot="1">
      <c r="A42" s="374" t="s">
        <v>2131</v>
      </c>
      <c r="B42" s="563"/>
      <c r="C42" s="377" t="e">
        <f>R43</f>
        <v>#DIV/0!</v>
      </c>
      <c r="D42" s="1725" t="s">
        <v>2499</v>
      </c>
      <c r="E42" s="377" t="e">
        <f>R42</f>
        <v>#DIV/0!</v>
      </c>
      <c r="F42" s="1727"/>
      <c r="G42" s="376" t="e">
        <f>T42</f>
        <v>#DIV/0!</v>
      </c>
      <c r="H42" s="1727"/>
      <c r="I42" s="377" t="e">
        <f>V42</f>
        <v>#DIV/0!</v>
      </c>
      <c r="J42" s="1727"/>
      <c r="K42" s="2429">
        <f>F42+H42+J42</f>
        <v>0</v>
      </c>
      <c r="L42" s="2954"/>
      <c r="M42" s="2943"/>
      <c r="N42" s="2943"/>
      <c r="P42" s="3653" t="str">
        <f>A42</f>
        <v>比较价值（元/平方米）</v>
      </c>
      <c r="Q42" s="3653"/>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 thickBot="1">
      <c r="A43" s="378" t="s">
        <v>2154</v>
      </c>
      <c r="B43" s="379"/>
      <c r="C43" s="380" t="e">
        <f>R43</f>
        <v>#DIV/0!</v>
      </c>
      <c r="D43" s="380"/>
      <c r="E43" s="380"/>
      <c r="F43" s="380"/>
      <c r="G43" s="380"/>
      <c r="H43" s="380"/>
      <c r="I43" s="380"/>
      <c r="J43" s="380"/>
      <c r="K43" s="641"/>
      <c r="L43" s="2954"/>
      <c r="M43" s="2943"/>
      <c r="N43" s="2943"/>
      <c r="P43" s="3655" t="str">
        <f>A43</f>
        <v>估价对象XX用房的比较价值（楼面单价，元/平方米）</v>
      </c>
      <c r="Q43" s="3656"/>
      <c r="R43" s="3697" t="e">
        <f>ROUND(IF(D42="简单平均",AVERAGE(R42:W42),R42*F42+T42*H42+V42*J42),0)</f>
        <v>#DIV/0!</v>
      </c>
      <c r="S43" s="3697"/>
      <c r="T43" s="3697"/>
      <c r="U43" s="3697"/>
      <c r="V43" s="3697"/>
      <c r="W43" s="3697"/>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4.4" thickBot="1">
      <c r="B49" s="2956"/>
      <c r="C49" s="2959"/>
      <c r="K49" s="2958"/>
      <c r="L49" s="2955"/>
    </row>
    <row r="50" spans="1:17" ht="28.8">
      <c r="A50" s="564" t="s">
        <v>2216</v>
      </c>
      <c r="B50" s="565" t="s">
        <v>2217</v>
      </c>
      <c r="C50" s="1520" t="s">
        <v>2218</v>
      </c>
      <c r="D50" s="1521" t="s">
        <v>2219</v>
      </c>
      <c r="E50" s="566" t="s">
        <v>2220</v>
      </c>
      <c r="F50" s="567" t="s">
        <v>2221</v>
      </c>
      <c r="G50" s="1264" t="s">
        <v>2253</v>
      </c>
      <c r="H50" s="1264">
        <f>项目基本情况!G8</f>
        <v>0</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2.2" thickBot="1">
      <c r="A63" s="620" t="s">
        <v>2136</v>
      </c>
      <c r="B63" s="618"/>
      <c r="C63" s="621"/>
      <c r="D63" s="621"/>
      <c r="E63" s="621"/>
      <c r="F63" s="622"/>
      <c r="G63" s="622"/>
      <c r="H63" s="621"/>
      <c r="I63" s="921"/>
      <c r="J63" s="921"/>
      <c r="K63" s="919"/>
      <c r="L63" s="920"/>
      <c r="M63" s="921"/>
      <c r="N63" s="921"/>
      <c r="O63" s="921"/>
      <c r="P63" s="389"/>
      <c r="Q63" s="390"/>
    </row>
    <row r="64" spans="1:17" s="394" customFormat="1" ht="14.4">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 thickBot="1">
      <c r="A66" s="400" t="s">
        <v>2056</v>
      </c>
      <c r="B66" s="401"/>
      <c r="C66" s="402"/>
      <c r="D66" s="403"/>
      <c r="E66" s="403"/>
      <c r="F66" s="403"/>
      <c r="G66" s="403"/>
      <c r="H66" s="403"/>
      <c r="I66" s="403"/>
      <c r="J66" s="403"/>
      <c r="K66" s="403"/>
      <c r="L66" s="403"/>
      <c r="M66" s="404"/>
      <c r="N66" s="403"/>
      <c r="O66" s="1114"/>
      <c r="P66" s="390"/>
      <c r="Q66" s="390"/>
    </row>
    <row r="67" spans="1:17" s="25" customFormat="1" ht="14.4">
      <c r="A67" s="406" t="s">
        <v>2020</v>
      </c>
      <c r="B67" s="396"/>
      <c r="C67" s="407" t="s">
        <v>2021</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2059</v>
      </c>
      <c r="B69" s="413" t="s">
        <v>2024</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2027</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2148</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2209</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2255</v>
      </c>
      <c r="B1" s="2026"/>
      <c r="C1" s="2027" t="s">
        <v>2256</v>
      </c>
      <c r="D1" s="2028">
        <f>SUM(D29:D30,D33:D39)</f>
        <v>829.41000000000008</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5.2">
      <c r="A2" s="1889" t="s">
        <v>2263</v>
      </c>
      <c r="B2" s="1587" t="e">
        <f>C26</f>
        <v>#REF!</v>
      </c>
      <c r="C2" s="2036" t="s">
        <v>2264</v>
      </c>
      <c r="D2" s="1530" t="s">
        <v>2265</v>
      </c>
      <c r="E2" s="2037" t="s">
        <v>2630</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2269</v>
      </c>
      <c r="B3" s="1587" t="e">
        <f>ROUND(B2/D1,0)</f>
        <v>#REF!</v>
      </c>
      <c r="C3" s="2036" t="s">
        <v>2270</v>
      </c>
      <c r="D3" s="1530" t="s">
        <v>2271</v>
      </c>
      <c r="E3" s="2037" t="s">
        <v>2632</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701"/>
      <c r="B4" s="3702"/>
      <c r="C4" s="3702"/>
      <c r="D4" s="3703"/>
      <c r="E4" s="3703"/>
      <c r="F4" s="3703"/>
      <c r="G4" s="3703"/>
      <c r="H4" s="3703"/>
      <c r="I4" s="3703"/>
      <c r="J4" s="3704"/>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5"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06"/>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99" t="s">
        <v>2291</v>
      </c>
      <c r="X8" s="3700"/>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06"/>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00"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6"/>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0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706"/>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00"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705">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00"/>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7"/>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70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7"/>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08"/>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9">
        <f>IF(E2="办公",2,IF(E2="工业",2,IF(E2="住宅",3,IF(E2="商业",IF(C8="不临58条商业街",2,3)))))</f>
        <v>3</v>
      </c>
      <c r="B16" s="1559" t="s">
        <v>2337</v>
      </c>
      <c r="C16" s="1535">
        <f>ROUND(IF(F17="与级别开发程度一致",0,(G17-E17)/C17),0)</f>
        <v>0</v>
      </c>
      <c r="D16" s="3722" t="s">
        <v>2341</v>
      </c>
      <c r="E16" s="3723"/>
      <c r="F16" s="3722" t="s">
        <v>2338</v>
      </c>
      <c r="G16" s="3723"/>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710"/>
      <c r="B17" s="1560" t="s">
        <v>2340</v>
      </c>
      <c r="C17" s="2106">
        <f>SUMPRODUCT((修正!A2:A7=E2)*(修正!B1:M1=G2)*(修正!B2:M7))</f>
        <v>0</v>
      </c>
      <c r="D17" s="2100" t="str">
        <f>IF(OR(G2="八级",G2="九级",G2="十级",G2="十一级",G2="十二级"),"五通一平","七通一平")</f>
        <v>七通一平</v>
      </c>
      <c r="E17" s="2107">
        <f>SUMPRODUCT((修正!B1:M1=G2)*(修正!B17:M17))</f>
        <v>0</v>
      </c>
      <c r="F17" s="2108" t="s">
        <v>2633</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4"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44776</v>
      </c>
      <c r="H19" s="2121" t="s">
        <v>2481</v>
      </c>
      <c r="I19" s="2122" t="str">
        <f>IF(H19="季度增幅（自定义）",SUMIF(N21:N24,E2,O21:O24),"")</f>
        <v/>
      </c>
      <c r="J19" s="2123"/>
      <c r="K19" s="2969"/>
      <c r="L19" s="2004" t="s">
        <v>2349</v>
      </c>
      <c r="M19" s="2124">
        <f>ROUND(SUMIF(地价!B2:F2,E2,地价!B41:F41),0)</f>
        <v>423</v>
      </c>
      <c r="N19" s="2125" t="s">
        <v>2350</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9.4" thickBot="1">
      <c r="A20" s="1646" t="s">
        <v>2351</v>
      </c>
      <c r="B20" s="1542" t="s">
        <v>2352</v>
      </c>
      <c r="C20" s="2129">
        <f>ROUND(POWER(1+G20,J20-I20)*(POWER(1+G20,I20)-1)/(POWER(1+G20,J20)-1),4)</f>
        <v>0.74880000000000002</v>
      </c>
      <c r="D20" s="2130" t="s">
        <v>2353</v>
      </c>
      <c r="E20" s="3068">
        <f>存贷款利率!E21/100</f>
        <v>4.3499999999999997E-2</v>
      </c>
      <c r="F20" s="2130" t="s">
        <v>2342</v>
      </c>
      <c r="G20" s="3069">
        <f>SUMIF(M26:P26,E2,M28:P28)</f>
        <v>0.05</v>
      </c>
      <c r="H20" s="2130" t="s">
        <v>2354</v>
      </c>
      <c r="I20" s="2131">
        <f>'数据-取费表'!B13</f>
        <v>26.4</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4">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4">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8.8">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4.4">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ht="25.2">
      <c r="A29" s="2171"/>
      <c r="B29" s="1548" t="s">
        <v>2379</v>
      </c>
      <c r="C29" s="54">
        <f>ROUND(C5*C18*C19*C20*C21*C24,0)</f>
        <v>0</v>
      </c>
      <c r="D29" s="2172">
        <f>项目基本情况!C12</f>
        <v>829.41000000000008</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8"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36">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19"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20"/>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20"/>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8" thickBot="1">
      <c r="A36" s="3721"/>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8"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ht="24">
      <c r="A41" s="1551"/>
      <c r="B41" s="2194" t="s">
        <v>2474</v>
      </c>
      <c r="C41" s="50">
        <f>ROUND(POWER(1+E41,H41-G41)*(POWER(1+E41,G41)-1)/(POWER(1+E41,H41)-1),4)</f>
        <v>0</v>
      </c>
      <c r="D41" s="50" t="s">
        <v>2472</v>
      </c>
      <c r="E41" s="2195">
        <f>G20</f>
        <v>0.05</v>
      </c>
      <c r="F41" s="50" t="s">
        <v>2473</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4.4">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5.2">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25.2">
      <c r="A48" s="2206" t="s">
        <v>2413</v>
      </c>
      <c r="B48" s="2210" t="str">
        <f>估价对象房地状况!C16</f>
        <v>较好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24">
      <c r="A49" s="2206" t="s">
        <v>2414</v>
      </c>
      <c r="B49" s="2218" t="str">
        <f>估价对象房地状况!C18</f>
        <v>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50.4">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t="str">
        <f>估价对象房地状况!C24</f>
        <v>较好</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36">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4">
      <c r="A54" s="2222" t="s">
        <v>2421</v>
      </c>
      <c r="B54" s="2223" t="str">
        <f>估价对象房地状况!C21</f>
        <v>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4">
      <c r="A55" s="2222" t="s">
        <v>2422</v>
      </c>
      <c r="B55" s="2218" t="str">
        <f>估价对象房地状况!C22</f>
        <v>六通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6.6" thickBot="1">
      <c r="A56" s="2224" t="s">
        <v>2423</v>
      </c>
      <c r="B56" s="2225" t="str">
        <f>估价对象房地状况!C20</f>
        <v>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4.4">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5.2">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24">
      <c r="A59" s="2206" t="s">
        <v>2428</v>
      </c>
      <c r="B59" s="2210">
        <f>估价对象房地状况!C17</f>
        <v>0</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24">
      <c r="A60" s="2206" t="s">
        <v>2414</v>
      </c>
      <c r="B60" s="2218" t="str">
        <f>估价对象房地状况!C18</f>
        <v>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50.4">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t="str">
        <f>估价对象房地状况!C24</f>
        <v>较好</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36">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4">
      <c r="A65" s="2206" t="s">
        <v>2421</v>
      </c>
      <c r="B65" s="2223" t="str">
        <f>估价对象房地状况!C21</f>
        <v>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4">
      <c r="A66" s="2206" t="s">
        <v>2422</v>
      </c>
      <c r="B66" s="2223" t="str">
        <f>估价对象房地状况!C22</f>
        <v>六通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6.6" thickBot="1">
      <c r="A67" s="2224" t="s">
        <v>2423</v>
      </c>
      <c r="B67" s="2229" t="str">
        <f>估价对象房地状况!C20</f>
        <v>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4.4">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5.2">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24">
      <c r="A70" s="2206" t="s">
        <v>2430</v>
      </c>
      <c r="B70" s="2210">
        <f>估价对象房地状况!C15</f>
        <v>0</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24">
      <c r="A71" s="2206" t="s">
        <v>2414</v>
      </c>
      <c r="B71" s="2218" t="str">
        <f>估价对象房地状况!C18</f>
        <v>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3.8">
      <c r="A73" s="2206" t="s">
        <v>2431</v>
      </c>
      <c r="B73" s="2218" t="str">
        <f>估价对象房地状况!C24</f>
        <v>较好</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4">
      <c r="A74" s="2206" t="s">
        <v>2421</v>
      </c>
      <c r="B74" s="2223" t="str">
        <f>估价对象房地状况!C21</f>
        <v>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4">
      <c r="A75" s="2206" t="s">
        <v>2422</v>
      </c>
      <c r="B75" s="2223" t="str">
        <f>估价对象房地状况!C22</f>
        <v>六通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36">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6">
      <c r="A77" s="2206" t="s">
        <v>2423</v>
      </c>
      <c r="B77" s="2210" t="str">
        <f>估价对象房地状况!C20</f>
        <v>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36.6"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4.4">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5.2">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24">
      <c r="A81" s="2206" t="s">
        <v>2434</v>
      </c>
      <c r="B81" s="2218">
        <f>估价对象房地状况!G15</f>
        <v>0</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24">
      <c r="A82" s="2206" t="s">
        <v>2414</v>
      </c>
      <c r="B82" s="2218">
        <f>估价对象房地状况!G16</f>
        <v>0</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3.8">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4">
      <c r="A85" s="2206" t="s">
        <v>2421</v>
      </c>
      <c r="B85" s="2223">
        <f>估价对象房地状况!G19</f>
        <v>0</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4">
      <c r="A86" s="2206" t="s">
        <v>2422</v>
      </c>
      <c r="B86" s="2223">
        <f>估价对象房地状况!G20</f>
        <v>0</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36">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14.4" thickBot="1">
      <c r="A88" s="2224" t="s">
        <v>2435</v>
      </c>
      <c r="B88" s="2231">
        <f>估价对象房地状况!G18</f>
        <v>0</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711" t="s">
        <v>2436</v>
      </c>
      <c r="B90" s="3711"/>
      <c r="C90" s="3711"/>
      <c r="D90" s="3711"/>
      <c r="E90" s="3711"/>
      <c r="F90" s="3711"/>
      <c r="G90" s="3711"/>
      <c r="H90" s="3711"/>
      <c r="I90" s="3711"/>
      <c r="J90" s="3711"/>
      <c r="K90" s="2234"/>
      <c r="L90" s="2234"/>
      <c r="M90" s="2234"/>
      <c r="N90" s="2234"/>
      <c r="Q90" s="2975"/>
      <c r="R90" s="2975"/>
      <c r="S90" s="2975"/>
      <c r="T90" s="2975"/>
      <c r="U90" s="2975"/>
      <c r="V90" s="2975"/>
      <c r="W90" s="2975"/>
    </row>
    <row r="91" spans="1:33">
      <c r="A91" s="3713" t="s">
        <v>2437</v>
      </c>
      <c r="B91" s="3713"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713"/>
      <c r="B92" s="3713"/>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714"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71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71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71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71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71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715"/>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1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714"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71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71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71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71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71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71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715"/>
      <c r="B108" s="3717"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16"/>
      <c r="B109" s="371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712" t="s">
        <v>2444</v>
      </c>
      <c r="B110" s="3712"/>
      <c r="C110" s="3712"/>
      <c r="D110" s="3712"/>
      <c r="E110" s="3712"/>
      <c r="F110" s="3712"/>
      <c r="G110" s="3712"/>
      <c r="H110" s="3712"/>
      <c r="I110" s="3712"/>
      <c r="J110" s="3712"/>
      <c r="K110" s="2008"/>
      <c r="L110" s="2008"/>
      <c r="M110" s="2008"/>
      <c r="N110" s="2008"/>
      <c r="Q110" s="2975"/>
      <c r="R110" s="2975"/>
      <c r="S110" s="2975"/>
      <c r="T110" s="2975"/>
      <c r="U110" s="2975"/>
      <c r="V110" s="2975"/>
      <c r="W110" s="2975"/>
    </row>
    <row r="112" spans="1:23" ht="13.8" thickBot="1"/>
    <row r="113" spans="1:13" ht="25.8"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24" t="s">
        <v>597</v>
      </c>
      <c r="B1" s="3724"/>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4">
      <c r="A4" s="680" t="s">
        <v>533</v>
      </c>
      <c r="B4" s="686" t="str">
        <f>估价对象房地状况!C4</f>
        <v>较好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14.4">
      <c r="A5" s="680" t="s">
        <v>535</v>
      </c>
      <c r="B5" s="691" t="str">
        <f>估价对象房地状况!C6</f>
        <v>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t="str">
        <f>估价对象房地状况!C10</f>
        <v>较好</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4">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14.4">
      <c r="A16" s="680" t="s">
        <v>535</v>
      </c>
      <c r="B16" s="681" t="str">
        <f>估价对象房地状况!C6</f>
        <v>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t="str">
        <f>估价对象房地状况!C10</f>
        <v>较好</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14.4">
      <c r="A26" s="680" t="s">
        <v>544</v>
      </c>
      <c r="B26" s="686">
        <f>估价对象房地状况!C3</f>
        <v>0</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14.4">
      <c r="A27" s="680" t="s">
        <v>535</v>
      </c>
      <c r="B27" s="681" t="str">
        <f>估价对象房地状况!C6</f>
        <v>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t="str">
        <f>估价对象房地状况!C10</f>
        <v>较好</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14.4">
      <c r="A37" s="680" t="s">
        <v>547</v>
      </c>
      <c r="B37" s="681">
        <f>估价对象房地状况!G3</f>
        <v>0</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14.4">
      <c r="A38" s="680" t="s">
        <v>535</v>
      </c>
      <c r="B38" s="681">
        <f>估价对象房地状况!G4</f>
        <v>0</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f>估价对象房地状况!G19</f>
        <v>0</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15" thickBot="1">
      <c r="A44" s="694" t="s">
        <v>548</v>
      </c>
      <c r="B44" s="701">
        <f>估价对象房地状况!G18</f>
        <v>0</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24" t="s">
        <v>105</v>
      </c>
      <c r="B1" s="3724"/>
      <c r="C1" s="3724"/>
      <c r="D1" s="3724"/>
      <c r="E1" s="3724"/>
      <c r="F1" s="372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25" t="s">
        <v>118</v>
      </c>
      <c r="B2" s="3725"/>
      <c r="C2" s="3725"/>
      <c r="D2" s="3725"/>
      <c r="E2" s="3725"/>
      <c r="F2" s="372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2790</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2791</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2792</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2793</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2794</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2795</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2476</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2796</v>
      </c>
      <c r="B19" s="3285" t="s">
        <v>2797</v>
      </c>
      <c r="C19" s="3312" t="s">
        <v>561</v>
      </c>
      <c r="D19" s="3284"/>
      <c r="E19" s="3280" t="s">
        <v>3014</v>
      </c>
      <c r="F19" s="3313"/>
      <c r="G19" s="3313"/>
    </row>
    <row r="20" spans="1:13" ht="19.5" customHeight="1">
      <c r="A20" s="3731" t="s">
        <v>2790</v>
      </c>
      <c r="B20" s="3734" t="s">
        <v>2798</v>
      </c>
      <c r="C20" s="3286" t="s">
        <v>2799</v>
      </c>
      <c r="D20" s="3287"/>
      <c r="E20" s="3288">
        <v>1</v>
      </c>
      <c r="F20" s="3289" t="s">
        <v>2800</v>
      </c>
      <c r="G20" s="3289"/>
    </row>
    <row r="21" spans="1:13" ht="19.5" customHeight="1">
      <c r="A21" s="3732"/>
      <c r="B21" s="3729"/>
      <c r="C21" s="740" t="s">
        <v>2801</v>
      </c>
      <c r="D21" s="741"/>
      <c r="E21" s="3290">
        <v>1</v>
      </c>
      <c r="F21" s="3289" t="s">
        <v>2802</v>
      </c>
      <c r="G21" s="3289"/>
    </row>
    <row r="22" spans="1:13" ht="19.5" customHeight="1">
      <c r="A22" s="3732"/>
      <c r="B22" s="3729"/>
      <c r="C22" s="740" t="s">
        <v>2803</v>
      </c>
      <c r="D22" s="741"/>
      <c r="E22" s="3290">
        <v>0.9</v>
      </c>
      <c r="F22" s="3289" t="s">
        <v>2804</v>
      </c>
      <c r="G22" s="3289"/>
    </row>
    <row r="23" spans="1:13" ht="19.5" customHeight="1">
      <c r="A23" s="3732"/>
      <c r="B23" s="3729"/>
      <c r="C23" s="740" t="s">
        <v>2805</v>
      </c>
      <c r="D23" s="741"/>
      <c r="E23" s="3290">
        <v>0.9</v>
      </c>
      <c r="F23" s="3289" t="s">
        <v>2806</v>
      </c>
      <c r="G23" s="3289"/>
    </row>
    <row r="24" spans="1:13" ht="19.5" customHeight="1">
      <c r="A24" s="3732"/>
      <c r="B24" s="3729"/>
      <c r="C24" s="740" t="s">
        <v>2807</v>
      </c>
      <c r="D24" s="741"/>
      <c r="E24" s="3290">
        <v>0.8</v>
      </c>
      <c r="F24" s="3289" t="s">
        <v>2808</v>
      </c>
      <c r="G24" s="3289"/>
    </row>
    <row r="25" spans="1:13" ht="19.5" customHeight="1" thickBot="1">
      <c r="A25" s="3733"/>
      <c r="B25" s="3735"/>
      <c r="C25" s="3291" t="s">
        <v>2809</v>
      </c>
      <c r="D25" s="3292"/>
      <c r="E25" s="3293">
        <v>0.8</v>
      </c>
      <c r="F25" s="3289" t="s">
        <v>2810</v>
      </c>
      <c r="G25" s="3289"/>
    </row>
    <row r="26" spans="1:13" ht="19.5" customHeight="1" thickBot="1">
      <c r="A26" s="3294" t="s">
        <v>2791</v>
      </c>
      <c r="B26" s="3295" t="s">
        <v>2798</v>
      </c>
      <c r="C26" s="3296" t="s">
        <v>2811</v>
      </c>
      <c r="D26" s="3297"/>
      <c r="E26" s="3298">
        <v>1</v>
      </c>
      <c r="F26" s="3289" t="s">
        <v>2852</v>
      </c>
      <c r="G26" s="3289"/>
    </row>
    <row r="27" spans="1:13" ht="19.5" customHeight="1">
      <c r="A27" s="3736" t="s">
        <v>2795</v>
      </c>
      <c r="B27" s="3734" t="s">
        <v>2795</v>
      </c>
      <c r="C27" s="3286" t="s">
        <v>2812</v>
      </c>
      <c r="D27" s="3287"/>
      <c r="E27" s="3288">
        <v>1</v>
      </c>
      <c r="F27" s="3289" t="s">
        <v>2853</v>
      </c>
      <c r="G27" s="3289"/>
    </row>
    <row r="28" spans="1:13" ht="19.5" customHeight="1">
      <c r="A28" s="3737"/>
      <c r="B28" s="3729"/>
      <c r="C28" s="740" t="s">
        <v>2813</v>
      </c>
      <c r="D28" s="741"/>
      <c r="E28" s="3290">
        <v>1</v>
      </c>
      <c r="F28" s="3289" t="s">
        <v>2854</v>
      </c>
      <c r="G28" s="3289"/>
    </row>
    <row r="29" spans="1:13" ht="19.5" customHeight="1">
      <c r="A29" s="3737"/>
      <c r="B29" s="3729"/>
      <c r="C29" s="740" t="s">
        <v>2814</v>
      </c>
      <c r="D29" s="741"/>
      <c r="E29" s="3290">
        <v>0.8</v>
      </c>
      <c r="F29" s="3289" t="s">
        <v>2855</v>
      </c>
      <c r="G29" s="3289"/>
    </row>
    <row r="30" spans="1:13" ht="19.5" customHeight="1">
      <c r="A30" s="3737"/>
      <c r="B30" s="3729"/>
      <c r="C30" s="740" t="s">
        <v>2815</v>
      </c>
      <c r="D30" s="741"/>
      <c r="E30" s="3290">
        <v>0.8</v>
      </c>
      <c r="F30" s="3289" t="s">
        <v>2856</v>
      </c>
      <c r="G30" s="3289"/>
    </row>
    <row r="31" spans="1:13" ht="19.5" customHeight="1">
      <c r="A31" s="3737"/>
      <c r="B31" s="3729"/>
      <c r="C31" s="740" t="s">
        <v>2816</v>
      </c>
      <c r="D31" s="741"/>
      <c r="E31" s="3290">
        <v>0.8</v>
      </c>
      <c r="F31" s="3289" t="s">
        <v>2857</v>
      </c>
      <c r="G31" s="3289"/>
    </row>
    <row r="32" spans="1:13" ht="19.5" customHeight="1">
      <c r="A32" s="3737"/>
      <c r="B32" s="3729"/>
      <c r="C32" s="740" t="s">
        <v>2817</v>
      </c>
      <c r="D32" s="741"/>
      <c r="E32" s="3290">
        <v>0.7</v>
      </c>
      <c r="F32" s="3289" t="s">
        <v>2858</v>
      </c>
      <c r="G32" s="3289"/>
    </row>
    <row r="33" spans="1:7" ht="19.5" customHeight="1">
      <c r="A33" s="3737"/>
      <c r="B33" s="3729"/>
      <c r="C33" s="740" t="s">
        <v>2818</v>
      </c>
      <c r="D33" s="741"/>
      <c r="E33" s="3290">
        <v>0.8</v>
      </c>
      <c r="F33" s="3289" t="s">
        <v>2859</v>
      </c>
      <c r="G33" s="3289"/>
    </row>
    <row r="34" spans="1:7" ht="19.5" customHeight="1">
      <c r="A34" s="3737"/>
      <c r="B34" s="3729"/>
      <c r="C34" s="740" t="s">
        <v>2819</v>
      </c>
      <c r="D34" s="741"/>
      <c r="E34" s="3290">
        <v>0.6</v>
      </c>
      <c r="F34" s="3289" t="s">
        <v>2860</v>
      </c>
      <c r="G34" s="3289"/>
    </row>
    <row r="35" spans="1:7" ht="19.5" customHeight="1">
      <c r="A35" s="3737"/>
      <c r="B35" s="3729"/>
      <c r="C35" s="740" t="s">
        <v>2820</v>
      </c>
      <c r="D35" s="741"/>
      <c r="E35" s="3290">
        <v>0.2</v>
      </c>
      <c r="F35" s="3289" t="s">
        <v>2861</v>
      </c>
      <c r="G35" s="3289"/>
    </row>
    <row r="36" spans="1:7" ht="19.5" customHeight="1">
      <c r="A36" s="3737"/>
      <c r="B36" s="3729"/>
      <c r="C36" s="740" t="s">
        <v>2821</v>
      </c>
      <c r="D36" s="741"/>
      <c r="E36" s="3290">
        <v>0.2</v>
      </c>
      <c r="F36" s="3289" t="s">
        <v>2862</v>
      </c>
      <c r="G36" s="3289"/>
    </row>
    <row r="37" spans="1:7" ht="19.5" customHeight="1">
      <c r="A37" s="3737"/>
      <c r="B37" s="3728" t="s">
        <v>2822</v>
      </c>
      <c r="C37" s="740" t="s">
        <v>2823</v>
      </c>
      <c r="D37" s="741"/>
      <c r="E37" s="3290">
        <v>0.6</v>
      </c>
      <c r="F37" s="3289" t="s">
        <v>2863</v>
      </c>
      <c r="G37" s="3289"/>
    </row>
    <row r="38" spans="1:7" ht="19.5" customHeight="1">
      <c r="A38" s="3737"/>
      <c r="B38" s="3729"/>
      <c r="C38" s="740" t="s">
        <v>2824</v>
      </c>
      <c r="D38" s="741"/>
      <c r="E38" s="3290">
        <v>0.6</v>
      </c>
      <c r="F38" s="3289" t="s">
        <v>2864</v>
      </c>
      <c r="G38" s="3289"/>
    </row>
    <row r="39" spans="1:7" ht="19.5" customHeight="1" thickBot="1">
      <c r="A39" s="3738"/>
      <c r="B39" s="3735"/>
      <c r="C39" s="3291" t="s">
        <v>2825</v>
      </c>
      <c r="D39" s="3292"/>
      <c r="E39" s="3293">
        <v>0.6</v>
      </c>
      <c r="F39" s="3289" t="s">
        <v>2865</v>
      </c>
      <c r="G39" s="3289"/>
    </row>
    <row r="40" spans="1:7" ht="19.5" customHeight="1" thickBot="1">
      <c r="A40" s="3294" t="s">
        <v>2826</v>
      </c>
      <c r="B40" s="3295" t="s">
        <v>2826</v>
      </c>
      <c r="C40" s="3296" t="s">
        <v>2827</v>
      </c>
      <c r="D40" s="3297"/>
      <c r="E40" s="3298">
        <v>1</v>
      </c>
      <c r="F40" s="3289" t="s">
        <v>2866</v>
      </c>
      <c r="G40" s="3289"/>
    </row>
    <row r="41" spans="1:7" ht="19.5" customHeight="1">
      <c r="A41" s="3731" t="s">
        <v>2828</v>
      </c>
      <c r="B41" s="3734" t="s">
        <v>2829</v>
      </c>
      <c r="C41" s="3286" t="s">
        <v>2830</v>
      </c>
      <c r="D41" s="3287"/>
      <c r="E41" s="3288">
        <v>1</v>
      </c>
      <c r="F41" s="3289" t="s">
        <v>2831</v>
      </c>
      <c r="G41" s="3289"/>
    </row>
    <row r="42" spans="1:7" ht="19.5" customHeight="1">
      <c r="A42" s="3732"/>
      <c r="B42" s="3729"/>
      <c r="C42" s="740" t="s">
        <v>2832</v>
      </c>
      <c r="D42" s="741"/>
      <c r="E42" s="3290">
        <v>1</v>
      </c>
      <c r="F42" s="3289" t="s">
        <v>2833</v>
      </c>
      <c r="G42" s="3289"/>
    </row>
    <row r="43" spans="1:7" ht="19.5" customHeight="1">
      <c r="A43" s="3732"/>
      <c r="B43" s="3730"/>
      <c r="C43" s="740" t="s">
        <v>2834</v>
      </c>
      <c r="D43" s="741"/>
      <c r="E43" s="3290">
        <v>1.5</v>
      </c>
      <c r="F43" s="3289" t="s">
        <v>2835</v>
      </c>
      <c r="G43" s="3289"/>
    </row>
    <row r="44" spans="1:7" ht="19.5" customHeight="1">
      <c r="A44" s="3732"/>
      <c r="B44" s="3299" t="s">
        <v>2795</v>
      </c>
      <c r="C44" s="740" t="s">
        <v>2794</v>
      </c>
      <c r="D44" s="741"/>
      <c r="E44" s="3290">
        <v>2</v>
      </c>
      <c r="F44" s="3289" t="s">
        <v>2836</v>
      </c>
      <c r="G44" s="3289"/>
    </row>
    <row r="45" spans="1:7" ht="19.5" customHeight="1">
      <c r="A45" s="3732"/>
      <c r="B45" s="3728" t="s">
        <v>2837</v>
      </c>
      <c r="C45" s="740" t="s">
        <v>2838</v>
      </c>
      <c r="D45" s="741"/>
      <c r="E45" s="3290">
        <v>1</v>
      </c>
      <c r="F45" s="3289" t="s">
        <v>2839</v>
      </c>
      <c r="G45" s="3289"/>
    </row>
    <row r="46" spans="1:7" ht="19.5" customHeight="1">
      <c r="A46" s="3732"/>
      <c r="B46" s="3729"/>
      <c r="C46" s="740" t="s">
        <v>2840</v>
      </c>
      <c r="D46" s="741"/>
      <c r="E46" s="3290">
        <v>1</v>
      </c>
      <c r="F46" s="3289" t="s">
        <v>2841</v>
      </c>
      <c r="G46" s="3289"/>
    </row>
    <row r="47" spans="1:7" ht="19.5" customHeight="1">
      <c r="A47" s="3732"/>
      <c r="B47" s="3729"/>
      <c r="C47" s="740" t="s">
        <v>2842</v>
      </c>
      <c r="D47" s="741"/>
      <c r="E47" s="3290">
        <v>1</v>
      </c>
      <c r="F47" s="3289" t="s">
        <v>2843</v>
      </c>
      <c r="G47" s="3289"/>
    </row>
    <row r="48" spans="1:7" ht="19.5" customHeight="1">
      <c r="A48" s="3732"/>
      <c r="B48" s="3729"/>
      <c r="C48" s="740" t="s">
        <v>2844</v>
      </c>
      <c r="D48" s="741"/>
      <c r="E48" s="3290">
        <v>1</v>
      </c>
      <c r="F48" s="3289" t="s">
        <v>2845</v>
      </c>
      <c r="G48" s="3289"/>
    </row>
    <row r="49" spans="1:7" ht="19.5" customHeight="1">
      <c r="A49" s="3732"/>
      <c r="B49" s="3729"/>
      <c r="C49" s="740" t="s">
        <v>2846</v>
      </c>
      <c r="D49" s="741"/>
      <c r="E49" s="3290">
        <v>1</v>
      </c>
      <c r="F49" s="3289" t="s">
        <v>2847</v>
      </c>
      <c r="G49" s="3289"/>
    </row>
    <row r="50" spans="1:7" ht="19.5" customHeight="1">
      <c r="A50" s="3732"/>
      <c r="B50" s="3729"/>
      <c r="C50" s="740" t="s">
        <v>2848</v>
      </c>
      <c r="D50" s="741"/>
      <c r="E50" s="3290">
        <v>1</v>
      </c>
      <c r="F50" s="3289" t="s">
        <v>2849</v>
      </c>
      <c r="G50" s="3289"/>
    </row>
    <row r="51" spans="1:7" ht="19.5" customHeight="1" thickBot="1">
      <c r="A51" s="3733"/>
      <c r="B51" s="3735"/>
      <c r="C51" s="3291" t="s">
        <v>2850</v>
      </c>
      <c r="D51" s="3292"/>
      <c r="E51" s="3293">
        <v>1</v>
      </c>
      <c r="F51" s="3289" t="s">
        <v>2851</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4.4">
      <c r="A72" s="3299"/>
      <c r="B72" s="3299"/>
      <c r="C72" s="3299" t="s">
        <v>2867</v>
      </c>
      <c r="D72" s="3299"/>
      <c r="E72" s="3305" t="s">
        <v>1</v>
      </c>
      <c r="F72" s="3299" t="s">
        <v>1</v>
      </c>
    </row>
    <row r="73" spans="1:7" ht="14.4">
      <c r="A73" s="3299">
        <v>1</v>
      </c>
      <c r="B73" s="3728" t="s">
        <v>2868</v>
      </c>
      <c r="C73" s="3280" t="s">
        <v>2869</v>
      </c>
      <c r="D73" s="3280" t="s">
        <v>2870</v>
      </c>
      <c r="E73" s="3305">
        <v>0.2</v>
      </c>
      <c r="F73" s="3299">
        <v>25</v>
      </c>
    </row>
    <row r="74" spans="1:7" ht="24">
      <c r="A74" s="3299">
        <v>2</v>
      </c>
      <c r="B74" s="3729"/>
      <c r="C74" s="3280" t="s">
        <v>2871</v>
      </c>
      <c r="D74" s="3280" t="s">
        <v>2872</v>
      </c>
      <c r="E74" s="3305">
        <v>0.2</v>
      </c>
      <c r="F74" s="3299">
        <v>25</v>
      </c>
    </row>
    <row r="75" spans="1:7" ht="24">
      <c r="A75" s="3299">
        <v>3</v>
      </c>
      <c r="B75" s="3729"/>
      <c r="C75" s="3280" t="s">
        <v>2873</v>
      </c>
      <c r="D75" s="3280" t="s">
        <v>2874</v>
      </c>
      <c r="E75" s="3305">
        <v>0.2</v>
      </c>
      <c r="F75" s="3299">
        <v>25</v>
      </c>
    </row>
    <row r="76" spans="1:7" ht="14.4">
      <c r="A76" s="3299">
        <v>4</v>
      </c>
      <c r="B76" s="3729"/>
      <c r="C76" s="3280" t="s">
        <v>2875</v>
      </c>
      <c r="D76" s="3280" t="s">
        <v>2876</v>
      </c>
      <c r="E76" s="3305">
        <v>0.15</v>
      </c>
      <c r="F76" s="3299">
        <v>20</v>
      </c>
    </row>
    <row r="77" spans="1:7" ht="24">
      <c r="A77" s="3299">
        <v>5</v>
      </c>
      <c r="B77" s="3729"/>
      <c r="C77" s="3280" t="s">
        <v>2877</v>
      </c>
      <c r="D77" s="3280" t="s">
        <v>2878</v>
      </c>
      <c r="E77" s="3305">
        <v>0.15</v>
      </c>
      <c r="F77" s="3299">
        <v>20</v>
      </c>
    </row>
    <row r="78" spans="1:7" ht="24">
      <c r="A78" s="3299">
        <v>6</v>
      </c>
      <c r="B78" s="3729"/>
      <c r="C78" s="3280" t="s">
        <v>2879</v>
      </c>
      <c r="D78" s="3280" t="s">
        <v>2880</v>
      </c>
      <c r="E78" s="3305">
        <v>0.15</v>
      </c>
      <c r="F78" s="3299">
        <v>20</v>
      </c>
    </row>
    <row r="79" spans="1:7" ht="24">
      <c r="A79" s="3299">
        <v>7</v>
      </c>
      <c r="B79" s="3729"/>
      <c r="C79" s="3280" t="s">
        <v>2881</v>
      </c>
      <c r="D79" s="3280" t="s">
        <v>2882</v>
      </c>
      <c r="E79" s="3305">
        <v>0.15</v>
      </c>
      <c r="F79" s="3299">
        <v>20</v>
      </c>
    </row>
    <row r="80" spans="1:7" ht="24">
      <c r="A80" s="3299">
        <v>8</v>
      </c>
      <c r="B80" s="3729"/>
      <c r="C80" s="3280" t="s">
        <v>2883</v>
      </c>
      <c r="D80" s="3280" t="s">
        <v>2884</v>
      </c>
      <c r="E80" s="3305">
        <v>0.1</v>
      </c>
      <c r="F80" s="3299">
        <v>15</v>
      </c>
    </row>
    <row r="81" spans="1:6" ht="24">
      <c r="A81" s="3299">
        <v>9</v>
      </c>
      <c r="B81" s="3729"/>
      <c r="C81" s="3280" t="s">
        <v>2885</v>
      </c>
      <c r="D81" s="3280" t="s">
        <v>2886</v>
      </c>
      <c r="E81" s="3305">
        <v>0.1</v>
      </c>
      <c r="F81" s="3299">
        <v>15</v>
      </c>
    </row>
    <row r="82" spans="1:6" ht="24">
      <c r="A82" s="3299">
        <v>10</v>
      </c>
      <c r="B82" s="3729"/>
      <c r="C82" s="3280" t="s">
        <v>2887</v>
      </c>
      <c r="D82" s="3280" t="s">
        <v>2888</v>
      </c>
      <c r="E82" s="3305">
        <v>0.1</v>
      </c>
      <c r="F82" s="3299">
        <v>15</v>
      </c>
    </row>
    <row r="83" spans="1:6" ht="24">
      <c r="A83" s="3299">
        <v>11</v>
      </c>
      <c r="B83" s="3729"/>
      <c r="C83" s="3280" t="s">
        <v>2889</v>
      </c>
      <c r="D83" s="3280" t="s">
        <v>2890</v>
      </c>
      <c r="E83" s="3305">
        <v>0.1</v>
      </c>
      <c r="F83" s="3299">
        <v>15</v>
      </c>
    </row>
    <row r="84" spans="1:6" ht="24">
      <c r="A84" s="3299">
        <v>12</v>
      </c>
      <c r="B84" s="3729"/>
      <c r="C84" s="3280" t="s">
        <v>2891</v>
      </c>
      <c r="D84" s="3280" t="s">
        <v>2892</v>
      </c>
      <c r="E84" s="3305">
        <v>0.1</v>
      </c>
      <c r="F84" s="3299">
        <v>15</v>
      </c>
    </row>
    <row r="85" spans="1:6" ht="24">
      <c r="A85" s="3299">
        <v>13</v>
      </c>
      <c r="B85" s="3729"/>
      <c r="C85" s="3280" t="s">
        <v>2893</v>
      </c>
      <c r="D85" s="3280" t="s">
        <v>2894</v>
      </c>
      <c r="E85" s="3305">
        <v>0.1</v>
      </c>
      <c r="F85" s="3299">
        <v>15</v>
      </c>
    </row>
    <row r="86" spans="1:6" ht="24">
      <c r="A86" s="3299">
        <v>14</v>
      </c>
      <c r="B86" s="3729"/>
      <c r="C86" s="3280" t="s">
        <v>2895</v>
      </c>
      <c r="D86" s="3280" t="s">
        <v>2896</v>
      </c>
      <c r="E86" s="3305">
        <v>0.1</v>
      </c>
      <c r="F86" s="3299">
        <v>15</v>
      </c>
    </row>
    <row r="87" spans="1:6" ht="24">
      <c r="A87" s="3299">
        <v>15</v>
      </c>
      <c r="B87" s="3729"/>
      <c r="C87" s="3280" t="s">
        <v>2897</v>
      </c>
      <c r="D87" s="3280" t="s">
        <v>2898</v>
      </c>
      <c r="E87" s="3305">
        <v>0.1</v>
      </c>
      <c r="F87" s="3299">
        <v>15</v>
      </c>
    </row>
    <row r="88" spans="1:6" ht="24">
      <c r="A88" s="3299">
        <v>16</v>
      </c>
      <c r="B88" s="3729"/>
      <c r="C88" s="3280" t="s">
        <v>2899</v>
      </c>
      <c r="D88" s="3280" t="s">
        <v>2900</v>
      </c>
      <c r="E88" s="3305">
        <v>0.1</v>
      </c>
      <c r="F88" s="3299">
        <v>15</v>
      </c>
    </row>
    <row r="89" spans="1:6" ht="24">
      <c r="A89" s="3299">
        <v>17</v>
      </c>
      <c r="B89" s="3730"/>
      <c r="C89" s="3280" t="s">
        <v>2901</v>
      </c>
      <c r="D89" s="3280" t="s">
        <v>2902</v>
      </c>
      <c r="E89" s="3305">
        <v>0.1</v>
      </c>
      <c r="F89" s="3299">
        <v>15</v>
      </c>
    </row>
    <row r="90" spans="1:6" ht="14.4">
      <c r="A90" s="3299">
        <v>18</v>
      </c>
      <c r="B90" s="3728" t="s">
        <v>2903</v>
      </c>
      <c r="C90" s="3280" t="s">
        <v>2904</v>
      </c>
      <c r="D90" s="3280" t="s">
        <v>2905</v>
      </c>
      <c r="E90" s="3305">
        <v>0.2</v>
      </c>
      <c r="F90" s="3299">
        <v>25</v>
      </c>
    </row>
    <row r="91" spans="1:6" ht="24">
      <c r="A91" s="3299">
        <v>19</v>
      </c>
      <c r="B91" s="3729"/>
      <c r="C91" s="3280" t="s">
        <v>2906</v>
      </c>
      <c r="D91" s="3280" t="s">
        <v>2907</v>
      </c>
      <c r="E91" s="3305">
        <v>0.2</v>
      </c>
      <c r="F91" s="3299">
        <v>25</v>
      </c>
    </row>
    <row r="92" spans="1:6" ht="14.4">
      <c r="A92" s="3299">
        <v>20</v>
      </c>
      <c r="B92" s="3729"/>
      <c r="C92" s="3280" t="s">
        <v>2908</v>
      </c>
      <c r="D92" s="3280" t="s">
        <v>2909</v>
      </c>
      <c r="E92" s="3305">
        <v>0.15</v>
      </c>
      <c r="F92" s="3299">
        <v>20</v>
      </c>
    </row>
    <row r="93" spans="1:6" ht="24">
      <c r="A93" s="3299">
        <v>21</v>
      </c>
      <c r="B93" s="3729"/>
      <c r="C93" s="3280" t="s">
        <v>2910</v>
      </c>
      <c r="D93" s="3280" t="s">
        <v>2911</v>
      </c>
      <c r="E93" s="3305">
        <v>0.15</v>
      </c>
      <c r="F93" s="3299">
        <v>20</v>
      </c>
    </row>
    <row r="94" spans="1:6" ht="24">
      <c r="A94" s="3299">
        <v>22</v>
      </c>
      <c r="B94" s="3729"/>
      <c r="C94" s="3280" t="s">
        <v>2912</v>
      </c>
      <c r="D94" s="3280" t="s">
        <v>2913</v>
      </c>
      <c r="E94" s="3305">
        <v>0.15</v>
      </c>
      <c r="F94" s="3299">
        <v>20</v>
      </c>
    </row>
    <row r="95" spans="1:6" ht="36">
      <c r="A95" s="3299">
        <v>23</v>
      </c>
      <c r="B95" s="3729"/>
      <c r="C95" s="3280" t="s">
        <v>2914</v>
      </c>
      <c r="D95" s="3280" t="s">
        <v>2915</v>
      </c>
      <c r="E95" s="3305">
        <v>0.15</v>
      </c>
      <c r="F95" s="3299">
        <v>20</v>
      </c>
    </row>
    <row r="96" spans="1:6" ht="24">
      <c r="A96" s="3299">
        <v>24</v>
      </c>
      <c r="B96" s="3729"/>
      <c r="C96" s="3280" t="s">
        <v>2916</v>
      </c>
      <c r="D96" s="3280" t="s">
        <v>2917</v>
      </c>
      <c r="E96" s="3305">
        <v>0.1</v>
      </c>
      <c r="F96" s="3299">
        <v>15</v>
      </c>
    </row>
    <row r="97" spans="1:6" ht="24">
      <c r="A97" s="3299">
        <v>25</v>
      </c>
      <c r="B97" s="3729"/>
      <c r="C97" s="3280" t="s">
        <v>2918</v>
      </c>
      <c r="D97" s="3280" t="s">
        <v>2919</v>
      </c>
      <c r="E97" s="3305">
        <v>0.1</v>
      </c>
      <c r="F97" s="3299">
        <v>15</v>
      </c>
    </row>
    <row r="98" spans="1:6" ht="24">
      <c r="A98" s="3299">
        <v>26</v>
      </c>
      <c r="B98" s="3729"/>
      <c r="C98" s="3280" t="s">
        <v>2920</v>
      </c>
      <c r="D98" s="3280" t="s">
        <v>2921</v>
      </c>
      <c r="E98" s="3305">
        <v>0.1</v>
      </c>
      <c r="F98" s="3299">
        <v>15</v>
      </c>
    </row>
    <row r="99" spans="1:6" ht="24">
      <c r="A99" s="3299">
        <v>27</v>
      </c>
      <c r="B99" s="3729"/>
      <c r="C99" s="3280" t="s">
        <v>2922</v>
      </c>
      <c r="D99" s="3280" t="s">
        <v>2923</v>
      </c>
      <c r="E99" s="3305">
        <v>0.1</v>
      </c>
      <c r="F99" s="3299">
        <v>15</v>
      </c>
    </row>
    <row r="100" spans="1:6" ht="24">
      <c r="A100" s="3299">
        <v>28</v>
      </c>
      <c r="B100" s="3729"/>
      <c r="C100" s="3280" t="s">
        <v>2924</v>
      </c>
      <c r="D100" s="3280" t="s">
        <v>2925</v>
      </c>
      <c r="E100" s="3305">
        <v>0.1</v>
      </c>
      <c r="F100" s="3299">
        <v>15</v>
      </c>
    </row>
    <row r="101" spans="1:6" ht="24">
      <c r="A101" s="3299">
        <v>29</v>
      </c>
      <c r="B101" s="3729"/>
      <c r="C101" s="3280" t="s">
        <v>2926</v>
      </c>
      <c r="D101" s="3280" t="s">
        <v>2927</v>
      </c>
      <c r="E101" s="3305">
        <v>0.1</v>
      </c>
      <c r="F101" s="3299">
        <v>15</v>
      </c>
    </row>
    <row r="102" spans="1:6" ht="24">
      <c r="A102" s="3299">
        <v>30</v>
      </c>
      <c r="B102" s="3729"/>
      <c r="C102" s="3280" t="s">
        <v>2928</v>
      </c>
      <c r="D102" s="3280" t="s">
        <v>2929</v>
      </c>
      <c r="E102" s="3305">
        <v>0.1</v>
      </c>
      <c r="F102" s="3299">
        <v>15</v>
      </c>
    </row>
    <row r="103" spans="1:6" ht="24">
      <c r="A103" s="3299">
        <v>31</v>
      </c>
      <c r="B103" s="3729"/>
      <c r="C103" s="3280" t="s">
        <v>2930</v>
      </c>
      <c r="D103" s="3280" t="s">
        <v>2931</v>
      </c>
      <c r="E103" s="3305">
        <v>0.1</v>
      </c>
      <c r="F103" s="3299">
        <v>15</v>
      </c>
    </row>
    <row r="104" spans="1:6" ht="24">
      <c r="A104" s="3299">
        <v>32</v>
      </c>
      <c r="B104" s="3729"/>
      <c r="C104" s="3280" t="s">
        <v>2932</v>
      </c>
      <c r="D104" s="3280" t="s">
        <v>2933</v>
      </c>
      <c r="E104" s="3305">
        <v>0.1</v>
      </c>
      <c r="F104" s="3299">
        <v>15</v>
      </c>
    </row>
    <row r="105" spans="1:6" ht="24">
      <c r="A105" s="3299">
        <v>33</v>
      </c>
      <c r="B105" s="3729"/>
      <c r="C105" s="3280" t="s">
        <v>2934</v>
      </c>
      <c r="D105" s="3280" t="s">
        <v>2935</v>
      </c>
      <c r="E105" s="3305">
        <v>0.1</v>
      </c>
      <c r="F105" s="3299">
        <v>15</v>
      </c>
    </row>
    <row r="106" spans="1:6" ht="24">
      <c r="A106" s="3299">
        <v>34</v>
      </c>
      <c r="B106" s="3730"/>
      <c r="C106" s="3280" t="s">
        <v>2936</v>
      </c>
      <c r="D106" s="3280" t="s">
        <v>2937</v>
      </c>
      <c r="E106" s="3305">
        <v>0.1</v>
      </c>
      <c r="F106" s="3299">
        <v>15</v>
      </c>
    </row>
    <row r="107" spans="1:6" ht="36">
      <c r="A107" s="3299">
        <v>35</v>
      </c>
      <c r="B107" s="3728" t="s">
        <v>2938</v>
      </c>
      <c r="C107" s="3299" t="s">
        <v>2939</v>
      </c>
      <c r="D107" s="3280" t="s">
        <v>2940</v>
      </c>
      <c r="E107" s="3305">
        <v>0.15</v>
      </c>
      <c r="F107" s="3299">
        <v>20</v>
      </c>
    </row>
    <row r="108" spans="1:6" ht="24">
      <c r="A108" s="3299">
        <v>36</v>
      </c>
      <c r="B108" s="3729"/>
      <c r="C108" s="3299" t="s">
        <v>2941</v>
      </c>
      <c r="D108" s="3280" t="s">
        <v>2942</v>
      </c>
      <c r="E108" s="3305">
        <v>0.15</v>
      </c>
      <c r="F108" s="3299">
        <v>20</v>
      </c>
    </row>
    <row r="109" spans="1:6" ht="24">
      <c r="A109" s="3299">
        <v>37</v>
      </c>
      <c r="B109" s="3729"/>
      <c r="C109" s="3299" t="s">
        <v>2943</v>
      </c>
      <c r="D109" s="3280" t="s">
        <v>2944</v>
      </c>
      <c r="E109" s="3305">
        <v>0.15</v>
      </c>
      <c r="F109" s="3299">
        <v>20</v>
      </c>
    </row>
    <row r="110" spans="1:6" ht="24">
      <c r="A110" s="3299">
        <v>38</v>
      </c>
      <c r="B110" s="3729"/>
      <c r="C110" s="3299" t="s">
        <v>2945</v>
      </c>
      <c r="D110" s="3280" t="s">
        <v>2946</v>
      </c>
      <c r="E110" s="3305">
        <v>0.1</v>
      </c>
      <c r="F110" s="3299">
        <v>15</v>
      </c>
    </row>
    <row r="111" spans="1:6" ht="24">
      <c r="A111" s="3299">
        <v>39</v>
      </c>
      <c r="B111" s="3729"/>
      <c r="C111" s="3299" t="s">
        <v>2947</v>
      </c>
      <c r="D111" s="3280" t="s">
        <v>2948</v>
      </c>
      <c r="E111" s="3305">
        <v>0.1</v>
      </c>
      <c r="F111" s="3299">
        <v>15</v>
      </c>
    </row>
    <row r="112" spans="1:6" ht="24">
      <c r="A112" s="3299">
        <v>40</v>
      </c>
      <c r="B112" s="3730"/>
      <c r="C112" s="3299" t="s">
        <v>2949</v>
      </c>
      <c r="D112" s="3280" t="s">
        <v>2950</v>
      </c>
      <c r="E112" s="3305">
        <v>0.1</v>
      </c>
      <c r="F112" s="3299">
        <v>15</v>
      </c>
    </row>
    <row r="113" spans="1:6" ht="24">
      <c r="A113" s="3299">
        <v>41</v>
      </c>
      <c r="B113" s="3739" t="s">
        <v>2951</v>
      </c>
      <c r="C113" s="3299" t="s">
        <v>2952</v>
      </c>
      <c r="D113" s="3280" t="s">
        <v>2953</v>
      </c>
      <c r="E113" s="3305">
        <v>0.1</v>
      </c>
      <c r="F113" s="3299">
        <v>15</v>
      </c>
    </row>
    <row r="114" spans="1:6" ht="24">
      <c r="A114" s="3299">
        <v>42</v>
      </c>
      <c r="B114" s="3739"/>
      <c r="C114" s="3299" t="s">
        <v>2954</v>
      </c>
      <c r="D114" s="3280" t="s">
        <v>2955</v>
      </c>
      <c r="E114" s="3305">
        <v>0.1</v>
      </c>
      <c r="F114" s="3299">
        <v>15</v>
      </c>
    </row>
    <row r="115" spans="1:6" ht="24">
      <c r="A115" s="3299">
        <v>43</v>
      </c>
      <c r="B115" s="3739"/>
      <c r="C115" s="3299" t="s">
        <v>2956</v>
      </c>
      <c r="D115" s="3280" t="s">
        <v>2957</v>
      </c>
      <c r="E115" s="3305">
        <v>0.1</v>
      </c>
      <c r="F115" s="3299">
        <v>15</v>
      </c>
    </row>
    <row r="116" spans="1:6" ht="24">
      <c r="A116" s="3299">
        <v>44</v>
      </c>
      <c r="B116" s="3728" t="s">
        <v>2958</v>
      </c>
      <c r="C116" s="3299" t="s">
        <v>2959</v>
      </c>
      <c r="D116" s="3280" t="s">
        <v>2960</v>
      </c>
      <c r="E116" s="3305">
        <v>0.1</v>
      </c>
      <c r="F116" s="3299">
        <v>15</v>
      </c>
    </row>
    <row r="117" spans="1:6" ht="24">
      <c r="A117" s="3299">
        <v>45</v>
      </c>
      <c r="B117" s="3730"/>
      <c r="C117" s="3280" t="s">
        <v>2961</v>
      </c>
      <c r="D117" s="3280" t="s">
        <v>2962</v>
      </c>
      <c r="E117" s="3305">
        <v>0.1</v>
      </c>
      <c r="F117" s="3299">
        <v>15</v>
      </c>
    </row>
    <row r="118" spans="1:6" ht="24">
      <c r="A118" s="3299">
        <v>46</v>
      </c>
      <c r="B118" s="3728" t="s">
        <v>2963</v>
      </c>
      <c r="C118" s="3299" t="s">
        <v>2964</v>
      </c>
      <c r="D118" s="3280" t="s">
        <v>2965</v>
      </c>
      <c r="E118" s="3305">
        <v>0.1</v>
      </c>
      <c r="F118" s="3299">
        <v>15</v>
      </c>
    </row>
    <row r="119" spans="1:6" ht="24">
      <c r="A119" s="3299">
        <v>47</v>
      </c>
      <c r="B119" s="3730"/>
      <c r="C119" s="3299" t="s">
        <v>2966</v>
      </c>
      <c r="D119" s="3280" t="s">
        <v>2967</v>
      </c>
      <c r="E119" s="3305">
        <v>0.1</v>
      </c>
      <c r="F119" s="3299">
        <v>15</v>
      </c>
    </row>
    <row r="120" spans="1:6" ht="24">
      <c r="A120" s="3299">
        <v>48</v>
      </c>
      <c r="B120" s="3728" t="s">
        <v>2968</v>
      </c>
      <c r="C120" s="3299" t="s">
        <v>2969</v>
      </c>
      <c r="D120" s="3280" t="s">
        <v>2970</v>
      </c>
      <c r="E120" s="3305">
        <v>0.1</v>
      </c>
      <c r="F120" s="3299">
        <v>15</v>
      </c>
    </row>
    <row r="121" spans="1:6" ht="24">
      <c r="A121" s="3299">
        <v>49</v>
      </c>
      <c r="B121" s="3730"/>
      <c r="C121" s="3299" t="s">
        <v>2971</v>
      </c>
      <c r="D121" s="3280" t="s">
        <v>2972</v>
      </c>
      <c r="E121" s="3305">
        <v>0.1</v>
      </c>
      <c r="F121" s="3299">
        <v>15</v>
      </c>
    </row>
    <row r="122" spans="1:6" ht="24">
      <c r="A122" s="3299">
        <v>50</v>
      </c>
      <c r="B122" s="3739" t="s">
        <v>2973</v>
      </c>
      <c r="C122" s="3299" t="s">
        <v>2974</v>
      </c>
      <c r="D122" s="3280" t="s">
        <v>2975</v>
      </c>
      <c r="E122" s="3305">
        <v>0.1</v>
      </c>
      <c r="F122" s="3299">
        <v>15</v>
      </c>
    </row>
    <row r="123" spans="1:6" ht="24">
      <c r="A123" s="3299">
        <v>51</v>
      </c>
      <c r="B123" s="3739"/>
      <c r="C123" s="3299" t="s">
        <v>2976</v>
      </c>
      <c r="D123" s="3280" t="s">
        <v>2977</v>
      </c>
      <c r="E123" s="3305">
        <v>0.1</v>
      </c>
      <c r="F123" s="3299">
        <v>15</v>
      </c>
    </row>
    <row r="124" spans="1:6" ht="24">
      <c r="A124" s="3299">
        <v>52</v>
      </c>
      <c r="B124" s="3739" t="s">
        <v>2978</v>
      </c>
      <c r="C124" s="3299" t="s">
        <v>2979</v>
      </c>
      <c r="D124" s="3280" t="s">
        <v>2980</v>
      </c>
      <c r="E124" s="3305">
        <v>0.1</v>
      </c>
      <c r="F124" s="3299">
        <v>15</v>
      </c>
    </row>
    <row r="125" spans="1:6" ht="24">
      <c r="A125" s="3299">
        <v>53</v>
      </c>
      <c r="B125" s="3739"/>
      <c r="C125" s="3299" t="s">
        <v>2981</v>
      </c>
      <c r="D125" s="3280" t="s">
        <v>2982</v>
      </c>
      <c r="E125" s="3305">
        <v>0.1</v>
      </c>
      <c r="F125" s="3299">
        <v>15</v>
      </c>
    </row>
    <row r="126" spans="1:6" ht="24">
      <c r="A126" s="3299">
        <v>54</v>
      </c>
      <c r="B126" s="3299" t="s">
        <v>2983</v>
      </c>
      <c r="C126" s="3299" t="s">
        <v>2984</v>
      </c>
      <c r="D126" s="3280" t="s">
        <v>2985</v>
      </c>
      <c r="E126" s="3305">
        <v>0.1</v>
      </c>
      <c r="F126" s="3299">
        <v>15</v>
      </c>
    </row>
    <row r="127" spans="1:6" ht="24">
      <c r="A127" s="3299">
        <v>55</v>
      </c>
      <c r="B127" s="3739" t="s">
        <v>2986</v>
      </c>
      <c r="C127" s="3299" t="s">
        <v>2987</v>
      </c>
      <c r="D127" s="3280" t="s">
        <v>2988</v>
      </c>
      <c r="E127" s="3305">
        <v>0.1</v>
      </c>
      <c r="F127" s="3299">
        <v>15</v>
      </c>
    </row>
    <row r="128" spans="1:6" ht="24">
      <c r="A128" s="3299">
        <v>56</v>
      </c>
      <c r="B128" s="3739"/>
      <c r="C128" s="3299" t="s">
        <v>2989</v>
      </c>
      <c r="D128" s="3280" t="s">
        <v>2990</v>
      </c>
      <c r="E128" s="3305">
        <v>0.1</v>
      </c>
      <c r="F128" s="3299">
        <v>15</v>
      </c>
    </row>
    <row r="129" spans="1:6" ht="24">
      <c r="A129" s="3299">
        <v>57</v>
      </c>
      <c r="B129" s="3739"/>
      <c r="C129" s="3299" t="s">
        <v>2991</v>
      </c>
      <c r="D129" s="3280" t="s">
        <v>2992</v>
      </c>
      <c r="E129" s="3305">
        <v>0.1</v>
      </c>
      <c r="F129" s="3299">
        <v>15</v>
      </c>
    </row>
    <row r="130" spans="1:6" ht="24">
      <c r="A130" s="3299">
        <v>58</v>
      </c>
      <c r="B130" s="3739" t="s">
        <v>2993</v>
      </c>
      <c r="C130" s="3299" t="s">
        <v>2994</v>
      </c>
      <c r="D130" s="3280" t="s">
        <v>2995</v>
      </c>
      <c r="E130" s="3305">
        <v>0.1</v>
      </c>
      <c r="F130" s="3299">
        <v>15</v>
      </c>
    </row>
    <row r="131" spans="1:6" ht="24">
      <c r="A131" s="3299">
        <v>59</v>
      </c>
      <c r="B131" s="3739"/>
      <c r="C131" s="3299" t="s">
        <v>2996</v>
      </c>
      <c r="D131" s="3280" t="s">
        <v>2997</v>
      </c>
      <c r="E131" s="3305">
        <v>0.1</v>
      </c>
      <c r="F131" s="3299">
        <v>15</v>
      </c>
    </row>
    <row r="132" spans="1:6" ht="24">
      <c r="A132" s="3299">
        <v>60</v>
      </c>
      <c r="B132" s="3728" t="s">
        <v>2998</v>
      </c>
      <c r="C132" s="3299" t="s">
        <v>2999</v>
      </c>
      <c r="D132" s="3280" t="s">
        <v>3000</v>
      </c>
      <c r="E132" s="3305">
        <v>0.1</v>
      </c>
      <c r="F132" s="3299">
        <v>15</v>
      </c>
    </row>
    <row r="133" spans="1:6" ht="24">
      <c r="A133" s="3299">
        <v>61</v>
      </c>
      <c r="B133" s="3730"/>
      <c r="C133" s="3299" t="s">
        <v>3001</v>
      </c>
      <c r="D133" s="3280" t="s">
        <v>3002</v>
      </c>
      <c r="E133" s="3305">
        <v>0.1</v>
      </c>
      <c r="F133" s="3299">
        <v>15</v>
      </c>
    </row>
    <row r="134" spans="1:6" ht="24">
      <c r="A134" s="3299">
        <v>62</v>
      </c>
      <c r="B134" s="3299" t="s">
        <v>3003</v>
      </c>
      <c r="C134" s="3299" t="s">
        <v>3004</v>
      </c>
      <c r="D134" s="3280" t="s">
        <v>3005</v>
      </c>
      <c r="E134" s="3305">
        <v>0.1</v>
      </c>
      <c r="F134" s="3299">
        <v>15</v>
      </c>
    </row>
    <row r="135" spans="1:6" ht="24">
      <c r="A135" s="3299">
        <v>63</v>
      </c>
      <c r="B135" s="3739" t="s">
        <v>3006</v>
      </c>
      <c r="C135" s="3299" t="s">
        <v>3007</v>
      </c>
      <c r="D135" s="3280" t="s">
        <v>3008</v>
      </c>
      <c r="E135" s="3305">
        <v>0.1</v>
      </c>
      <c r="F135" s="3299">
        <v>15</v>
      </c>
    </row>
    <row r="136" spans="1:6" ht="24">
      <c r="A136" s="3299">
        <v>64</v>
      </c>
      <c r="B136" s="3739"/>
      <c r="C136" s="3299" t="s">
        <v>3009</v>
      </c>
      <c r="D136" s="3280" t="s">
        <v>3010</v>
      </c>
      <c r="E136" s="3305">
        <v>0.1</v>
      </c>
      <c r="F136" s="3299">
        <v>15</v>
      </c>
    </row>
    <row r="137" spans="1:6" ht="24">
      <c r="A137" s="3299">
        <v>65</v>
      </c>
      <c r="B137" s="3299" t="s">
        <v>3011</v>
      </c>
      <c r="C137" s="3299" t="s">
        <v>3012</v>
      </c>
      <c r="D137" s="3280" t="s">
        <v>3013</v>
      </c>
      <c r="E137" s="3305">
        <v>0.1</v>
      </c>
      <c r="F137" s="3299">
        <v>15</v>
      </c>
    </row>
    <row r="138" spans="1:6" ht="14.4">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F29" sqref="F29"/>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45" t="s">
        <v>782</v>
      </c>
      <c r="C1" s="3745"/>
      <c r="D1" s="3745"/>
      <c r="E1" s="3745"/>
      <c r="F1" s="3745"/>
      <c r="G1" s="3741" t="s">
        <v>783</v>
      </c>
      <c r="H1" s="3741"/>
      <c r="I1" s="3741"/>
      <c r="J1" s="3741"/>
      <c r="K1" s="3741"/>
      <c r="L1" s="3741"/>
      <c r="N1" s="3741" t="s">
        <v>784</v>
      </c>
      <c r="O1" s="3741"/>
      <c r="P1" s="3741"/>
      <c r="Q1" s="3741"/>
      <c r="S1" s="3741" t="s">
        <v>785</v>
      </c>
      <c r="T1" s="3741"/>
      <c r="U1" s="3741"/>
      <c r="V1" s="3741"/>
      <c r="X1" s="3740" t="s">
        <v>786</v>
      </c>
      <c r="Y1" s="3741"/>
      <c r="Z1" s="3741"/>
      <c r="AA1" s="3741"/>
      <c r="AB1" s="3741"/>
      <c r="AD1" s="3740" t="s">
        <v>787</v>
      </c>
      <c r="AE1" s="3741"/>
      <c r="AF1" s="3741"/>
      <c r="AG1" s="3741"/>
      <c r="AH1" s="3741"/>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2787</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 customHeight="1">
      <c r="A6" s="2287" t="s">
        <v>2786</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 customHeight="1">
      <c r="A7" s="2287" t="s">
        <v>2785</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 customHeight="1">
      <c r="A8" s="2287" t="s">
        <v>2784</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 customHeight="1">
      <c r="A9" s="2287" t="s">
        <v>2783</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 customHeight="1">
      <c r="A10" s="2287" t="s">
        <v>2782</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2636</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2635</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2634</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2628</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2627</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2491</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2488</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2486</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2484</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2479</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2480</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2475</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2470</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2469</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5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4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5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4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4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4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4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4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4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4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4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4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4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4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4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4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4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3">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44">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4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3">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44">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K13" sqref="K13"/>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44776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6.8">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5.6">
      <c r="A20" s="3064"/>
      <c r="B20" s="1209" t="s">
        <v>2629</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0"/>
      <c r="C2" s="3360"/>
      <c r="D2" s="3360"/>
      <c r="E2" s="3360"/>
    </row>
    <row r="3" spans="1:5" ht="13.5" customHeight="1">
      <c r="A3" s="1290"/>
      <c r="B3" s="1290"/>
      <c r="C3" s="1290"/>
      <c r="D3" s="1290"/>
      <c r="E3" s="1290"/>
    </row>
    <row r="4" spans="1:5" ht="18" thickBot="1">
      <c r="A4" s="3361" t="str">
        <f>IF(项目基本情况!D5="房地产市场价值","估价结果一览表（市场价值不需本页表格)","估价结果一览表")</f>
        <v>估价结果一览表</v>
      </c>
      <c r="B4" s="3361"/>
      <c r="C4" s="3361"/>
      <c r="D4" s="3361"/>
      <c r="E4" s="3361"/>
    </row>
    <row r="5" spans="1:5" ht="14.25" customHeight="1" thickTop="1">
      <c r="A5" s="1287"/>
      <c r="B5" s="1291" t="s">
        <v>562</v>
      </c>
      <c r="C5" s="3362" t="s">
        <v>593</v>
      </c>
      <c r="D5" s="3363"/>
      <c r="E5" s="1287"/>
    </row>
    <row r="6" spans="1:5" ht="15.6">
      <c r="A6" s="1287"/>
      <c r="B6" s="1292" t="str">
        <f>项目基本情况!I1</f>
        <v>房地产</v>
      </c>
      <c r="C6" s="3364">
        <f>项目基本情况!C12</f>
        <v>829.41000000000008</v>
      </c>
      <c r="D6" s="3364"/>
      <c r="E6" s="1287"/>
    </row>
    <row r="7" spans="1:5" ht="15.6">
      <c r="A7" s="1287"/>
      <c r="B7" s="3358" t="s">
        <v>594</v>
      </c>
      <c r="C7" s="1293" t="str">
        <f>IF('数据-取费表'!B3="万元","总价（万元）","总价（元）")</f>
        <v>总价（万元）</v>
      </c>
      <c r="D7" s="1294">
        <f ca="1">IF('数据-取费表'!E3="否",结果表!I102,'结果表 (1修多)'!I104)</f>
        <v>567</v>
      </c>
      <c r="E7" s="1287"/>
    </row>
    <row r="8" spans="1:5" ht="15.6">
      <c r="A8" s="1287"/>
      <c r="B8" s="3358"/>
      <c r="C8" s="1295" t="s">
        <v>924</v>
      </c>
      <c r="D8" s="1296" t="str">
        <f ca="1">IF('数据-取费表'!B3="万元",NUMBERSTRING(INT(D7*10000),2)&amp;"元整",NUMBERSTRING(INT(D7),2)&amp;"元整")</f>
        <v>伍佰陆拾柒万元整</v>
      </c>
      <c r="E8" s="1287"/>
    </row>
    <row r="9" spans="1:5" ht="15.6">
      <c r="A9" s="1287"/>
      <c r="B9" s="3358"/>
      <c r="C9" s="1297" t="s">
        <v>1020</v>
      </c>
      <c r="D9" s="1294">
        <f ca="1">IF('数据-取费表'!E3="否",结果表!I103,'结果表 (1修多)'!I105)</f>
        <v>6836</v>
      </c>
      <c r="E9" s="1287"/>
    </row>
    <row r="10" spans="1:5" ht="15.6">
      <c r="A10" s="1287"/>
      <c r="B10" s="336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65"/>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65" t="str">
        <f>IF('数据-取费表'!E3="否",结果表!F110,'结果表 (1修多)'!F112)</f>
        <v>3.房地产抵押价值</v>
      </c>
      <c r="C15" s="1288" t="str">
        <f>C7</f>
        <v>总价（万元）</v>
      </c>
      <c r="D15" s="1294">
        <f ca="1">IF('数据-取费表'!E3="否",结果表!I110,'结果表 (1修多)'!I112)</f>
        <v>567</v>
      </c>
      <c r="E15" s="1287"/>
    </row>
    <row r="16" spans="1:5" ht="15.6">
      <c r="A16" s="1287"/>
      <c r="B16" s="3365"/>
      <c r="C16" s="1295" t="s">
        <v>924</v>
      </c>
      <c r="D16" s="1294" t="str">
        <f ca="1">IF('数据-取费表'!B3="万元",NUMBERSTRING(INT(D15*10000),2)&amp;"元整",NUMBERSTRING(INT(D15),2)&amp;"元整")</f>
        <v>伍佰陆拾柒万元整</v>
      </c>
      <c r="E16" s="1287"/>
    </row>
    <row r="17" spans="1:5" ht="15.6">
      <c r="A17" s="1287"/>
      <c r="B17" s="3365"/>
      <c r="C17" s="1297" t="s">
        <v>1020</v>
      </c>
      <c r="D17" s="1294">
        <f ca="1">IF('数据-取费表'!E3="否",结果表!I111,'结果表 (1修多)'!I113)</f>
        <v>6836</v>
      </c>
      <c r="E17" s="1287"/>
    </row>
    <row r="18" spans="1:5" ht="15.6">
      <c r="A18" s="1287"/>
      <c r="B18" s="3365" t="str">
        <f>IF('数据-取费表'!E3="否",结果表!F112,'结果表 (1修多)'!F114)</f>
        <v>——</v>
      </c>
      <c r="C18" s="1288" t="str">
        <f>C7</f>
        <v>总价（万元）</v>
      </c>
      <c r="D18" s="1294" t="str">
        <f>IF('数据-取费表'!E3="否",结果表!I112,'结果表 (1修多)'!I114)</f>
        <v>——</v>
      </c>
      <c r="E18" s="1287"/>
    </row>
    <row r="19" spans="1:5" ht="15.6">
      <c r="A19" s="1287"/>
      <c r="B19" s="3365"/>
      <c r="C19" s="1295" t="s">
        <v>924</v>
      </c>
      <c r="D19" s="1294" t="e">
        <f>IF('数据-取费表'!B3="万元",NUMBERSTRING(INT(D18*10000),2)&amp;"元整",NUMBERSTRING(INT(D18),2)&amp;"元整")</f>
        <v>#VALUE!</v>
      </c>
      <c r="E19" s="1287"/>
    </row>
    <row r="20" spans="1:5" ht="15.6">
      <c r="A20" s="1287"/>
      <c r="B20" s="3365"/>
      <c r="C20" s="1297" t="s">
        <v>1020</v>
      </c>
      <c r="D20" s="1294" t="str">
        <f>IF('数据-取费表'!E3="否",结果表!I113,'结果表 (1修多)'!I115)</f>
        <v>——</v>
      </c>
      <c r="E20" s="1287"/>
    </row>
    <row r="21" spans="1:5" ht="15.6">
      <c r="A21" s="1287"/>
      <c r="B21" s="3358" t="str">
        <f>IF('数据-取费表'!E3="否",结果表!F114,'结果表 (1修多)'!F116)</f>
        <v>——</v>
      </c>
      <c r="C21" s="1293" t="str">
        <f>C7</f>
        <v>总价（万元）</v>
      </c>
      <c r="D21" s="1294" t="str">
        <f>IF('数据-取费表'!E3="否",结果表!I114,'结果表 (1修多)'!I116)</f>
        <v>——</v>
      </c>
      <c r="E21" s="1287"/>
    </row>
    <row r="22" spans="1:5" ht="15.6">
      <c r="A22" s="1287"/>
      <c r="B22" s="3358"/>
      <c r="C22" s="1295" t="s">
        <v>924</v>
      </c>
      <c r="D22" s="1296" t="e">
        <f>IF('数据-取费表'!B3="万元",NUMBERSTRING(INT(D21*10000),2)&amp;"元整",NUMBERSTRING(INT(D21),2)&amp;"元整")</f>
        <v>#VALUE!</v>
      </c>
      <c r="E22" s="1287"/>
    </row>
    <row r="23" spans="1:5" ht="16.2" thickBot="1">
      <c r="A23" s="1287"/>
      <c r="B23" s="3359"/>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50" t="s">
        <v>1021</v>
      </c>
      <c r="C25" s="3350"/>
      <c r="D25" s="3350"/>
      <c r="E25" s="1287"/>
    </row>
    <row r="26" spans="1:5" ht="18.75" customHeight="1" thickTop="1">
      <c r="A26" s="1287"/>
      <c r="B26" s="3353" t="s">
        <v>923</v>
      </c>
      <c r="C26" s="3354"/>
      <c r="D26" s="3351" t="s">
        <v>922</v>
      </c>
      <c r="E26" s="1287"/>
    </row>
    <row r="27" spans="1:5" ht="18.75" customHeight="1">
      <c r="A27" s="1287"/>
      <c r="B27" s="3355"/>
      <c r="C27" s="3356"/>
      <c r="D27" s="3352"/>
      <c r="E27" s="1287"/>
    </row>
    <row r="28" spans="1:5" ht="15.6">
      <c r="A28" s="1287"/>
      <c r="B28" s="3343" t="s">
        <v>594</v>
      </c>
      <c r="C28" s="1304" t="s">
        <v>925</v>
      </c>
      <c r="D28" s="1305">
        <f ca="1">IF('数据-取费表'!E3="否",结果表!I102,'结果表 (1修多)'!I104)</f>
        <v>567</v>
      </c>
      <c r="E28" s="1287"/>
    </row>
    <row r="29" spans="1:5" ht="15.6">
      <c r="A29" s="1287"/>
      <c r="B29" s="3344"/>
      <c r="C29" s="1306" t="s">
        <v>924</v>
      </c>
      <c r="D29" s="1307" t="str">
        <f ca="1">IF('数据-取费表'!B3="万元",NUMBERSTRING(INT(D28*10000),2)&amp;"元整",NUMBERSTRING(INT(D28),2)&amp;"元整")</f>
        <v>伍佰陆拾柒万元整</v>
      </c>
      <c r="E29" s="1287"/>
    </row>
    <row r="30" spans="1:5" ht="15.6">
      <c r="A30" s="1287"/>
      <c r="B30" s="3345"/>
      <c r="C30" s="1297" t="s">
        <v>927</v>
      </c>
      <c r="D30" s="1308">
        <f ca="1">IF('数据-取费表'!E3="否",结果表!I103,'结果表 (1修多)'!I105)</f>
        <v>6836</v>
      </c>
      <c r="E30" s="1287"/>
    </row>
    <row r="31" spans="1:5" ht="15.6">
      <c r="A31" s="1287"/>
      <c r="B31" s="3348" t="str">
        <f>B10</f>
        <v>2.估价师所知悉的法定优先受偿款</v>
      </c>
      <c r="C31" s="1309" t="s">
        <v>926</v>
      </c>
      <c r="D31" s="1310">
        <f>IF('数据-取费表'!E3="否",结果表!I105,'结果表 (1修多)'!I107)</f>
        <v>0</v>
      </c>
      <c r="E31" s="1287"/>
    </row>
    <row r="32" spans="1:5" ht="15.6">
      <c r="A32" s="1287"/>
      <c r="B32" s="3357"/>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46" t="str">
        <f>B15</f>
        <v>3.房地产抵押价值</v>
      </c>
      <c r="C36" s="1309" t="str">
        <f>C28</f>
        <v>总价</v>
      </c>
      <c r="D36" s="1310">
        <f ca="1">IF('数据-取费表'!E3="否",结果表!I110,'结果表 (1修多)'!I112)</f>
        <v>567</v>
      </c>
      <c r="E36" s="1287"/>
    </row>
    <row r="37" spans="1:5" ht="15.6">
      <c r="A37" s="1287"/>
      <c r="B37" s="3346"/>
      <c r="C37" s="1306" t="s">
        <v>924</v>
      </c>
      <c r="D37" s="1311" t="str">
        <f ca="1">IF('数据-取费表'!B3="万元",NUMBERSTRING(INT(D36*10000),2)&amp;"元整",NUMBERSTRING(INT(D36),2)&amp;"元整")</f>
        <v>伍佰陆拾柒万元整</v>
      </c>
      <c r="E37" s="1287"/>
    </row>
    <row r="38" spans="1:5" ht="15.6">
      <c r="A38" s="1287"/>
      <c r="B38" s="3346"/>
      <c r="C38" s="1297" t="s">
        <v>928</v>
      </c>
      <c r="D38" s="1308">
        <f ca="1">IF('数据-取费表'!E3="否",结果表!D113,'结果表 (1修多)'!D117)</f>
        <v>6836</v>
      </c>
      <c r="E38" s="1287"/>
    </row>
    <row r="39" spans="1:5" ht="15.6">
      <c r="A39" s="1287"/>
      <c r="B39" s="3347" t="str">
        <f>B18</f>
        <v>——</v>
      </c>
      <c r="C39" s="1309" t="str">
        <f>C28</f>
        <v>总价</v>
      </c>
      <c r="D39" s="1310" t="str">
        <f>IF('数据-取费表'!E3="否",结果表!I112,'结果表 (1修多)'!I114)</f>
        <v>——</v>
      </c>
      <c r="E39" s="1287"/>
    </row>
    <row r="40" spans="1:5" ht="15.6">
      <c r="A40" s="1287"/>
      <c r="B40" s="3347"/>
      <c r="C40" s="1306" t="s">
        <v>924</v>
      </c>
      <c r="D40" s="1311" t="e">
        <f>IF('数据-取费表'!B3="万元",NUMBERSTRING(INT(D39*10000),2)&amp;"元整",NUMBERSTRING(INT(D39),2)&amp;"元整")</f>
        <v>#VALUE!</v>
      </c>
      <c r="E40" s="1287"/>
    </row>
    <row r="41" spans="1:5" ht="15.6">
      <c r="A41" s="1287"/>
      <c r="B41" s="3347"/>
      <c r="C41" s="1297" t="s">
        <v>928</v>
      </c>
      <c r="D41" s="1308" t="str">
        <f>IF('数据-取费表'!E3="否",结果表!D115,'结果表 (1修多)'!D119)</f>
        <v>——</v>
      </c>
      <c r="E41" s="1287"/>
    </row>
    <row r="42" spans="1:5" ht="15.6">
      <c r="A42" s="1287"/>
      <c r="B42" s="3346" t="str">
        <f>B21</f>
        <v>——</v>
      </c>
      <c r="C42" s="1309" t="str">
        <f>C28</f>
        <v>总价</v>
      </c>
      <c r="D42" s="1310" t="str">
        <f>IF('数据-取费表'!E3="否",结果表!I114,'结果表 (1修多)'!I116)</f>
        <v>——</v>
      </c>
      <c r="E42" s="1287"/>
    </row>
    <row r="43" spans="1:5" ht="15.6">
      <c r="A43" s="1287"/>
      <c r="B43" s="3348"/>
      <c r="C43" s="1306" t="s">
        <v>924</v>
      </c>
      <c r="D43" s="1312" t="e">
        <f>IF('数据-取费表'!B3="万元",NUMBERSTRING(INT(D42*10000),2)&amp;"元整",NUMBERSTRING(INT(D42),2)&amp;"元整")</f>
        <v>#VALUE!</v>
      </c>
      <c r="E43" s="1287"/>
    </row>
    <row r="44" spans="1:5" ht="16.2" thickBot="1">
      <c r="A44" s="1287"/>
      <c r="B44" s="3349"/>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72" t="str">
        <f>IF(项目基本情况!D5="房地产市场价值","估价结果一览表","结果表-2")</f>
        <v>结果表-2</v>
      </c>
      <c r="B1" s="3372"/>
      <c r="C1" s="3372"/>
      <c r="D1" s="3372"/>
      <c r="E1" s="3372"/>
      <c r="F1" s="3372"/>
      <c r="G1" s="3372"/>
      <c r="H1" s="3372"/>
      <c r="I1" s="3372"/>
    </row>
    <row r="2" spans="1:9" ht="30" customHeight="1" thickTop="1">
      <c r="A2" s="3373" t="s">
        <v>1022</v>
      </c>
      <c r="B2" s="3373" t="s">
        <v>1023</v>
      </c>
      <c r="C2" s="3373" t="s">
        <v>1024</v>
      </c>
      <c r="D2" s="3373" t="str">
        <f>IF('数据-取费表'!E3="否",结果表!D119,'结果表 (1修多)'!D123)</f>
        <v>出让国有建设用地使用权价值</v>
      </c>
      <c r="E2" s="3373"/>
      <c r="F2" s="3373" t="s">
        <v>1025</v>
      </c>
      <c r="G2" s="3373"/>
      <c r="H2" s="3373" t="s">
        <v>1026</v>
      </c>
      <c r="I2" s="3373"/>
    </row>
    <row r="3" spans="1:9" ht="15.6">
      <c r="A3" s="3366"/>
      <c r="B3" s="3366"/>
      <c r="C3" s="3366"/>
      <c r="D3" s="776" t="s">
        <v>1027</v>
      </c>
      <c r="E3" s="776" t="s">
        <v>1028</v>
      </c>
      <c r="F3" s="776" t="s">
        <v>1027</v>
      </c>
      <c r="G3" s="776" t="s">
        <v>1029</v>
      </c>
      <c r="H3" s="776" t="s">
        <v>1027</v>
      </c>
      <c r="I3" s="776" t="s">
        <v>1029</v>
      </c>
    </row>
    <row r="4" spans="1:9" ht="46.5" customHeight="1">
      <c r="A4" s="776" t="str">
        <f>项目基本情况!I1</f>
        <v>房地产</v>
      </c>
      <c r="B4" s="776">
        <f>结果表!B121</f>
        <v>829.41000000000008</v>
      </c>
      <c r="C4" s="776">
        <f>结果表!C121</f>
        <v>30.71</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567</v>
      </c>
      <c r="I4" s="776">
        <f ca="1">IF('数据-取费表'!E3="否",结果表!I121,'结果表 (1修多)'!I125)</f>
        <v>6836</v>
      </c>
    </row>
    <row r="5" spans="1:9" ht="15">
      <c r="A5" s="3366" t="s">
        <v>1030</v>
      </c>
      <c r="B5" s="3366"/>
      <c r="C5" s="3366"/>
      <c r="D5" s="3367" t="str">
        <f>IF('数据-取费表'!E3="否",结果表!D122,'结果表 (1修多)'!D126)</f>
        <v>零元整</v>
      </c>
      <c r="E5" s="3367"/>
      <c r="F5" s="3367" t="str">
        <f>IF('数据-取费表'!E3="否",结果表!F122,'结果表 (1修多)'!F126)</f>
        <v>零元整</v>
      </c>
      <c r="G5" s="3367"/>
      <c r="H5" s="3367" t="str">
        <f ca="1">IF('数据-取费表'!E3="否",结果表!H122,'结果表 (1修多)'!H126)</f>
        <v>伍佰陆拾柒万元整</v>
      </c>
      <c r="I5" s="3367"/>
    </row>
    <row r="6" spans="1:9" ht="15.6">
      <c r="A6" s="3368" t="str">
        <f>IF('数据-取费表'!E3="否",结果表!A123,'结果表 (1修多)'!A127)</f>
        <v>估价师所知悉的法定优先受偿款</v>
      </c>
      <c r="B6" s="3368"/>
      <c r="C6" s="3368"/>
      <c r="D6" s="3368">
        <f>IF('数据-取费表'!E3="否",结果表!D123,'结果表 (1修多)'!D127)</f>
        <v>0</v>
      </c>
      <c r="E6" s="3368"/>
      <c r="F6" s="3368"/>
      <c r="G6" s="3368"/>
      <c r="H6" s="3368"/>
      <c r="I6" s="3368"/>
    </row>
    <row r="7" spans="1:9" ht="15">
      <c r="A7" s="3366" t="s">
        <v>1030</v>
      </c>
      <c r="B7" s="3366"/>
      <c r="C7" s="3366"/>
      <c r="D7" s="3374">
        <f>IF('数据-取费表'!E3="否",结果表!D124,'结果表 (1修多)'!D128)</f>
        <v>0</v>
      </c>
      <c r="E7" s="3375"/>
      <c r="F7" s="3375"/>
      <c r="G7" s="3375"/>
      <c r="H7" s="3375"/>
      <c r="I7" s="3376"/>
    </row>
    <row r="8" spans="1:9" ht="15.6">
      <c r="A8" s="3368" t="str">
        <f>IF('数据-取费表'!E3="否",结果表!A125,'结果表 (1修多)'!A129)</f>
        <v>房地产抵押价值</v>
      </c>
      <c r="B8" s="3368"/>
      <c r="C8" s="3368"/>
      <c r="D8" s="3368">
        <f ca="1">IF('数据-取费表'!E3="否",结果表!D125,'结果表 (1修多)'!D129)</f>
        <v>567</v>
      </c>
      <c r="E8" s="3368"/>
      <c r="F8" s="3368"/>
      <c r="G8" s="3368"/>
      <c r="H8" s="3368"/>
      <c r="I8" s="3368"/>
    </row>
    <row r="9" spans="1:9" ht="15">
      <c r="A9" s="3366" t="s">
        <v>1030</v>
      </c>
      <c r="B9" s="3366"/>
      <c r="C9" s="3366"/>
      <c r="D9" s="3367">
        <f ca="1">IF('数据-取费表'!E3="否",结果表!D126,'结果表 (1修多)'!D130)</f>
        <v>6836</v>
      </c>
      <c r="E9" s="3367"/>
      <c r="F9" s="3367"/>
      <c r="G9" s="3367"/>
      <c r="H9" s="3367"/>
      <c r="I9" s="3367"/>
    </row>
    <row r="10" spans="1:9" ht="15.6">
      <c r="A10" s="3368" t="str">
        <f>IF('数据-取费表'!E3="否",结果表!A127,'结果表 (1修多)'!A131)</f>
        <v/>
      </c>
      <c r="B10" s="3368"/>
      <c r="C10" s="3368"/>
      <c r="D10" s="3368">
        <f ca="1">IF('数据-取费表'!E3="否",结果表!D127,'结果表 (1修多)'!D130)</f>
        <v>6836</v>
      </c>
      <c r="E10" s="3368"/>
      <c r="F10" s="3368"/>
      <c r="G10" s="3368"/>
      <c r="H10" s="3368"/>
      <c r="I10" s="3368"/>
    </row>
    <row r="11" spans="1:9" ht="15">
      <c r="A11" s="3366" t="s">
        <v>1030</v>
      </c>
      <c r="B11" s="3366"/>
      <c r="C11" s="3366"/>
      <c r="D11" s="3367" t="str">
        <f>IF('数据-取费表'!E3="否",结果表!D128,'结果表 (1修多)'!D132)</f>
        <v>——</v>
      </c>
      <c r="E11" s="3367"/>
      <c r="F11" s="3367"/>
      <c r="G11" s="3367"/>
      <c r="H11" s="3367"/>
      <c r="I11" s="3367"/>
    </row>
    <row r="12" spans="1:9" ht="15.6">
      <c r="A12" s="3368" t="str">
        <f>IF('数据-取费表'!E3="否",结果表!A129,'结果表 (1修多)'!A133)</f>
        <v/>
      </c>
      <c r="B12" s="3368"/>
      <c r="C12" s="3368"/>
      <c r="D12" s="3368" t="str">
        <f>IF('数据-取费表'!E3="否",结果表!D129,'结果表 (1修多)'!D133)</f>
        <v>——</v>
      </c>
      <c r="E12" s="3368"/>
      <c r="F12" s="3368"/>
      <c r="G12" s="3368"/>
      <c r="H12" s="3368"/>
      <c r="I12" s="3368"/>
    </row>
    <row r="13" spans="1:9" ht="15.6" thickBot="1">
      <c r="A13" s="3369" t="s">
        <v>1030</v>
      </c>
      <c r="B13" s="3369"/>
      <c r="C13" s="3369"/>
      <c r="D13" s="3370">
        <f>IF('数据-取费表'!E3="否",结果表!D130,'结果表 (1修多)'!D134)</f>
        <v>0</v>
      </c>
      <c r="E13" s="3370"/>
      <c r="F13" s="3370"/>
      <c r="G13" s="3370"/>
      <c r="H13" s="3370"/>
      <c r="I13" s="3370"/>
    </row>
    <row r="14" spans="1:9" ht="14.4" thickTop="1">
      <c r="A14" s="3371" t="str">
        <f>IF('数据-取费表'!E3="否",结果表!A131,'结果表 (1修多)'!A135)</f>
        <v>单位：平方米、万元、元/平方米（币种：人民币）</v>
      </c>
      <c r="B14" s="3371"/>
      <c r="C14" s="3371"/>
      <c r="D14" s="3371"/>
      <c r="E14" s="3371"/>
      <c r="F14" s="3371"/>
      <c r="G14" s="3371"/>
      <c r="H14" s="3371"/>
      <c r="I14" s="3371"/>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78" t="s">
        <v>1043</v>
      </c>
      <c r="B1" s="3378"/>
      <c r="C1" s="3378"/>
      <c r="D1" s="3378"/>
    </row>
    <row r="2" spans="1:4" ht="17.399999999999999">
      <c r="A2" s="3377" t="s">
        <v>1032</v>
      </c>
      <c r="B2" s="3377"/>
      <c r="C2" s="3377"/>
      <c r="D2" s="3377"/>
    </row>
    <row r="3" spans="1:4" ht="17.399999999999999">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7.399999999999999">
      <c r="A7" s="3377" t="s">
        <v>1037</v>
      </c>
      <c r="B7" s="3377"/>
      <c r="C7" s="3377"/>
      <c r="D7" s="3377"/>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79" t="s">
        <v>2492</v>
      </c>
      <c r="B12" s="3380"/>
      <c r="C12" s="3380"/>
      <c r="D12" s="3380"/>
    </row>
    <row r="13" spans="1:4" ht="15.6">
      <c r="A13" s="33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0"/>
      <c r="C13" s="3380"/>
      <c r="D13" s="3380"/>
    </row>
    <row r="14" spans="1:4" ht="30" customHeight="1">
      <c r="A14" s="3379" t="str">
        <f>IF(项目基本情况!D4="抵押","3.抵押双方在办理抵押登记手续时，应使用本公司出具的正式《不动产估价报告书》，特提醒报告使用者注意。","——")</f>
        <v>——</v>
      </c>
      <c r="B14" s="3380"/>
      <c r="C14" s="3380"/>
      <c r="D14" s="3380"/>
    </row>
    <row r="15" spans="1:4" ht="15.75" customHeight="1">
      <c r="A15" s="3379" t="str">
        <f>IF(项目基本情况!D4="抵押","4.本次评估估价师所知悉的法定优先受偿款情况说明如下：","——")</f>
        <v>——</v>
      </c>
      <c r="B15" s="3380"/>
      <c r="C15" s="3380"/>
      <c r="D15" s="3380"/>
    </row>
    <row r="16" spans="1:4" ht="75" customHeight="1">
      <c r="A16" s="3379" t="str">
        <f>IF(项目基本情况!D4="抵押",CONCATENATE(项目基本情况!J13,项目基本情况!J14,项目基本情况!J15),"——")</f>
        <v>——</v>
      </c>
      <c r="B16" s="3379"/>
      <c r="C16" s="3379"/>
      <c r="D16" s="3379"/>
    </row>
    <row r="17" spans="1:4" ht="63.75" customHeight="1">
      <c r="A17" s="3381" t="s">
        <v>1045</v>
      </c>
      <c r="B17" s="3381"/>
      <c r="C17" s="3381"/>
      <c r="D17" s="3381"/>
    </row>
    <row r="18" spans="1:4" ht="15.75" customHeight="1">
      <c r="A18" s="3379" t="str">
        <f>IF(项目基本情况!D4="抵押",结果表!L106,"——")</f>
        <v>——</v>
      </c>
      <c r="B18" s="3379"/>
      <c r="C18" s="3379"/>
      <c r="D18" s="3379"/>
    </row>
    <row r="19" spans="1:4" ht="46.5" customHeight="1">
      <c r="A19" s="33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spans="1:4" ht="15">
      <c r="A20" s="3381" t="s">
        <v>2493</v>
      </c>
      <c r="B20" s="3381"/>
      <c r="C20" s="3381"/>
      <c r="D20" s="3381"/>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87" t="s">
        <v>1124</v>
      </c>
      <c r="B15" s="3382" t="s">
        <v>1125</v>
      </c>
      <c r="C15" s="3383"/>
    </row>
    <row r="16" spans="1:7" ht="14.4">
      <c r="A16" s="3388"/>
      <c r="B16" s="3382" t="s">
        <v>1126</v>
      </c>
      <c r="C16" s="3383"/>
    </row>
    <row r="17" spans="1:3" ht="14.4">
      <c r="A17" s="3388"/>
      <c r="B17" s="3382" t="s">
        <v>1127</v>
      </c>
      <c r="C17" s="3383"/>
    </row>
    <row r="18" spans="1:3" ht="14.4">
      <c r="A18" s="3389"/>
      <c r="B18" s="3384" t="s">
        <v>1128</v>
      </c>
      <c r="C18" s="3383"/>
    </row>
    <row r="19" spans="1:3" ht="14.4">
      <c r="A19" s="1340" t="s">
        <v>1129</v>
      </c>
      <c r="B19" s="1341"/>
      <c r="C19" s="1342"/>
    </row>
    <row r="20" spans="1:3" ht="14.4">
      <c r="A20" s="3385" t="s">
        <v>1130</v>
      </c>
      <c r="B20" s="3384" t="s">
        <v>1131</v>
      </c>
      <c r="C20" s="3383"/>
    </row>
    <row r="21" spans="1:3" ht="14.4">
      <c r="A21" s="3385"/>
      <c r="B21" s="3384" t="s">
        <v>1132</v>
      </c>
      <c r="C21" s="3383"/>
    </row>
    <row r="22" spans="1:3" ht="14.4">
      <c r="A22" s="3385"/>
      <c r="B22" s="3384" t="s">
        <v>1133</v>
      </c>
      <c r="C22" s="3383"/>
    </row>
    <row r="23" spans="1:3" ht="14.4">
      <c r="A23" s="3385"/>
      <c r="B23" s="3386" t="s">
        <v>1134</v>
      </c>
      <c r="C23" s="1343" t="s">
        <v>1135</v>
      </c>
    </row>
    <row r="24" spans="1:3" ht="14.4">
      <c r="A24" s="3385"/>
      <c r="B24" s="3386"/>
      <c r="C24" s="1343" t="s">
        <v>1136</v>
      </c>
    </row>
    <row r="25" spans="1:3" ht="14.4">
      <c r="A25" s="3385"/>
      <c r="B25" s="3386"/>
      <c r="C25" s="1343" t="s">
        <v>1137</v>
      </c>
    </row>
    <row r="26" spans="1:3" ht="14.4">
      <c r="A26" s="3385"/>
      <c r="B26" s="3386"/>
      <c r="C26" s="1343" t="s">
        <v>1138</v>
      </c>
    </row>
    <row r="27" spans="1:3" ht="14.4">
      <c r="A27" s="3385"/>
      <c r="B27" s="3386"/>
      <c r="C27" s="1343" t="s">
        <v>1139</v>
      </c>
    </row>
    <row r="28" spans="1:3" ht="14.4">
      <c r="A28" s="3385"/>
      <c r="B28" s="3386"/>
      <c r="C28" s="1343" t="s">
        <v>1140</v>
      </c>
    </row>
    <row r="29" spans="1:3" ht="14.4">
      <c r="A29" s="3385"/>
      <c r="B29" s="3386"/>
      <c r="C29" s="1343" t="s">
        <v>1141</v>
      </c>
    </row>
    <row r="30" spans="1:3" ht="14.4">
      <c r="A30" s="3385"/>
      <c r="B30" s="3386"/>
      <c r="C30" s="1343" t="s">
        <v>1142</v>
      </c>
    </row>
    <row r="31" spans="1:3" ht="14.4">
      <c r="A31" s="3385"/>
      <c r="B31" s="338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640625" defaultRowHeight="24" customHeight="1"/>
  <cols>
    <col min="1" max="1" width="24.6640625" style="2977" customWidth="1"/>
    <col min="2" max="2" width="38.6640625" style="2977" customWidth="1"/>
    <col min="3" max="3" width="26" style="2977" customWidth="1"/>
    <col min="4" max="4" width="35" style="2977" hidden="1" customWidth="1"/>
    <col min="5" max="5" width="30.109375" style="2977" customWidth="1"/>
    <col min="6" max="6" width="35.44140625" style="2977" customWidth="1"/>
    <col min="7" max="7" width="31" style="2977" customWidth="1"/>
    <col min="8" max="8" width="37.44140625" style="2977" hidden="1" customWidth="1"/>
    <col min="9" max="16384" width="22.6640625" style="2977"/>
  </cols>
  <sheetData>
    <row r="1" spans="1:8" ht="24" customHeight="1">
      <c r="A1" s="2980"/>
      <c r="B1" s="2980"/>
      <c r="C1" s="2980"/>
      <c r="D1" s="2980"/>
      <c r="E1" s="2980"/>
      <c r="F1" s="2980"/>
      <c r="G1" s="2980"/>
      <c r="H1" s="2980"/>
    </row>
    <row r="2" spans="1:8" ht="24" customHeight="1">
      <c r="A2" s="2981" t="s">
        <v>566</v>
      </c>
      <c r="B2" s="2982">
        <f ca="1">TODAY()</f>
        <v>44777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2471</v>
      </c>
      <c r="B12" s="1230">
        <f ca="1">IF(C12&lt;B2,"已过期",1120040230)</f>
        <v>1120040230</v>
      </c>
      <c r="C12" s="2990">
        <v>44864</v>
      </c>
      <c r="D12" s="2997" t="str">
        <f t="shared" ca="1" si="0"/>
        <v>苏海（注册号：1120040230）</v>
      </c>
      <c r="E12" s="2999" t="s">
        <v>2471</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2485</v>
      </c>
      <c r="B14" s="1230">
        <f ca="1">IF(C14&lt;B2,"已过期",1119980106)</f>
        <v>1119980106</v>
      </c>
      <c r="C14" s="2990">
        <v>44969</v>
      </c>
      <c r="D14" s="2997" t="str">
        <f t="shared" ca="1" si="0"/>
        <v>刘俊财（注册号：1119980106）</v>
      </c>
      <c r="E14" s="2999" t="s">
        <v>2585</v>
      </c>
      <c r="F14" s="1230">
        <f ca="1">IF(G14&lt;B2,"已过期",96010063)</f>
        <v>96010063</v>
      </c>
      <c r="G14" s="2988">
        <v>47483</v>
      </c>
      <c r="H14" s="2989" t="str">
        <f t="shared" ca="1" si="1"/>
        <v>刘俊财（注册号：96010063）</v>
      </c>
    </row>
    <row r="15" spans="1:8" ht="24" customHeight="1">
      <c r="A15" s="1230" t="s">
        <v>2788</v>
      </c>
      <c r="B15" s="1230">
        <v>1120210056</v>
      </c>
      <c r="C15" s="2990">
        <v>45410</v>
      </c>
      <c r="D15" s="2997" t="str">
        <f t="shared" ref="D15" si="2">A15&amp;"（注册号："&amp;B15&amp;"）"</f>
        <v>宁小鳗（注册号：1120210056）</v>
      </c>
      <c r="E15" s="2999" t="s">
        <v>2588</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90" t="s">
        <v>582</v>
      </c>
      <c r="B17" s="3390"/>
      <c r="C17" s="3390"/>
      <c r="D17" s="3390"/>
      <c r="E17" s="3390"/>
      <c r="F17" s="3390"/>
      <c r="G17" s="3390"/>
      <c r="H17" s="3390"/>
    </row>
    <row r="18" spans="1:8" ht="24" customHeight="1">
      <c r="A18" s="3391" t="s">
        <v>583</v>
      </c>
      <c r="B18" s="3391"/>
      <c r="C18" s="3391"/>
      <c r="D18" s="2986"/>
      <c r="E18" s="3392" t="s">
        <v>584</v>
      </c>
      <c r="F18" s="3391"/>
      <c r="G18" s="3391"/>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2586</v>
      </c>
      <c r="B20" s="2993" t="s">
        <v>2587</v>
      </c>
      <c r="C20" s="2988">
        <v>44820</v>
      </c>
      <c r="D20" s="3000"/>
      <c r="E20" s="3002" t="s">
        <v>588</v>
      </c>
      <c r="F20" s="2995" t="s">
        <v>2789</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2777</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9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row>
    <row r="54" spans="1:4" ht="14.4">
      <c r="A54" s="3393"/>
      <c r="B54" s="9" t="s">
        <v>1280</v>
      </c>
      <c r="C54" s="9" t="s">
        <v>1281</v>
      </c>
    </row>
    <row r="55" spans="1:4" ht="14.4">
      <c r="A55" s="3393"/>
      <c r="B55" s="9" t="s">
        <v>1282</v>
      </c>
      <c r="C55" s="9" t="s">
        <v>1283</v>
      </c>
    </row>
    <row r="56" spans="1:4" ht="14.4">
      <c r="A56" s="3393"/>
      <c r="B56" s="9" t="s">
        <v>1284</v>
      </c>
      <c r="C56" s="9" t="s">
        <v>1285</v>
      </c>
    </row>
    <row r="57" spans="1:4" ht="14.4">
      <c r="A57" s="339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比较法-商业</vt:lpstr>
      <vt:lpstr>比较法案例</vt:lpstr>
      <vt:lpstr>成本法</vt:lpstr>
      <vt:lpstr>假设开发法</vt:lpstr>
      <vt:lpstr>收益法</vt:lpstr>
      <vt:lpstr>典型户型修正</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2022-08-04T01:47:16Z</dcterms:modified>
</cp:coreProperties>
</file>