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2022-1-0465豆姐昆仑银行询价\"/>
    </mc:Choice>
  </mc:AlternateContent>
  <xr:revisionPtr revIDLastSave="0" documentId="13_ncr:1_{6BFDD696-EA5F-49B6-BF93-CABF8D22A195}" xr6:coauthVersionLast="47" xr6:coauthVersionMax="47" xr10:uidLastSave="{00000000-0000-0000-0000-000000000000}"/>
  <bookViews>
    <workbookView xWindow="-120" yWindow="-120" windowWidth="19440" windowHeight="15000" tabRatio="885" firstSheet="9" activeTab="1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信息" sheetId="64" r:id="rId11"/>
    <sheet name="抵押物清单（分楼）" sheetId="42" state="hidden" r:id="rId12"/>
    <sheet name="数据-取费表" sheetId="1" r:id="rId13"/>
    <sheet name="估价对象房地状况" sheetId="20" r:id="rId14"/>
    <sheet name="系统读取表" sheetId="62" r:id="rId15"/>
    <sheet name="结果表" sheetId="9" state="hidden" r:id="rId16"/>
    <sheet name="结果表 (1修多)" sheetId="57" r:id="rId17"/>
    <sheet name="比较法-商业" sheetId="33" r:id="rId18"/>
    <sheet name="比较法案例" sheetId="65" r:id="rId19"/>
    <sheet name="成本法" sheetId="11" state="hidden" r:id="rId20"/>
    <sheet name="假设开发法" sheetId="12" state="hidden" r:id="rId21"/>
    <sheet name="收益法" sheetId="15" r:id="rId22"/>
    <sheet name="典型户型修正" sheetId="31" r:id="rId23"/>
    <sheet name="收益法-酒店模型" sheetId="63"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7"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7">'比较法-商业'!$A$1:$K$54,'比较法-商业'!$A$57:$M$131</definedName>
    <definedName name="_xlnm.Print_Area" localSheetId="24">'比较法-住宅'!$A$1:$K$54,'比较法-住宅'!$A$57:$M$131</definedName>
    <definedName name="_xlnm.Print_Area" localSheetId="22">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收益法!$A$1:$F$43,收益法!$H$3:$M$43,收益法!$A$47:$F$72,收益法!$I$47:$N$66,收益法!$O$42,收益法!$O$43:$R$73</definedName>
    <definedName name="_xlnm.Print_Area" localSheetId="12">'数据-取费表'!$A$1:$F$51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7" i="31" l="1"/>
  <c r="C33" i="33"/>
  <c r="D7" i="64"/>
  <c r="H20" i="1"/>
  <c r="E4" i="64"/>
  <c r="C13" i="4"/>
  <c r="I3" i="64"/>
  <c r="I2" i="64"/>
  <c r="C6" i="64" l="1"/>
  <c r="C5" i="64"/>
  <c r="B28" i="31" l="1"/>
  <c r="D14" i="57"/>
  <c r="G20" i="1" l="1"/>
  <c r="E5" i="1"/>
  <c r="B4" i="64"/>
  <c r="C12" i="4"/>
  <c r="G2" i="64"/>
  <c r="G3" i="64" s="1"/>
  <c r="D2" i="4"/>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62" i="15"/>
  <c r="F36" i="15"/>
  <c r="F65" i="15" s="1"/>
  <c r="F13" i="15"/>
  <c r="F37" i="15"/>
  <c r="F66" i="15" s="1"/>
  <c r="F38" i="15"/>
  <c r="F67" i="15" s="1"/>
  <c r="M6" i="15"/>
  <c r="M8" i="15"/>
  <c r="M9" i="15"/>
  <c r="F6" i="15"/>
  <c r="G7" i="15" s="1"/>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6" i="11" s="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19" i="9"/>
  <c r="D3" i="61"/>
  <c r="F5" i="61"/>
  <c r="E2" i="21"/>
  <c r="F4" i="61"/>
  <c r="E2" i="33"/>
  <c r="C19" i="9"/>
  <c r="F6" i="61"/>
  <c r="D7" i="61"/>
  <c r="C20" i="9"/>
  <c r="E2" i="37"/>
  <c r="F3" i="61"/>
  <c r="H23" i="31"/>
  <c r="D20" i="9"/>
  <c r="E2" i="35"/>
  <c r="E2" i="34"/>
  <c r="D5" i="61"/>
  <c r="E2" i="36"/>
  <c r="F7" i="61"/>
  <c r="D6" i="61"/>
  <c r="E2" i="11"/>
  <c r="D4" i="61"/>
  <c r="C58" i="33" l="1"/>
  <c r="D58" i="33" s="1"/>
  <c r="E58" i="33" s="1"/>
  <c r="F58" i="33" s="1"/>
  <c r="G58" i="33" s="1"/>
  <c r="H58" i="33" s="1"/>
  <c r="I58" i="33" s="1"/>
  <c r="J58" i="33" s="1"/>
  <c r="K58" i="33" s="1"/>
  <c r="L58" i="33" s="1"/>
  <c r="M58" i="33" s="1"/>
  <c r="N58" i="33" s="1"/>
  <c r="O58" i="33" s="1"/>
  <c r="I7" i="33"/>
  <c r="G7" i="33"/>
  <c r="E7" i="33"/>
  <c r="C7" i="11"/>
  <c r="C5" i="11" s="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D10" i="48" l="1"/>
  <c r="C3" i="4"/>
  <c r="B4" i="55" s="1"/>
  <c r="B53" i="60" s="1"/>
  <c r="C33" i="15"/>
  <c r="C32" i="15"/>
  <c r="C31" i="15" s="1"/>
  <c r="C16" i="59"/>
  <c r="T17" i="59"/>
  <c r="F69" i="39"/>
  <c r="C7" i="43"/>
  <c r="S9" i="59"/>
  <c r="B8" i="59"/>
  <c r="U9" i="59"/>
  <c r="E8" i="59"/>
  <c r="V9" i="59"/>
  <c r="F8" i="59"/>
  <c r="C18" i="15"/>
  <c r="C16" i="15"/>
  <c r="C19" i="15" s="1"/>
  <c r="C20" i="15" s="1"/>
  <c r="C26" i="15" s="1"/>
  <c r="J7" i="35"/>
  <c r="C30" i="11"/>
  <c r="C48" i="11"/>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C27" i="12"/>
  <c r="C25" i="12" s="1"/>
  <c r="C26" i="12"/>
  <c r="D25" i="12" s="1"/>
  <c r="C23" i="15"/>
  <c r="C24" i="15"/>
  <c r="C43" i="11"/>
  <c r="C23" i="11"/>
  <c r="C44" i="11"/>
  <c r="D41" i="11" s="1"/>
  <c r="C25" i="11"/>
  <c r="C42" i="11"/>
  <c r="C26" i="11"/>
  <c r="D22" i="11" s="1"/>
  <c r="C24" i="11"/>
  <c r="C61" i="15"/>
  <c r="C67" i="15"/>
  <c r="C38" i="15"/>
  <c r="B3" i="33" l="1"/>
  <c r="C20" i="57" s="1"/>
  <c r="C104" i="57" s="1"/>
  <c r="C19" i="57"/>
  <c r="C103" i="57" s="1"/>
  <c r="F5" i="59"/>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C22" i="11"/>
  <c r="C31" i="11" s="1"/>
  <c r="C32" i="12"/>
  <c r="D11" i="59" l="1"/>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Q68" i="15"/>
  <c r="J16" i="15"/>
  <c r="J25" i="15" s="1"/>
  <c r="C56" i="11"/>
  <c r="C57" i="11" s="1"/>
  <c r="B2" i="11"/>
  <c r="B3" i="11"/>
  <c r="C30" i="15" l="1"/>
  <c r="C39" i="15" s="1"/>
  <c r="C7" i="59"/>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C35" i="9"/>
  <c r="C34" i="9" s="1"/>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D19" i="57" s="1"/>
  <c r="B3" i="15"/>
  <c r="D20" i="57" s="1"/>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G20" i="57" l="1"/>
  <c r="R27" i="31" s="1"/>
  <c r="D104" i="57"/>
  <c r="G19" i="57"/>
  <c r="D22" i="57"/>
  <c r="D103"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3" i="57" l="1"/>
  <c r="T27" i="31"/>
  <c r="S27" i="31"/>
  <c r="R28" i="31"/>
  <c r="C105" i="57"/>
  <c r="C106" i="57"/>
  <c r="AC7" i="40"/>
  <c r="V42" i="40" s="1"/>
  <c r="I42" i="40" s="1"/>
  <c r="I46" i="40" s="1"/>
  <c r="J46" i="40" s="1"/>
  <c r="W7" i="40"/>
  <c r="S7" i="40"/>
  <c r="AA7" i="40"/>
  <c r="R42" i="40" s="1"/>
  <c r="R43" i="40" s="1"/>
  <c r="AB7" i="40"/>
  <c r="T42" i="40" s="1"/>
  <c r="G42" i="40" s="1"/>
  <c r="G46" i="40" s="1"/>
  <c r="H46" i="40" s="1"/>
  <c r="U7" i="40"/>
  <c r="S28" i="31" l="1"/>
  <c r="T28" i="31"/>
  <c r="T25" i="31" s="1"/>
  <c r="S25" i="31"/>
  <c r="G47" i="40"/>
  <c r="H47" i="40" s="1"/>
  <c r="E42" i="40"/>
  <c r="B23" i="31" l="1"/>
  <c r="R25" i="31"/>
  <c r="I47" i="40"/>
  <c r="J47" i="40" s="1"/>
  <c r="E47" i="40"/>
  <c r="F47" i="40" s="1"/>
  <c r="E46" i="40"/>
  <c r="F46" i="40" s="1"/>
  <c r="C43" i="40"/>
  <c r="C42" i="40"/>
  <c r="B24" i="31" l="1"/>
  <c r="B3" i="31" s="1"/>
  <c r="C35" i="57" s="1"/>
  <c r="I125" i="57" s="1"/>
  <c r="B2" i="31"/>
  <c r="C34" i="57" s="1"/>
  <c r="H125" i="57" s="1"/>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F4" i="52"/>
  <c r="B40" i="60" s="1"/>
  <c r="G4" i="52"/>
  <c r="B41" i="60" s="1"/>
  <c r="D5" i="52"/>
  <c r="B39" i="60" s="1"/>
  <c r="E4" i="52"/>
  <c r="B38" i="60" s="1"/>
  <c r="F5" i="52"/>
  <c r="B42" i="60" s="1"/>
  <c r="N49" i="9"/>
  <c r="M63" i="9"/>
  <c r="N63" i="9" s="1"/>
  <c r="N69" i="9" s="1"/>
  <c r="O69" i="9" s="1"/>
  <c r="D110" i="57" l="1"/>
  <c r="H126" i="57"/>
  <c r="H5" i="52" s="1"/>
  <c r="C107" i="57"/>
  <c r="I104" i="57"/>
  <c r="D111" i="57"/>
  <c r="C108" i="57"/>
  <c r="I105" i="57"/>
  <c r="M65" i="9"/>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G121" i="9"/>
  <c r="F121" i="9"/>
  <c r="F122" i="9"/>
  <c r="E121" i="9"/>
  <c r="D121" i="9"/>
  <c r="D122" i="9"/>
  <c r="I121" i="9"/>
  <c r="H121" i="9"/>
  <c r="D106" i="9"/>
  <c r="D112" i="9"/>
  <c r="D113" i="9" s="1"/>
  <c r="I111" i="9" s="1"/>
  <c r="D126" i="9" s="1"/>
  <c r="D117" i="9"/>
  <c r="I115" i="9"/>
  <c r="D30" i="50" l="1"/>
  <c r="D9" i="50"/>
  <c r="B21" i="60" s="1"/>
  <c r="I112" i="57"/>
  <c r="D47" i="57"/>
  <c r="N50" i="57"/>
  <c r="D28" i="50"/>
  <c r="D29" i="50" s="1"/>
  <c r="D7" i="50"/>
  <c r="D116" i="57"/>
  <c r="D117" i="57" s="1"/>
  <c r="D121" i="57"/>
  <c r="D14" i="62"/>
  <c r="D26" i="62" s="1"/>
  <c r="H122" i="9"/>
  <c r="C103" i="9"/>
  <c r="I102" i="9"/>
  <c r="I103" i="9"/>
  <c r="C104" i="9"/>
  <c r="D107" i="9"/>
  <c r="I117" i="57" l="1"/>
  <c r="D23" i="50" s="1"/>
  <c r="B34" i="60" s="1"/>
  <c r="D44" i="50"/>
  <c r="I113" i="57"/>
  <c r="D38" i="50"/>
  <c r="B62" i="60" s="1"/>
  <c r="B19" i="60"/>
  <c r="D8" i="50"/>
  <c r="B22" i="60" s="1"/>
  <c r="D61" i="57"/>
  <c r="N57" i="57" s="1"/>
  <c r="D55" i="57"/>
  <c r="D50" i="57" s="1"/>
  <c r="N54" i="57" s="1"/>
  <c r="D57" i="57"/>
  <c r="N55" i="57" s="1"/>
  <c r="C80" i="57"/>
  <c r="C75" i="57" s="1"/>
  <c r="C95" i="57"/>
  <c r="C88" i="57" s="1"/>
  <c r="C66" i="57"/>
  <c r="C65" i="57" s="1"/>
  <c r="C69" i="57" s="1"/>
  <c r="C70" i="57" s="1"/>
  <c r="D56" i="57" s="1"/>
  <c r="D54" i="57"/>
  <c r="C74" i="57"/>
  <c r="C81" i="57" s="1"/>
  <c r="C87" i="57"/>
  <c r="C97" i="57" s="1"/>
  <c r="D129" i="57"/>
  <c r="D8" i="52" s="1"/>
  <c r="D36" i="50"/>
  <c r="D37" i="50" s="1"/>
  <c r="D15" i="50"/>
  <c r="I110" i="9"/>
  <c r="D125" i="9" s="1"/>
  <c r="G14" i="62" s="1"/>
  <c r="B6" i="62" s="1"/>
  <c r="N48" i="9"/>
  <c r="D45" i="9"/>
  <c r="F14" i="62"/>
  <c r="E14" i="62"/>
  <c r="B5" i="62"/>
  <c r="B29" i="60" l="1"/>
  <c r="D16" i="50"/>
  <c r="B30" i="60" s="1"/>
  <c r="C98" i="57"/>
  <c r="C82" i="57"/>
  <c r="E82" i="57" s="1"/>
  <c r="E83" i="57" s="1"/>
  <c r="C83" i="57"/>
  <c r="D130" i="57"/>
  <c r="D17" i="50"/>
  <c r="C5" i="62"/>
  <c r="D5" i="62"/>
  <c r="C72" i="9"/>
  <c r="D53" i="9"/>
  <c r="D48" i="9" s="1"/>
  <c r="N52" i="9" s="1"/>
  <c r="O57" i="9" s="1"/>
  <c r="C64" i="9"/>
  <c r="C63" i="9" s="1"/>
  <c r="C67" i="9" s="1"/>
  <c r="C68" i="9" s="1"/>
  <c r="D54" i="9" s="1"/>
  <c r="C93" i="9"/>
  <c r="C86" i="9" s="1"/>
  <c r="D52" i="9"/>
  <c r="C78" i="9"/>
  <c r="C73" i="9" s="1"/>
  <c r="C85" i="9"/>
  <c r="C95" i="9" s="1"/>
  <c r="D6" i="62"/>
  <c r="C6" i="62"/>
  <c r="D10" i="52" l="1"/>
  <c r="D9" i="52"/>
  <c r="E98" i="57"/>
  <c r="E99" i="57" s="1"/>
  <c r="C99" i="57"/>
  <c r="D60" i="57" s="1"/>
  <c r="D58" i="57" s="1"/>
  <c r="N56" i="57" s="1"/>
  <c r="O59" i="57" s="1"/>
  <c r="C96" i="9"/>
  <c r="E96" i="9" s="1"/>
  <c r="E97" i="9" s="1"/>
  <c r="C97" i="9"/>
  <c r="D58" i="9" s="1"/>
  <c r="Q57" i="9"/>
  <c r="O58" i="9"/>
  <c r="O59" i="9"/>
  <c r="C79" i="9"/>
  <c r="O61" i="57" l="1"/>
  <c r="O60" i="57"/>
  <c r="Q59" i="57"/>
  <c r="C80" i="9"/>
  <c r="E80" i="9" s="1"/>
  <c r="E81" i="9" s="1"/>
  <c r="C81" i="9"/>
  <c r="O61" i="9"/>
  <c r="O60" i="9"/>
  <c r="O63" i="57" l="1"/>
  <c r="O62"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sony</author>
    <author>崔锴</author>
    <author>USER</author>
  </authors>
  <commentList>
    <comment ref="F31" authorId="0" shapeId="0" xr:uid="{745B364E-3327-4604-ADBF-20E69ADCC806}">
      <text>
        <r>
          <rPr>
            <b/>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2"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<sst xmlns="http://schemas.openxmlformats.org/spreadsheetml/2006/main" count="7023" uniqueCount="3106">
  <si>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</si>
  <si>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</si>
  <si>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</si>
  <si>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</si>
  <si>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</si>
  <si>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</si>
  <si>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</si>
  <si>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</si>
  <si>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</si>
  <si>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</si>
  <si>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</si>
  <si>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</si>
  <si>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</si>
  <si>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</si>
  <si>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</si>
  <si>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</si>
  <si>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</si>
  <si>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</si>
  <si>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</si>
  <si>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</si>
  <si>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</si>
  <si>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</si>
  <si>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</si>
  <si>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</si>
  <si>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</si>
  <si>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</si>
  <si>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</si>
  <si>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</si>
  <si>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</si>
  <si>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</si>
  <si>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</si>
  <si>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</si>
  <si>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</si>
  <si>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</si>
  <si>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</si>
  <si>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</si>
  <si>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</si>
  <si>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</si>
  <si>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</si>
  <si>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</si>
  <si>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</si>
  <si>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</si>
  <si>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</si>
  <si>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</si>
  <si>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</si>
  <si>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</si>
  <si>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</si>
  <si>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</si>
  <si>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</si>
  <si>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</si>
  <si>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</si>
  <si>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</si>
  <si>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</si>
  <si>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</si>
  <si>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</si>
  <si>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</si>
  <si>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</si>
  <si>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</si>
  <si>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</si>
  <si>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</si>
  <si>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</si>
  <si>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</si>
  <si>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</si>
  <si>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</si>
  <si>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</si>
  <si>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</si>
  <si>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</si>
  <si>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</si>
  <si>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</si>
  <si>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</si>
  <si>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</si>
  <si>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</si>
  <si>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</si>
  <si>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</si>
  <si>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</si>
  <si>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</si>
  <si>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</si>
  <si>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</si>
  <si>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</si>
  <si>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</si>
  <si>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</si>
  <si>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</si>
  <si>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</si>
  <si>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</si>
  <si>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</si>
  <si>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</si>
  <si>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</si>
  <si>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</si>
  <si>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</si>
  <si>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</si>
  <si>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</si>
  <si>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</si>
  <si>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</si>
  <si>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</si>
  <si>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</si>
  <si>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</si>
  <si>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</si>
  <si>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</si>
  <si>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</si>
  <si>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</si>
  <si>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</si>
  <si>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</si>
  <si>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</si>
  <si>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</si>
  <si>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</si>
  <si>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</si>
  <si>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</si>
  <si>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</si>
  <si>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</si>
  <si>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</si>
  <si>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</si>
  <si>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</si>
  <si>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</si>
  <si>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</si>
  <si>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</si>
  <si>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</si>
  <si>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</si>
  <si>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</si>
  <si>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</si>
  <si>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</si>
  <si>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</si>
  <si>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</si>
  <si>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</si>
  <si>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</si>
  <si>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</si>
  <si>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</si>
  <si>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</si>
  <si>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</si>
  <si>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</si>
  <si>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</si>
  <si>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</si>
  <si>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</si>
  <si>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</si>
  <si>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</si>
  <si>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</si>
  <si>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</si>
  <si>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</si>
  <si>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</si>
  <si>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</si>
  <si>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</si>
  <si>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</si>
  <si>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</si>
  <si>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</si>
  <si>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</si>
  <si>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</si>
  <si>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</si>
  <si>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</si>
  <si>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</si>
  <si>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</si>
  <si>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</si>
  <si>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</si>
  <si>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</si>
  <si>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</si>
  <si>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</si>
  <si>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</si>
  <si>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</si>
  <si>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</si>
  <si>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</si>
  <si>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</si>
  <si>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</si>
  <si>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</si>
  <si>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</si>
  <si>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</si>
  <si>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</si>
  <si>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</si>
  <si>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</si>
  <si>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</si>
  <si>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</si>
  <si>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</si>
  <si>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</si>
  <si>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</si>
  <si>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</si>
  <si>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</si>
  <si>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</si>
  <si>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</si>
  <si>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</si>
  <si>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</si>
  <si>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</si>
  <si>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</si>
  <si>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</si>
  <si>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</si>
  <si>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</si>
  <si>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</si>
  <si>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</si>
  <si>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</si>
  <si>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</si>
  <si>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</si>
  <si>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</si>
  <si>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</si>
  <si>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</si>
  <si>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</si>
  <si>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</si>
  <si>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</si>
  <si>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</si>
  <si>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</si>
  <si>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</si>
  <si>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</si>
  <si>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</si>
  <si>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</si>
  <si>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</si>
  <si>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</si>
  <si>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</si>
  <si>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</si>
  <si>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</si>
  <si>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</si>
  <si>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</si>
  <si>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</si>
  <si>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</si>
  <si>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</si>
  <si>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</si>
  <si>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</si>
  <si>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</si>
  <si>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</si>
  <si>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</si>
  <si>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</si>
  <si>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</si>
  <si>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</si>
  <si>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</si>
  <si>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</si>
  <si>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</si>
  <si>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</si>
  <si>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</si>
  <si>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</si>
  <si>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</si>
  <si>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</si>
  <si>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</si>
  <si>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</si>
  <si>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</si>
  <si>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</si>
  <si>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</si>
  <si>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</si>
  <si>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</si>
  <si>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</si>
  <si>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</si>
  <si>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</si>
  <si>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</si>
  <si>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</si>
  <si>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</si>
  <si>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</si>
  <si>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</si>
  <si>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</si>
  <si>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</si>
  <si>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</si>
  <si>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</si>
  <si>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</si>
  <si>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</si>
  <si>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</si>
  <si>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</si>
  <si>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</si>
  <si>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</si>
  <si>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</si>
  <si>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</si>
  <si>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</si>
  <si>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</si>
  <si>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</si>
  <si>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</si>
  <si>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</si>
  <si>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</si>
  <si>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</si>
  <si>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</si>
  <si>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</si>
  <si>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</si>
  <si>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</si>
  <si>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</si>
  <si>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</si>
  <si>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</si>
  <si>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</si>
  <si>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</si>
  <si>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</si>
  <si>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</si>
  <si>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</si>
  <si>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</si>
  <si>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</si>
  <si>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</si>
  <si>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</si>
  <si>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</si>
  <si>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</si>
  <si>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</si>
  <si>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</si>
  <si>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</si>
  <si>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</si>
  <si>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</si>
  <si>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</si>
  <si>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</si>
  <si>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</si>
  <si>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</si>
  <si>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</si>
  <si>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</si>
  <si>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</si>
  <si>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</si>
  <si>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</si>
  <si>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</si>
  <si>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</si>
  <si>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</si>
  <si>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</si>
  <si>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</si>
  <si>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</si>
  <si>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</si>
  <si>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</si>
  <si>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</si>
  <si>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</si>
  <si>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</si>
  <si>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</si>
  <si>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</si>
  <si>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</si>
  <si>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</si>
  <si>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</si>
  <si>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</si>
  <si>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</si>
  <si>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</si>
  <si>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</si>
  <si>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</si>
  <si>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</si>
  <si>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</si>
  <si>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</si>
  <si>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</si>
  <si>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</si>
  <si>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</si>
  <si>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</si>
  <si>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</si>
  <si>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</si>
  <si>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</si>
  <si>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</si>
  <si>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</si>
  <si>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</si>
  <si>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</si>
  <si>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</si>
  <si>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</si>
  <si>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</si>
  <si>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</si>
  <si>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</si>
  <si>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</si>
  <si>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</si>
  <si>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</si>
  <si>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</si>
  <si>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</si>
  <si>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</si>
  <si>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</si>
  <si>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</si>
  <si>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</si>
  <si>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</si>
  <si>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</si>
  <si>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</si>
  <si>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</si>
  <si>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</si>
  <si>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</si>
  <si>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</si>
  <si>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</si>
  <si>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</si>
  <si>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</si>
  <si>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</si>
  <si>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</si>
  <si>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</si>
  <si>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</si>
  <si>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</si>
  <si>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</si>
  <si>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</si>
  <si>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</si>
  <si>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</si>
  <si>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</si>
  <si>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</si>
  <si>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</si>
  <si>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</si>
  <si>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</si>
  <si>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</si>
  <si>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</si>
  <si>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</si>
  <si>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</si>
  <si>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</si>
  <si>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</si>
  <si>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</si>
  <si>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</si>
  <si>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</si>
  <si>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</si>
  <si>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</si>
  <si>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</si>
  <si>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</si>
  <si>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</si>
  <si>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</si>
  <si>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</si>
  <si>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</si>
  <si>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</si>
  <si>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</si>
  <si>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</si>
  <si>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</si>
  <si>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</si>
  <si>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</si>
  <si>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</si>
  <si>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</si>
  <si>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</si>
  <si>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</si>
  <si>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</si>
  <si>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</si>
  <si>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</si>
  <si>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</si>
  <si>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</si>
  <si>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</si>
  <si>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</si>
  <si>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</si>
  <si>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</si>
  <si>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</si>
  <si>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</si>
  <si>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</si>
  <si>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</si>
  <si>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</si>
  <si>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</si>
  <si>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</si>
  <si>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</si>
  <si>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</si>
  <si>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</si>
  <si>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</si>
  <si>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</si>
  <si>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</si>
  <si>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</si>
  <si>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</si>
  <si>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</si>
  <si>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</si>
  <si>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</si>
  <si>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</si>
  <si>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</si>
  <si>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</si>
  <si>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</si>
  <si>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</si>
  <si>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</si>
  <si>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</si>
  <si>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</si>
  <si>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</si>
  <si>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</si>
  <si>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</si>
  <si>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</si>
  <si>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</si>
  <si>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</si>
  <si>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</si>
  <si>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</si>
  <si>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</si>
  <si>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</si>
  <si>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</si>
  <si>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</si>
  <si>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</si>
  <si>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</si>
  <si>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</si>
  <si>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</si>
  <si>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</si>
  <si>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</si>
  <si>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</si>
  <si>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</si>
  <si>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</si>
  <si>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</si>
  <si>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</si>
  <si>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</si>
  <si>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</si>
  <si>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</si>
  <si>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</si>
  <si>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</si>
  <si>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</si>
  <si>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</si>
  <si>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</si>
  <si>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</si>
  <si>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</si>
  <si>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</si>
  <si>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</si>
  <si>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</si>
  <si>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</si>
  <si>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</si>
  <si>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</si>
  <si>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</si>
  <si>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</si>
  <si>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</si>
  <si>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</si>
  <si>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</si>
  <si>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</si>
  <si>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</si>
  <si>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</si>
  <si>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</si>
  <si>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</si>
  <si>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</si>
  <si>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</si>
  <si>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</si>
  <si>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</si>
  <si>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</si>
  <si>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</si>
  <si>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</si>
  <si>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</si>
  <si>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</si>
  <si>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</si>
  <si>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</si>
  <si>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</si>
  <si>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</si>
  <si>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</si>
  <si>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</si>
  <si>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</si>
  <si>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</si>
  <si>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</si>
  <si>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</si>
  <si>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</si>
  <si>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</si>
  <si>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</si>
  <si>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</si>
  <si>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</si>
  <si>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</si>
  <si>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</si>
  <si>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</si>
  <si>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</si>
  <si>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</si>
  <si>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</si>
  <si>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</si>
  <si>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</si>
  <si>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</si>
  <si>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</si>
  <si>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</si>
  <si>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</si>
  <si>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</si>
  <si>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</si>
  <si>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</si>
  <si>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</si>
  <si>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</si>
  <si>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</si>
  <si>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</si>
  <si>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</si>
  <si>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</si>
  <si>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</si>
  <si>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</si>
  <si>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</si>
  <si>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</si>
  <si>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</si>
  <si>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</si>
  <si>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</si>
  <si>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</si>
  <si>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</si>
  <si>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</si>
  <si>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</si>
  <si>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</si>
  <si>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</si>
  <si>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</si>
  <si>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</si>
  <si>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</si>
  <si>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</si>
  <si>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</si>
  <si>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</si>
  <si>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</si>
  <si>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</si>
  <si>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</si>
  <si>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</si>
  <si>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</si>
  <si>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</si>
  <si>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</si>
  <si>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</si>
  <si>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</si>
  <si>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</si>
  <si>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</si>
  <si>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</si>
  <si>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</si>
  <si>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</si>
  <si>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</si>
  <si>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</si>
  <si>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</si>
  <si>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</si>
  <si>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</si>
  <si>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</si>
  <si>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</si>
  <si>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</si>
  <si>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</si>
  <si>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</si>
  <si>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</si>
  <si>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</si>
  <si>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</si>
  <si>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</si>
  <si>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</si>
  <si>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</si>
  <si>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</si>
  <si>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</si>
  <si>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</si>
  <si>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</si>
  <si>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</si>
  <si>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</si>
  <si>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</si>
  <si>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</si>
  <si>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</si>
  <si>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</si>
  <si>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</si>
  <si>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</si>
  <si>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</si>
  <si>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</si>
  <si>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</si>
  <si>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</si>
  <si>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</si>
  <si>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</si>
  <si>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</si>
  <si>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</si>
  <si>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</si>
  <si>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</si>
  <si>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</si>
  <si>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</si>
  <si>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</si>
  <si>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</si>
  <si>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</si>
  <si>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</si>
  <si>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</si>
  <si>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</si>
  <si>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</si>
  <si>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</si>
  <si>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</si>
  <si>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</si>
  <si>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</si>
  <si>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</si>
  <si>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</si>
  <si>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</si>
  <si>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</si>
  <si>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</si>
  <si>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</si>
  <si>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</si>
  <si>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</si>
  <si>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</si>
  <si>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</si>
  <si>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</si>
  <si>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</si>
  <si>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</si>
  <si>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</si>
  <si>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</si>
  <si>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</si>
  <si>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</si>
  <si>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</si>
  <si>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</si>
  <si>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</si>
  <si>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</si>
  <si>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</si>
  <si>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</si>
  <si>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</si>
  <si>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</si>
  <si>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</si>
  <si>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</si>
  <si>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</si>
  <si>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</si>
  <si>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</si>
  <si>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</si>
  <si>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</si>
  <si>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</si>
  <si>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</si>
  <si>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</si>
  <si>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</si>
  <si>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</si>
  <si>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</si>
  <si>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</si>
  <si>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</si>
  <si>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</si>
  <si>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</si>
  <si>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</si>
  <si>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</si>
  <si>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</si>
  <si>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</si>
  <si>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</si>
  <si>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</si>
  <si>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</si>
  <si>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</si>
  <si>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</si>
  <si>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</si>
  <si>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</si>
  <si>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</si>
  <si>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</si>
  <si>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</si>
  <si>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</si>
  <si>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</si>
  <si>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</si>
  <si>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</si>
  <si>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</si>
  <si>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</si>
  <si>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</si>
  <si>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</si>
  <si>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</si>
  <si>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</si>
  <si>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</si>
  <si>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</si>
  <si>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</si>
  <si>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</si>
  <si>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</si>
  <si>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</si>
  <si>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</si>
  <si>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</si>
  <si>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</si>
  <si>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</si>
  <si>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</si>
  <si>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</si>
  <si>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</si>
  <si>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</si>
  <si>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</si>
  <si>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</si>
  <si>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</si>
  <si>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</si>
  <si>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</si>
  <si>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</si>
  <si>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</si>
  <si>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</si>
  <si>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</si>
  <si>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</si>
  <si>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</si>
  <si>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</si>
  <si>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</si>
  <si>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</si>
  <si>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</si>
  <si>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</si>
  <si>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</si>
  <si>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</si>
  <si>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</si>
  <si>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</si>
  <si>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</si>
  <si>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</si>
  <si>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</si>
  <si>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</si>
  <si>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</si>
  <si>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</si>
  <si>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</si>
  <si>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</si>
  <si>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</si>
  <si>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</si>
  <si>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</si>
  <si>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</si>
  <si>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</si>
  <si>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</si>
  <si>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</si>
  <si>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</si>
  <si>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</si>
  <si>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</si>
  <si>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</si>
  <si>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</si>
  <si>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</si>
  <si>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</si>
  <si>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</si>
  <si>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</si>
  <si>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</si>
  <si>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</si>
  <si>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</si>
  <si>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</si>
  <si>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</si>
  <si>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</si>
  <si>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</si>
  <si>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</si>
  <si>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</si>
  <si>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</si>
  <si>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</si>
  <si>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</si>
  <si>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</si>
  <si>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</si>
  <si>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</si>
  <si>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</si>
  <si>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</si>
  <si>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</si>
  <si>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</si>
  <si>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</si>
  <si>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</si>
  <si>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</si>
  <si>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</si>
  <si>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</si>
  <si>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</si>
  <si>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</si>
  <si>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</si>
  <si>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</si>
  <si>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</si>
  <si>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</si>
  <si>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</si>
  <si>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</si>
  <si>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</si>
  <si>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</si>
  <si>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</si>
  <si>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</si>
  <si>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</si>
  <si>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</si>
  <si>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</si>
  <si>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</si>
  <si>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</si>
  <si>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</si>
  <si>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</si>
  <si>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</si>
  <si>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</si>
  <si>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</si>
  <si>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</si>
  <si>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</si>
  <si>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</si>
  <si>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</si>
  <si>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</si>
  <si>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</si>
  <si>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</si>
  <si>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</si>
  <si>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</si>
  <si>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</si>
  <si>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</si>
  <si>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</si>
  <si>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</si>
  <si>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</si>
  <si>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</si>
  <si>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</si>
  <si>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</si>
  <si>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</si>
  <si>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</si>
  <si>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</si>
  <si>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</si>
  <si>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</si>
  <si>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</si>
  <si>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</si>
  <si>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</si>
  <si>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</si>
  <si>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</si>
  <si>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</si>
  <si>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</si>
  <si>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</si>
  <si>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</si>
  <si>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</si>
  <si>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</si>
  <si>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</si>
  <si>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</si>
  <si>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</si>
  <si>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</si>
  <si>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</si>
  <si>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</si>
  <si>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</si>
  <si>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</si>
  <si>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</si>
  <si>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</si>
  <si>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</si>
  <si>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</si>
  <si>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</si>
  <si>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</si>
  <si>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</si>
  <si>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</si>
  <si>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</si>
  <si>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</si>
  <si>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</si>
  <si>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</si>
  <si>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</si>
  <si>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</si>
  <si>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</si>
  <si>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</si>
  <si>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</si>
  <si>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</si>
  <si>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</si>
  <si>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</si>
  <si>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</si>
  <si>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</si>
  <si>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</si>
  <si>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</si>
  <si>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</si>
  <si>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</si>
  <si>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</si>
  <si>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</si>
  <si>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</si>
  <si>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</si>
  <si>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</si>
  <si>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</si>
  <si>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</si>
  <si>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</si>
  <si>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</si>
  <si>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</si>
  <si>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</si>
  <si>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</si>
  <si>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</si>
  <si>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</si>
  <si>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</si>
  <si>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</si>
  <si>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</si>
  <si>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</si>
  <si>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</si>
  <si>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</si>
  <si>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</si>
  <si>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</si>
  <si>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</si>
  <si>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</si>
  <si>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</si>
  <si>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</si>
  <si>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</si>
  <si>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</si>
  <si>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</si>
  <si>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</si>
  <si>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</si>
  <si>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</si>
  <si>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</si>
  <si>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</si>
  <si>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</si>
  <si>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</si>
  <si>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</si>
  <si>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</si>
  <si>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</si>
  <si>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</si>
  <si>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</si>
  <si>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</si>
  <si>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</si>
  <si>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</si>
  <si>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</si>
  <si>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</si>
  <si>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</si>
  <si>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</si>
  <si>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</si>
  <si>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</si>
  <si>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</si>
  <si>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</si>
  <si>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</si>
  <si>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</si>
  <si>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</si>
  <si>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</si>
  <si>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</si>
  <si>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</si>
  <si>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</si>
  <si>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</si>
  <si>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</si>
  <si>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</si>
  <si>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</si>
  <si>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</si>
  <si>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</si>
  <si>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</si>
  <si>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</si>
  <si>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</si>
  <si>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</si>
  <si>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</si>
  <si>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</si>
  <si>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</si>
  <si>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</si>
  <si>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</si>
  <si>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</si>
  <si>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</si>
  <si>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</si>
  <si>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</si>
  <si>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</si>
  <si>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</si>
  <si>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</si>
  <si>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</si>
  <si>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</si>
  <si>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</si>
  <si>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</si>
  <si>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</si>
  <si>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</si>
  <si>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</si>
  <si>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</si>
  <si>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</si>
  <si>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</si>
  <si>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</si>
  <si>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</si>
  <si>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</si>
  <si>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</si>
  <si>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</si>
  <si>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</si>
  <si>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</si>
  <si>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</si>
  <si>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</si>
  <si>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</si>
  <si>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</si>
  <si>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</si>
  <si>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</si>
  <si>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</si>
  <si>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</si>
  <si>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</si>
  <si>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</si>
  <si>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</si>
  <si>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</si>
  <si>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</si>
  <si>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</si>
  <si>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</si>
  <si>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</si>
  <si>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</si>
  <si>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</si>
  <si>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</si>
  <si>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</si>
  <si>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</si>
  <si>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</si>
  <si>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</si>
  <si>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</si>
  <si>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</si>
  <si>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</si>
  <si>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</si>
  <si>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</si>
  <si>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</si>
  <si>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</si>
  <si>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</si>
  <si>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</si>
  <si>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</si>
  <si>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</si>
  <si>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</si>
  <si>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</si>
  <si>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</si>
  <si>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</si>
  <si>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</si>
  <si>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</si>
  <si>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</si>
  <si>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</si>
  <si>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</si>
  <si>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</si>
  <si>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</si>
  <si>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</si>
  <si>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</si>
  <si>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</si>
  <si>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</si>
  <si>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</si>
  <si>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</si>
  <si>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</si>
  <si>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</si>
  <si>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</si>
  <si>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</si>
  <si>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</si>
  <si>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</si>
  <si>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</si>
  <si>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</si>
  <si>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</si>
  <si>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</si>
  <si>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</si>
  <si>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</si>
  <si>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</si>
  <si>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</si>
  <si>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</si>
  <si>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</si>
  <si>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</si>
  <si>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</si>
  <si>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</si>
  <si>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</si>
  <si>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</si>
  <si>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</si>
  <si>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</si>
  <si>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</si>
  <si>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</si>
  <si>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</si>
  <si>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</si>
  <si>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</si>
  <si>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</si>
  <si>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</si>
  <si>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</si>
  <si>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</si>
  <si>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</si>
  <si>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</si>
  <si>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</si>
  <si>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</si>
  <si>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</si>
  <si>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</si>
  <si>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</si>
  <si>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</si>
  <si>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</si>
  <si>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</si>
  <si>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</si>
  <si>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</si>
  <si>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</si>
  <si>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</si>
  <si>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</si>
  <si>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</si>
  <si>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</si>
  <si>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</si>
  <si>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</si>
  <si>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</si>
  <si>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</si>
  <si>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</si>
  <si>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</si>
  <si>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</si>
  <si>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</si>
  <si>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</si>
  <si>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</si>
  <si>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</si>
  <si>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</si>
  <si>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</si>
  <si>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</si>
  <si>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</si>
  <si>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</si>
  <si>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</si>
  <si>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</si>
  <si>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</si>
  <si>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</si>
  <si>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</si>
  <si>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</si>
  <si>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</si>
  <si>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</si>
  <si>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</si>
  <si>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</si>
  <si>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</si>
  <si>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</si>
  <si>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</si>
  <si>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</si>
  <si>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</si>
  <si>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</si>
  <si>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</si>
  <si>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</si>
  <si>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</si>
  <si>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</si>
  <si>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</si>
  <si>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</si>
  <si>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</si>
  <si>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</si>
  <si>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</si>
  <si>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</si>
  <si>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</si>
  <si>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</si>
  <si>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</si>
  <si>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</si>
  <si>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</si>
  <si>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</si>
  <si>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</si>
  <si>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</si>
  <si>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</si>
  <si>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</si>
  <si>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</si>
  <si>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</si>
  <si>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</si>
  <si>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</si>
  <si>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</si>
  <si>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</si>
  <si>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</si>
  <si>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</si>
  <si>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</si>
  <si>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</si>
  <si>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</si>
  <si>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</si>
  <si>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</si>
  <si>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</si>
  <si>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</si>
  <si>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</si>
  <si>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</si>
  <si>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</si>
  <si>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</si>
  <si>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</si>
  <si>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</si>
  <si>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</si>
  <si>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</si>
  <si>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</si>
  <si>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</si>
  <si>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</si>
  <si>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</si>
  <si>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</si>
  <si>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</si>
  <si>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</si>
  <si>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</si>
  <si>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</si>
  <si>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</si>
  <si>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</si>
  <si>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</si>
  <si>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</si>
  <si>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</si>
  <si>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</si>
  <si>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</si>
  <si>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</si>
  <si>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</si>
  <si>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</si>
  <si>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</si>
  <si>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</si>
  <si>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</si>
  <si>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</si>
  <si>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</si>
  <si>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</si>
  <si>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</si>
  <si>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</si>
  <si>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</si>
  <si>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</si>
  <si>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</si>
  <si>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</si>
  <si>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</si>
  <si>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</si>
  <si>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</si>
  <si>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</si>
  <si>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</si>
  <si>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</si>
  <si>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</si>
  <si>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</si>
  <si>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</si>
  <si>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</si>
  <si>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</si>
  <si>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</si>
  <si>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</si>
  <si>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</si>
  <si>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</si>
  <si>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</si>
  <si>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</si>
  <si>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</si>
  <si>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</si>
  <si>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</si>
  <si>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</si>
  <si>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</si>
  <si>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</si>
  <si>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</si>
  <si>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</si>
  <si>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</si>
  <si>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</si>
  <si>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</si>
  <si>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</si>
  <si>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</si>
  <si>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</si>
  <si>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</si>
  <si>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</si>
  <si>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</si>
  <si>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</si>
  <si>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</si>
  <si>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</si>
  <si>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</si>
  <si>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</si>
  <si>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</si>
  <si>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</si>
  <si>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</si>
  <si>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</si>
  <si>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</si>
  <si>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</si>
  <si>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</si>
  <si>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</si>
  <si>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</si>
  <si>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</si>
  <si>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</si>
  <si>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</si>
  <si>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</si>
  <si>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</si>
  <si>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</si>
  <si>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</si>
  <si>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</si>
  <si>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</si>
  <si>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</si>
  <si>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</si>
  <si>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</si>
  <si>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</si>
  <si>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</si>
  <si>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</si>
  <si>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</si>
  <si>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</si>
  <si>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</si>
  <si>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</si>
  <si>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</si>
  <si>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</si>
  <si>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</si>
  <si>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</si>
  <si>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</si>
  <si>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</si>
  <si>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</si>
  <si>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</si>
  <si>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</si>
  <si>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</si>
  <si>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</si>
  <si>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</si>
  <si>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</si>
  <si>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</si>
  <si>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</si>
  <si>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</si>
  <si>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</si>
  <si>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</si>
  <si>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</si>
  <si>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</si>
  <si>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</si>
  <si>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</si>
  <si>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</si>
  <si>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</si>
  <si>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</si>
  <si>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</si>
  <si>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</si>
  <si>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</si>
  <si>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</si>
  <si>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</si>
  <si>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</si>
  <si>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</si>
  <si>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</si>
  <si>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</si>
  <si>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</si>
  <si>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</si>
  <si>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</si>
  <si>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</si>
  <si>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</si>
  <si>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</si>
  <si>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</si>
  <si>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</si>
  <si>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</si>
  <si>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</si>
  <si>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</si>
  <si>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</si>
  <si>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</si>
  <si>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</si>
  <si>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</si>
  <si>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</si>
  <si>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</si>
  <si>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</si>
  <si>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</si>
  <si>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</si>
  <si>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</si>
  <si>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</si>
  <si>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</si>
  <si>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</si>
  <si>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</si>
  <si>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</si>
  <si>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</si>
  <si>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</si>
  <si>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</si>
  <si>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</si>
  <si>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</si>
  <si>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</si>
  <si>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</si>
  <si>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</si>
  <si>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</si>
  <si>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</si>
  <si>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</si>
  <si>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</si>
  <si>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</si>
  <si>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</si>
  <si>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</si>
  <si>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</si>
  <si>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</si>
  <si>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</si>
  <si>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</si>
  <si>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</si>
  <si>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</si>
  <si>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</si>
  <si>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</si>
  <si>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</si>
  <si>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</si>
  <si>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</si>
  <si>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</si>
  <si>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</si>
  <si>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</si>
  <si>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</si>
  <si>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</si>
  <si>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</si>
  <si>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</si>
  <si>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</si>
  <si>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</si>
  <si>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</si>
  <si>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</si>
  <si>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</si>
  <si>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</si>
  <si>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</si>
  <si>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</si>
  <si>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</si>
  <si>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</si>
  <si>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</si>
  <si>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</si>
  <si>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</si>
  <si>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</si>
  <si>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</si>
  <si>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</si>
  <si>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</si>
  <si>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</si>
  <si>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</si>
  <si>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</si>
  <si>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</si>
  <si>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</si>
  <si>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</si>
  <si>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</si>
  <si>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</si>
  <si>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</si>
  <si>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</si>
  <si>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</si>
  <si>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</si>
  <si>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</si>
  <si>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</si>
  <si>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</si>
  <si>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</si>
  <si>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</si>
  <si>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</si>
  <si>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</si>
  <si>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</si>
  <si>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</si>
  <si>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</si>
  <si>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</si>
  <si>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</si>
  <si>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</si>
  <si>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</si>
  <si>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</si>
  <si>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</si>
  <si>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</si>
  <si>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</si>
  <si>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</si>
  <si>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</si>
  <si>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</si>
  <si>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</si>
  <si>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</si>
  <si>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</si>
  <si>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</si>
  <si>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</si>
  <si>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</si>
  <si>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</si>
  <si>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</si>
  <si>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</si>
  <si>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</si>
  <si>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</si>
  <si>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</si>
  <si>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</si>
  <si>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</si>
  <si>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</si>
  <si>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</si>
  <si>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</si>
  <si>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</si>
  <si>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</si>
  <si>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</si>
  <si>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</si>
  <si>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</si>
  <si>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</si>
  <si>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</si>
  <si>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</si>
  <si>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</si>
  <si>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</si>
  <si>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</si>
  <si>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</si>
  <si>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</si>
  <si>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</si>
  <si>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</si>
  <si>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</si>
  <si>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</si>
  <si>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</si>
  <si>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</si>
  <si>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</si>
  <si>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</si>
  <si>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</si>
  <si>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</si>
  <si>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</si>
  <si>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</si>
  <si>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</si>
  <si>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</si>
  <si>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</si>
  <si>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</si>
  <si>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</si>
  <si>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</si>
  <si>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</si>
  <si>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</si>
  <si>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</si>
  <si>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</si>
  <si>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</si>
  <si>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</si>
  <si>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</si>
  <si>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</si>
  <si>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</si>
  <si>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</si>
  <si>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</si>
  <si>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</si>
  <si>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</si>
  <si>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</si>
  <si>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</si>
  <si>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</si>
  <si>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</si>
  <si>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</si>
  <si>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</si>
  <si>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</si>
  <si>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</si>
  <si>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</si>
  <si>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</si>
  <si>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</si>
  <si>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</si>
  <si>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</si>
  <si>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</si>
  <si>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</si>
  <si>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</si>
  <si>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</si>
  <si>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</si>
  <si>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</si>
  <si>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</si>
  <si>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</si>
  <si>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</si>
  <si>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</si>
  <si>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</si>
  <si>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</si>
  <si>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</si>
  <si>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</si>
  <si>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</si>
  <si>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</si>
  <si>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</si>
  <si>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</si>
  <si>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</si>
  <si>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</si>
  <si>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</si>
  <si>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</si>
  <si>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</si>
  <si>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</si>
  <si>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</si>
  <si>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</si>
  <si>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</si>
  <si>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</si>
  <si>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</si>
  <si>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</si>
  <si>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</si>
  <si>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</si>
  <si>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</si>
  <si>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</si>
  <si>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</si>
  <si>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</si>
  <si>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</si>
  <si>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</si>
  <si>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</si>
  <si>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</si>
  <si>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</si>
  <si>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</si>
  <si>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</si>
  <si>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</si>
  <si>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</si>
  <si>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</si>
  <si>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</si>
  <si>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</si>
  <si>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</si>
  <si>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</si>
  <si>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</si>
  <si>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</si>
  <si>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</si>
  <si>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</si>
  <si>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</si>
  <si>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</si>
  <si>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</si>
  <si>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</si>
  <si>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</si>
  <si>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</si>
  <si>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</si>
  <si>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</si>
  <si>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</si>
  <si>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</si>
  <si>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</si>
  <si>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</si>
  <si>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</si>
  <si>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</si>
  <si>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</si>
  <si>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</si>
  <si>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</si>
  <si>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</si>
  <si>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</si>
  <si>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</si>
  <si>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</si>
  <si>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</si>
  <si>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</si>
  <si>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</si>
  <si>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</si>
  <si>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</si>
  <si>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</si>
  <si>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</si>
  <si>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</si>
  <si>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</si>
  <si>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</si>
  <si>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</si>
  <si>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</si>
  <si>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</si>
  <si>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</si>
  <si>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</si>
  <si>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</si>
  <si>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</si>
  <si>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</si>
  <si>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</si>
  <si>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</si>
  <si>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</si>
  <si>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</si>
  <si>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</si>
  <si>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</si>
  <si>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</si>
  <si>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</si>
  <si>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</si>
  <si>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</si>
  <si>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</si>
  <si>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</si>
  <si>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</si>
  <si>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</si>
  <si>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</si>
  <si>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</si>
  <si>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</si>
  <si>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</si>
  <si>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</si>
  <si>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</si>
  <si>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</si>
  <si>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</si>
  <si>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</si>
  <si>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</si>
  <si>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</si>
  <si>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</si>
  <si>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</si>
  <si>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</si>
  <si>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</si>
  <si>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</si>
  <si>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</si>
  <si>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</si>
  <si>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</si>
  <si>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</si>
  <si>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</si>
  <si>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</si>
  <si>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</si>
  <si>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</si>
  <si>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</si>
  <si>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</si>
  <si>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</si>
  <si>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</si>
  <si>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</si>
  <si>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</si>
  <si>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</si>
  <si>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</si>
  <si>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</si>
  <si>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</si>
  <si>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</si>
  <si>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</si>
  <si>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</si>
  <si>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</si>
  <si>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</si>
  <si>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</si>
  <si>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</si>
  <si>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</si>
  <si>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</si>
  <si>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</si>
  <si>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</si>
  <si>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</si>
  <si>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</si>
  <si>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</si>
  <si>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</si>
  <si>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</si>
  <si>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</si>
  <si>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</si>
  <si>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</si>
  <si>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</si>
  <si>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</si>
  <si>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</si>
  <si>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</si>
  <si>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</si>
  <si>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</si>
  <si>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</si>
  <si>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</si>
  <si>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</si>
  <si>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</si>
  <si>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</si>
  <si>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</si>
  <si>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</si>
  <si>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</si>
  <si>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</si>
  <si>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</si>
  <si>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</si>
  <si>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</si>
  <si>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</si>
  <si>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</si>
  <si>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</si>
  <si>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</si>
  <si>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</si>
  <si>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</si>
  <si>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</si>
  <si>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</si>
  <si>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</si>
  <si>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</si>
  <si>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</si>
  <si>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</si>
  <si>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</si>
  <si>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</si>
  <si>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</si>
  <si>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</si>
  <si>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</si>
  <si>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</si>
  <si>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</si>
  <si>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</si>
  <si>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</si>
  <si>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</si>
  <si>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</si>
  <si>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</si>
  <si>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</si>
  <si>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</si>
  <si>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</si>
  <si>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</si>
  <si>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</si>
  <si>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</si>
  <si>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</si>
  <si>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</si>
  <si>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</si>
  <si>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</si>
  <si>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</si>
  <si>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</si>
  <si>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</si>
  <si>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</si>
  <si>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</si>
  <si>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</si>
  <si>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</si>
  <si>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</si>
  <si>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</si>
  <si>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</si>
  <si>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</si>
  <si>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</si>
  <si>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</si>
  <si>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</si>
  <si>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</si>
  <si>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</si>
  <si>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</si>
  <si>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</si>
  <si>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</si>
  <si>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</si>
  <si>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</si>
  <si>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</si>
  <si>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</si>
  <si>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</si>
  <si>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</si>
  <si>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</si>
  <si>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</si>
  <si>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</si>
  <si>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</si>
  <si>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</si>
  <si>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</si>
  <si>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</si>
  <si>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</si>
  <si>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</si>
  <si>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</si>
  <si>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</si>
  <si>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</si>
  <si>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</si>
  <si>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</si>
  <si>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</si>
  <si>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</si>
  <si>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</si>
  <si>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</si>
  <si>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</si>
  <si>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</si>
  <si>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</si>
  <si>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</si>
  <si>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</si>
  <si>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</si>
  <si>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</si>
  <si>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</si>
  <si>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</si>
  <si>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</si>
  <si>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</si>
  <si>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</si>
  <si>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</si>
  <si>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</si>
  <si>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</si>
  <si>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</si>
  <si>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</si>
  <si>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</si>
  <si>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</si>
  <si>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</si>
  <si>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</si>
  <si>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</si>
  <si>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</si>
  <si>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</si>
  <si>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</si>
  <si>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</si>
  <si>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</si>
  <si>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</si>
  <si>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</si>
  <si>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</si>
  <si>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</si>
  <si>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</si>
  <si>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</si>
  <si>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</si>
  <si>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</si>
  <si>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</si>
  <si>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</si>
  <si>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</si>
  <si>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</si>
  <si>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</si>
  <si>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</si>
  <si>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</si>
  <si>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</si>
  <si>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</si>
  <si>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</si>
  <si>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</si>
  <si>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</si>
  <si>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</si>
  <si>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</si>
  <si>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</si>
  <si>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</si>
  <si>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</si>
  <si>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</si>
  <si>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</si>
  <si>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</si>
  <si>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</si>
  <si>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</si>
  <si>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</si>
  <si>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</si>
  <si>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</si>
  <si>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</si>
  <si>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</si>
  <si>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</si>
  <si>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</si>
  <si>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</si>
  <si>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</si>
  <si>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</si>
  <si>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</si>
  <si>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</si>
  <si>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</si>
  <si>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</si>
  <si>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</si>
  <si>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</si>
  <si>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</si>
  <si>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</si>
  <si>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</si>
  <si>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</si>
  <si>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</si>
  <si>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</si>
  <si>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</si>
  <si>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</si>
  <si>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</si>
  <si>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</si>
  <si>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</si>
  <si>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</si>
  <si>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</si>
  <si>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</si>
  <si>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</si>
  <si>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</si>
  <si>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</si>
  <si>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</si>
  <si>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</si>
  <si>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</si>
  <si>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</si>
  <si>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</si>
  <si>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</si>
  <si>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</si>
  <si>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</si>
  <si>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</si>
  <si>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</si>
  <si>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</si>
  <si>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</si>
  <si>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</si>
  <si>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</si>
  <si>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</si>
  <si>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</si>
  <si>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</si>
  <si>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</si>
  <si>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</si>
  <si>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</si>
  <si>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</si>
  <si>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</si>
  <si>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</si>
  <si>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</si>
  <si>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</si>
  <si>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</si>
  <si>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</si>
  <si>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</si>
  <si>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</si>
  <si>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</si>
  <si>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</si>
  <si>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</si>
  <si>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</si>
  <si>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</si>
  <si>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</si>
  <si>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</si>
  <si>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</si>
  <si>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</si>
  <si>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</si>
  <si>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</si>
  <si>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</si>
  <si>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</si>
  <si>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</si>
  <si>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</si>
  <si>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</si>
  <si>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</si>
  <si>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</si>
  <si>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</si>
  <si>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</si>
  <si>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</si>
  <si>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</si>
  <si>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</si>
  <si>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</si>
  <si>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</si>
  <si>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</si>
  <si>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</si>
  <si>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</si>
  <si>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</si>
  <si>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</si>
  <si>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</si>
  <si>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</si>
  <si>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</si>
  <si>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</si>
  <si>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</si>
  <si>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</si>
  <si>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</si>
  <si>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</si>
  <si>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</si>
  <si>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</si>
  <si>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</si>
  <si>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</si>
  <si>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</si>
  <si>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</si>
  <si>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</si>
  <si>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</si>
  <si>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</si>
  <si>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</si>
  <si>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</si>
  <si>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</si>
  <si>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</si>
  <si>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</si>
  <si>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</si>
  <si>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</si>
  <si>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</si>
  <si>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</si>
  <si>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</si>
  <si>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</si>
  <si>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</si>
  <si>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</si>
  <si>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</si>
  <si>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</si>
  <si>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</si>
  <si>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</si>
  <si>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</si>
  <si>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</si>
  <si>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</si>
  <si>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</si>
  <si>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</si>
  <si>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</si>
  <si>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</si>
  <si>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</si>
  <si>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</si>
  <si>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</si>
  <si>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</si>
  <si>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</si>
  <si>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</si>
  <si>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</si>
  <si>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</si>
  <si>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</si>
  <si>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</si>
  <si>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</si>
  <si>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</si>
  <si>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</si>
  <si>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</si>
  <si>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</si>
  <si>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</si>
  <si>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</si>
  <si>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</si>
  <si>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</si>
  <si>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</si>
  <si>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</si>
  <si>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</si>
  <si>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</si>
  <si>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</si>
  <si>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</si>
  <si>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</si>
  <si>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</si>
  <si>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</si>
  <si>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</si>
  <si>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</si>
  <si>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</si>
  <si>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</si>
  <si>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</si>
  <si>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</si>
  <si>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</si>
  <si>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</si>
  <si>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</si>
  <si>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</si>
  <si>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</si>
  <si>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</si>
  <si>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</si>
  <si>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</si>
  <si>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</si>
  <si>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</si>
  <si>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</si>
  <si>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</si>
  <si>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</si>
  <si>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</si>
  <si>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</si>
  <si>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</si>
  <si>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</si>
  <si>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</si>
  <si>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</si>
  <si>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</si>
  <si>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</si>
  <si>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</si>
  <si>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</si>
  <si>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</si>
  <si>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</si>
  <si>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</si>
  <si>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</si>
  <si>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</si>
  <si>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</si>
  <si>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</si>
  <si>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</si>
  <si>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</si>
  <si>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</si>
  <si>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</si>
  <si>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</si>
  <si>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</si>
  <si>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</si>
  <si>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</si>
  <si>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</si>
  <si>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</si>
  <si>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</si>
  <si>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</si>
  <si>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</si>
  <si>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</si>
  <si>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</si>
  <si>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</si>
  <si>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</si>
  <si>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</si>
  <si>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</si>
  <si>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</si>
  <si>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</si>
  <si>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</si>
  <si>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</si>
  <si>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</si>
  <si>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</si>
  <si>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</si>
  <si>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</si>
  <si>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</si>
  <si>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</si>
  <si>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</si>
  <si>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</si>
  <si>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</si>
  <si>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</si>
  <si>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</si>
  <si>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</si>
  <si>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</si>
  <si>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</si>
  <si>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</si>
  <si>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</si>
  <si>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</si>
  <si>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</si>
  <si>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</si>
  <si>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</si>
  <si>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</si>
  <si>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</si>
  <si>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</si>
  <si>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</si>
  <si>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</si>
  <si>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</si>
  <si>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</si>
  <si>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</si>
  <si>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</si>
  <si>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</si>
  <si>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</si>
  <si>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</si>
  <si>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</si>
  <si>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</si>
  <si>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</si>
  <si>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</si>
  <si>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</si>
  <si>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</si>
  <si>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</si>
  <si>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</si>
  <si>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</si>
  <si>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</si>
  <si>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</si>
  <si>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</si>
  <si>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</si>
  <si>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</si>
  <si>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</si>
  <si>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</si>
  <si>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</si>
  <si>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</si>
  <si>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</si>
  <si>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</si>
  <si>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</si>
  <si>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</si>
  <si>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</si>
  <si>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</si>
  <si>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</si>
  <si>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</si>
  <si>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</si>
  <si>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</si>
  <si>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</si>
  <si>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</si>
  <si>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</si>
  <si>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</si>
  <si>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</si>
  <si>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</si>
  <si>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</si>
  <si>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</si>
  <si>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</si>
  <si>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</si>
  <si>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</si>
  <si>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</si>
  <si>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</si>
  <si>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</si>
  <si>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</si>
  <si>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</si>
  <si>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</si>
  <si>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</si>
  <si>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</si>
  <si>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</si>
  <si>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</si>
  <si>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</si>
  <si>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</si>
  <si>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</si>
  <si>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</si>
  <si>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</si>
  <si>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</si>
  <si>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</si>
  <si>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</si>
  <si>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</si>
  <si>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</si>
  <si>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</si>
  <si>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</si>
  <si>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</si>
  <si>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</si>
  <si>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</si>
  <si>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</si>
  <si>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</si>
  <si>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</si>
  <si>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</si>
  <si>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</si>
  <si>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</si>
  <si>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</si>
  <si>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</si>
  <si>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</si>
  <si>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</si>
  <si>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</si>
  <si>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</si>
  <si>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</si>
  <si>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</si>
  <si>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</si>
  <si>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</si>
  <si>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</si>
  <si>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</si>
  <si>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</si>
  <si>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</si>
  <si>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</si>
  <si>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</si>
  <si>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</si>
  <si>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</si>
  <si>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</si>
  <si>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</si>
  <si>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</si>
  <si>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</si>
  <si>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</si>
  <si>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</si>
  <si>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</si>
  <si>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</si>
  <si>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</si>
  <si>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</si>
  <si>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</si>
  <si>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</si>
  <si>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</si>
  <si>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</si>
  <si>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</si>
  <si>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</si>
  <si>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</si>
  <si>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</si>
  <si>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</si>
  <si>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</si>
  <si>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</si>
  <si>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</si>
  <si>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</si>
  <si>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</si>
  <si>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</si>
  <si>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</si>
  <si>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</si>
  <si>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</si>
  <si>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</si>
  <si>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</si>
  <si>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</si>
  <si>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</si>
  <si>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</si>
  <si>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</si>
  <si>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</si>
  <si>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</si>
  <si>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</si>
  <si>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</si>
  <si>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</si>
  <si>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</si>
  <si>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</si>
  <si>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</si>
  <si>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</si>
  <si>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</si>
  <si>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</si>
  <si>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</si>
  <si>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</si>
  <si>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</si>
  <si>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</si>
  <si>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</si>
  <si>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</si>
  <si>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</si>
  <si>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</si>
  <si>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</si>
  <si>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</si>
  <si>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</si>
  <si>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</si>
  <si>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</si>
  <si>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</si>
  <si>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</si>
  <si>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</si>
  <si>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</si>
  <si>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</si>
  <si>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</si>
  <si>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</si>
  <si>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</si>
  <si>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</si>
  <si>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</si>
  <si>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</si>
  <si>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</si>
  <si>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</si>
  <si>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</si>
  <si>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</si>
  <si>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</si>
  <si>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</si>
  <si>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</si>
  <si>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</si>
  <si>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</si>
  <si>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</si>
  <si>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</si>
  <si>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</si>
  <si>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</si>
  <si>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</si>
  <si>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</si>
  <si>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</si>
  <si>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</si>
  <si>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</si>
  <si>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</si>
  <si>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</si>
  <si>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</si>
  <si>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</si>
  <si>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</si>
  <si>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</si>
  <si>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</si>
  <si>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</si>
  <si>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</si>
  <si>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</si>
  <si>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</si>
  <si>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</si>
  <si>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</si>
  <si>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</si>
  <si>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</si>
  <si>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</si>
  <si>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</si>
  <si>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</si>
  <si>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</si>
  <si>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</si>
  <si>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</si>
  <si>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</si>
  <si>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</si>
  <si>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</si>
  <si>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</si>
  <si>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</si>
  <si>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</si>
  <si>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</si>
  <si>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</si>
  <si>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</si>
  <si>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</si>
  <si>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</si>
  <si>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</si>
  <si>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</si>
  <si>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</si>
  <si>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</si>
  <si>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</si>
  <si>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</si>
  <si>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</si>
  <si>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</si>
  <si>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</si>
  <si>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</si>
  <si>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</si>
  <si>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</si>
  <si>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</si>
  <si>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</si>
  <si>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</si>
  <si>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</si>
  <si>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</si>
  <si>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</si>
  <si>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</si>
  <si>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</si>
  <si>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</si>
  <si>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</si>
  <si>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</si>
  <si>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</si>
  <si>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</si>
  <si>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</si>
  <si>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</si>
  <si>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</si>
  <si>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</si>
  <si>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</si>
  <si>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</si>
  <si>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</si>
  <si>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</si>
  <si>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</si>
  <si>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</si>
  <si>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</si>
  <si>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</si>
  <si>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</si>
  <si>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</si>
  <si>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</si>
  <si>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</si>
  <si>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</si>
  <si>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</si>
  <si>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</si>
  <si>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</si>
  <si>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</si>
  <si>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</si>
  <si>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</si>
  <si>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</si>
  <si>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</si>
  <si>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</si>
  <si>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</si>
  <si>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</si>
  <si>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</si>
  <si>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</si>
  <si>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</si>
  <si>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</si>
  <si>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</si>
  <si>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</si>
  <si>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</si>
  <si>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</si>
  <si>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</si>
  <si>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</si>
  <si>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</si>
  <si>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</si>
  <si>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</si>
  <si>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</si>
  <si>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</si>
  <si>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</si>
  <si>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</si>
  <si>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</si>
  <si>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</si>
  <si>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</si>
  <si>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</si>
  <si>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</si>
  <si>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</si>
  <si>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</si>
  <si>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</si>
  <si>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</si>
  <si>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</si>
  <si>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</si>
  <si>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</si>
  <si>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</si>
  <si>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</si>
  <si>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</si>
  <si>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</si>
  <si>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</si>
  <si>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</si>
  <si>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</si>
  <si>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</si>
  <si>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</si>
  <si>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</si>
  <si>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</si>
  <si>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</si>
  <si>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</si>
  <si>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</si>
  <si>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</si>
  <si>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</si>
  <si>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</si>
  <si>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</si>
  <si>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</si>
  <si>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</si>
  <si>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</si>
  <si>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</si>
  <si>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</si>
  <si>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</si>
  <si>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</si>
  <si>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</si>
  <si>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</si>
  <si>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</si>
  <si>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</si>
  <si>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</si>
  <si>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</si>
  <si>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</si>
  <si>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</si>
  <si>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</si>
  <si>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</si>
  <si>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</si>
  <si>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</si>
  <si>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</si>
  <si>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</si>
  <si>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</si>
  <si>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</si>
  <si>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</si>
  <si>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</si>
  <si>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</si>
  <si>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</si>
  <si>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</si>
  <si>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</si>
  <si>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</si>
  <si>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</si>
  <si>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</si>
  <si>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</si>
  <si>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</si>
  <si>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</si>
  <si>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</si>
  <si>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</si>
  <si>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</si>
  <si>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</si>
  <si>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</si>
  <si>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</si>
  <si>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</si>
  <si>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</si>
  <si>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</si>
  <si>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</si>
  <si>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</si>
  <si>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</si>
  <si>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</si>
  <si>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</si>
  <si>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</si>
  <si>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</si>
  <si>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</si>
  <si>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</si>
  <si>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</si>
  <si>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</si>
  <si>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</si>
  <si>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</si>
  <si>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</si>
  <si>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</si>
  <si>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</si>
  <si>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</si>
  <si>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</si>
  <si>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</si>
  <si>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</si>
  <si>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</si>
  <si>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</si>
  <si>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</si>
  <si>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</si>
  <si>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</si>
  <si>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</si>
  <si>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</si>
  <si>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</si>
  <si>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</si>
  <si>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</si>
  <si>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</si>
  <si>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</si>
  <si>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</si>
  <si>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</si>
  <si>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</si>
  <si>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</si>
  <si>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</si>
  <si>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</si>
  <si>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</si>
  <si>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</si>
  <si>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</si>
  <si>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</si>
  <si>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</si>
  <si>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</si>
  <si>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</si>
  <si>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</si>
  <si>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</si>
  <si>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</si>
  <si>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</si>
  <si>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</si>
  <si>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</si>
  <si>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</si>
  <si>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</si>
  <si>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</si>
  <si>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</si>
  <si>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</si>
  <si>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</si>
  <si>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</si>
  <si>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</si>
  <si>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</si>
  <si>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</si>
  <si>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</si>
  <si>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</si>
  <si>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</si>
  <si>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</si>
  <si>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</si>
  <si>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</si>
  <si>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</si>
  <si>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</si>
  <si>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</si>
  <si>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</si>
  <si>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</si>
  <si>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</si>
  <si>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</si>
  <si>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</si>
  <si>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</si>
  <si>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</si>
  <si>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</si>
  <si>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</si>
  <si>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</si>
  <si>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</si>
  <si>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</si>
  <si>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</si>
  <si>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</si>
  <si>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</si>
  <si>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</si>
  <si>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</si>
  <si>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</si>
  <si>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</si>
  <si>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</si>
  <si>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</si>
  <si>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</si>
  <si>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</si>
  <si>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</si>
  <si>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</si>
  <si>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</si>
  <si>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</si>
  <si>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</si>
  <si>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</si>
  <si>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</si>
  <si>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</si>
  <si>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</si>
  <si>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</si>
  <si>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</si>
  <si>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</si>
  <si>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</si>
  <si>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</si>
  <si>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</si>
  <si>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</si>
  <si>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</si>
  <si>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</si>
  <si>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</si>
  <si>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</si>
  <si>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</si>
  <si>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</si>
  <si>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</si>
  <si>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</si>
  <si>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</si>
  <si>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</si>
  <si>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</si>
  <si>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</si>
  <si>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</si>
  <si>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</si>
  <si>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</si>
  <si>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</si>
  <si>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</si>
  <si>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</si>
  <si>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</si>
  <si>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</si>
  <si>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</si>
  <si>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</si>
  <si>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</si>
  <si>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</si>
  <si>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</si>
  <si>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</si>
  <si>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</si>
  <si>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</si>
  <si>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</si>
  <si>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</si>
  <si>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</si>
  <si>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</si>
  <si>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</si>
  <si>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</si>
  <si>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</si>
  <si>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</si>
  <si>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</si>
  <si>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</si>
  <si>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</si>
  <si>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</si>
  <si>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</si>
  <si>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</si>
  <si>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</si>
  <si>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</si>
  <si>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</si>
  <si>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</si>
  <si>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</si>
  <si>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</si>
  <si>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</si>
  <si>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</si>
  <si>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</si>
  <si>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</si>
  <si>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</si>
  <si>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</si>
  <si>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</si>
  <si>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</si>
  <si>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</si>
  <si>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</si>
  <si>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</si>
  <si>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</si>
  <si>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</si>
  <si>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</si>
  <si>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</si>
  <si>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</si>
  <si>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</si>
  <si>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</si>
  <si>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</si>
  <si>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</si>
  <si>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</si>
  <si>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</si>
  <si>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</si>
  <si>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</si>
  <si>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</si>
  <si>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</si>
  <si>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</si>
  <si>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</si>
  <si>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</si>
  <si>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</si>
  <si>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</si>
  <si>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</si>
  <si>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</si>
  <si>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</si>
  <si>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</si>
  <si>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</si>
  <si>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</si>
  <si>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</si>
  <si>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</si>
  <si>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</si>
  <si>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</si>
  <si>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</si>
  <si>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</si>
  <si>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</si>
  <si>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</si>
  <si>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</si>
  <si>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</si>
  <si>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</si>
  <si>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</si>
  <si>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</si>
  <si>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</si>
  <si>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</si>
  <si>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</si>
  <si>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</si>
  <si>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</si>
  <si>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</si>
  <si>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</si>
  <si>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</si>
  <si>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</si>
  <si>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</si>
  <si>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</si>
  <si>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</si>
  <si>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</si>
  <si>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</si>
  <si>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</si>
  <si>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</si>
  <si>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</si>
  <si>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</si>
  <si>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</si>
  <si>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</si>
  <si>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</si>
  <si>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</si>
  <si>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</si>
  <si>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</si>
  <si>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</si>
  <si>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</si>
  <si>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</si>
  <si>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</si>
  <si>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</si>
  <si>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</si>
  <si>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</si>
  <si>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</si>
  <si>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</si>
  <si>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</si>
  <si>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</si>
  <si>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</si>
  <si>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</si>
  <si>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</si>
  <si>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</si>
  <si>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</si>
  <si>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</si>
  <si>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</si>
  <si>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</si>
  <si>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</si>
  <si>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</si>
  <si>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</si>
  <si>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</si>
  <si>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</si>
  <si>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</si>
  <si>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</si>
  <si>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</si>
  <si>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</si>
  <si>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</si>
  <si>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</si>
  <si>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</si>
  <si>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</si>
  <si>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</si>
  <si>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</si>
  <si>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</si>
  <si>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</si>
  <si>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</si>
  <si>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</si>
  <si>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</si>
  <si>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</si>
  <si>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</si>
  <si>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</si>
  <si>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</si>
  <si>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</si>
  <si>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</si>
  <si>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</si>
  <si>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</si>
  <si>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</si>
  <si>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</si>
  <si>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</si>
  <si>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</si>
  <si>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</si>
  <si>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</si>
  <si>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</si>
  <si>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</si>
  <si>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</si>
  <si>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</si>
  <si>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</si>
  <si>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</si>
  <si>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</si>
  <si>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</si>
  <si>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</si>
  <si>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</si>
  <si>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</si>
  <si>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</si>
  <si>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</si>
  <si>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</si>
  <si>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</si>
  <si>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</si>
  <si>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</si>
  <si>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</si>
  <si>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</si>
  <si>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</si>
  <si>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</si>
  <si>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</si>
  <si>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</si>
  <si>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</si>
  <si>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</si>
  <si>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</si>
  <si>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</si>
  <si>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</si>
  <si>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</si>
  <si>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</si>
  <si>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</si>
  <si>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</si>
  <si>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</si>
  <si>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</si>
  <si>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</si>
  <si>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</si>
  <si>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</si>
  <si>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</si>
  <si>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</si>
  <si>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</si>
  <si>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</si>
  <si>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</si>
  <si>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</si>
  <si>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</si>
  <si>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</si>
  <si>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</si>
  <si>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</si>
  <si>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</si>
  <si>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</si>
  <si>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</si>
  <si>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</si>
  <si>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</si>
  <si>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</si>
  <si>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</si>
  <si>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</si>
  <si>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</si>
  <si>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</si>
  <si>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</si>
  <si>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</si>
  <si>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</si>
  <si>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</si>
  <si>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</si>
  <si>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</si>
  <si>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</si>
  <si>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</si>
  <si>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</si>
  <si>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</si>
  <si>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</si>
  <si>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</si>
  <si>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</si>
  <si>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</si>
  <si>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</si>
  <si>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</si>
  <si>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</si>
  <si>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</si>
  <si>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</si>
  <si>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</si>
  <si>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</si>
  <si>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</si>
  <si>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</si>
  <si>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</si>
  <si>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</si>
  <si>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</si>
  <si>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</si>
  <si>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</si>
  <si>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</si>
  <si>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</si>
  <si>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</si>
  <si>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</si>
  <si>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</si>
  <si>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</si>
  <si>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</si>
  <si>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</si>
  <si>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</si>
  <si>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</si>
  <si>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</si>
  <si>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</si>
  <si>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</si>
  <si>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</si>
  <si>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</si>
  <si>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</si>
  <si>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</si>
  <si>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</si>
  <si>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</si>
  <si>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</si>
  <si>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</si>
  <si>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</si>
  <si>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</si>
  <si>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</si>
  <si>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</si>
  <si>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</si>
  <si>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</si>
  <si>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</si>
  <si>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</si>
  <si>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</si>
  <si>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</si>
  <si>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</si>
  <si>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</si>
  <si>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</si>
  <si>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</si>
  <si>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</si>
  <si>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</si>
  <si>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</si>
  <si>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</si>
  <si>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</si>
  <si>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</si>
  <si>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</si>
  <si>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</si>
  <si>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</si>
  <si>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</si>
  <si>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</si>
  <si>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</si>
  <si>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</si>
  <si>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</si>
  <si>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</si>
  <si>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</si>
  <si>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</si>
  <si>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</si>
  <si>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</si>
  <si>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</si>
  <si>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</si>
  <si>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</si>
  <si>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</si>
  <si>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</si>
  <si>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</si>
  <si>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</si>
  <si>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</si>
  <si>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</si>
  <si>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</si>
  <si>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</si>
  <si>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</si>
  <si>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</si>
  <si>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</si>
  <si>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</si>
  <si>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</si>
  <si>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</si>
  <si>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</si>
  <si>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</si>
  <si>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</si>
  <si>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</si>
  <si>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</si>
  <si>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</si>
  <si>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</si>
  <si>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</si>
  <si>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</si>
  <si>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</si>
  <si>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</si>
  <si>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</si>
  <si>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</si>
  <si>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</si>
  <si>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</si>
  <si>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</si>
  <si>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</si>
  <si>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</si>
  <si>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</si>
  <si>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</si>
  <si>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</si>
  <si>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</si>
  <si>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</si>
  <si>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</si>
  <si>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</si>
  <si>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</si>
  <si>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</si>
  <si>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</si>
  <si>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</si>
  <si>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</si>
  <si>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</si>
  <si>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</si>
  <si>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</si>
  <si>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</si>
  <si>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</si>
  <si>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</si>
  <si>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</si>
  <si>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</si>
  <si>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</si>
  <si>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</si>
  <si>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</si>
  <si>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</si>
  <si>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</si>
  <si>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</si>
  <si>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</si>
  <si>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</si>
  <si>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</si>
  <si>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</si>
  <si>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</si>
  <si>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</si>
  <si>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</si>
  <si>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</si>
  <si>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</si>
  <si>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</si>
  <si>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</si>
  <si>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</si>
  <si>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</si>
  <si>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</si>
  <si>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</si>
  <si>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</si>
  <si>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</si>
  <si>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</si>
  <si>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</si>
  <si>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</si>
  <si>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</si>
  <si>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</si>
  <si>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</si>
  <si>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</si>
  <si>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</si>
  <si>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</si>
  <si>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</si>
  <si>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</si>
  <si>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</si>
  <si>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</si>
  <si>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</si>
  <si>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</si>
  <si>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</si>
  <si>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</si>
  <si>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</si>
  <si>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</si>
  <si>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</si>
  <si>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</si>
  <si>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</si>
  <si>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</si>
  <si>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</si>
  <si>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</si>
  <si>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</si>
  <si>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</si>
  <si>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</si>
  <si>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</si>
  <si>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</si>
  <si>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</si>
  <si>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</si>
  <si>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</si>
  <si>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</si>
  <si>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</si>
  <si>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</si>
  <si>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</si>
  <si>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</si>
  <si>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</si>
  <si>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</si>
  <si>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</si>
  <si>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</si>
  <si>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</si>
  <si>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</si>
  <si>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</si>
  <si>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</si>
  <si>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</si>
  <si>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</si>
  <si>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</si>
  <si>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</si>
  <si>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</si>
  <si>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</si>
  <si>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</si>
  <si>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</si>
  <si>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</si>
  <si>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</si>
  <si>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</si>
  <si>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</si>
  <si>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</si>
  <si>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</si>
  <si>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</si>
  <si>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</si>
  <si>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</si>
  <si>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</si>
  <si>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</si>
  <si>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</si>
  <si>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</si>
  <si>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</si>
  <si>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</si>
  <si>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</si>
  <si>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</si>
  <si>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</si>
  <si>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</si>
  <si>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</si>
  <si>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</si>
  <si>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</si>
  <si>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</si>
  <si>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</si>
  <si>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</si>
  <si>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</si>
  <si>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</si>
  <si>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</si>
  <si>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</si>
  <si>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</si>
  <si>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</si>
  <si>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</si>
  <si>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</si>
  <si>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</si>
  <si>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</si>
  <si>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</si>
  <si>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</si>
  <si>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</si>
  <si>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</si>
  <si>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</si>
  <si>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</si>
  <si>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</si>
  <si>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</si>
  <si>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</si>
  <si>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</si>
  <si>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</si>
  <si>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</si>
  <si>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</si>
  <si>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</si>
  <si>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</si>
  <si>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</si>
  <si>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</si>
  <si>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</si>
  <si>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</si>
  <si>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</si>
  <si>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</si>
  <si>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</si>
  <si>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</si>
  <si>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</si>
  <si>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</si>
  <si>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</si>
  <si>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</si>
  <si>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</si>
  <si>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</si>
  <si>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</si>
  <si>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</si>
  <si>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</si>
  <si>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</si>
  <si>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</si>
  <si>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</si>
  <si>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</si>
  <si>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</si>
  <si>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</si>
  <si>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</si>
  <si>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</si>
  <si>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</si>
  <si>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</si>
  <si>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</si>
  <si>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</si>
  <si>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</si>
  <si>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</si>
  <si>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</si>
  <si>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</si>
  <si>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</si>
  <si>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</si>
  <si>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</si>
  <si>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</si>
  <si>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</si>
  <si>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</si>
  <si>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</si>
  <si>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</si>
  <si>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</si>
  <si>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</si>
  <si>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</si>
  <si>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</si>
  <si>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</si>
  <si>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</si>
  <si>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</si>
  <si>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</si>
  <si>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</si>
  <si>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</si>
  <si>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</si>
  <si>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</si>
  <si>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</si>
  <si>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</si>
  <si>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</si>
  <si>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</si>
  <si>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</si>
  <si>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</si>
  <si>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</si>
  <si>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</si>
  <si>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</si>
  <si>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</si>
  <si>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</si>
  <si>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</si>
  <si>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</si>
  <si>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</si>
  <si>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</si>
  <si>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自然人</t>
  </si>
  <si>
    <t>建筑面积</t>
    <phoneticPr fontId="146" type="noConversion"/>
  </si>
  <si>
    <t>套内建筑面积</t>
    <phoneticPr fontId="146" type="noConversion"/>
  </si>
  <si>
    <t>土地面积</t>
    <phoneticPr fontId="146" type="noConversion"/>
  </si>
  <si>
    <t>土地终止日期</t>
    <phoneticPr fontId="146" type="noConversion"/>
  </si>
  <si>
    <t>万元</t>
  </si>
  <si>
    <t>楼面单价</t>
  </si>
  <si>
    <t>是</t>
  </si>
  <si>
    <t>商业</t>
  </si>
  <si>
    <t>无租约</t>
  </si>
  <si>
    <t>利息：取LPR加浮动点数</t>
  </si>
  <si>
    <t>设定收益年期(n)</t>
  </si>
  <si>
    <t>钢混</t>
  </si>
  <si>
    <t>非生产用房</t>
  </si>
  <si>
    <t>否</t>
  </si>
  <si>
    <t>仅计算典型户型</t>
  </si>
  <si>
    <t>比较法-商业</t>
  </si>
  <si>
    <t>收益法</t>
  </si>
  <si>
    <r>
      <t>1</t>
    </r>
    <r>
      <rPr>
        <sz val="10"/>
        <color indexed="8"/>
        <rFont val="宋体"/>
        <family val="3"/>
        <charset val="134"/>
      </rPr>
      <t>层</t>
    </r>
    <phoneticPr fontId="20" type="noConversion"/>
  </si>
  <si>
    <r>
      <t>2</t>
    </r>
    <r>
      <rPr>
        <sz val="10"/>
        <color indexed="8"/>
        <rFont val="宋体"/>
        <family val="3"/>
        <charset val="134"/>
      </rPr>
      <t>层</t>
    </r>
    <phoneticPr fontId="20" type="noConversion"/>
  </si>
  <si>
    <r>
      <t>3</t>
    </r>
    <r>
      <rPr>
        <sz val="10"/>
        <color indexed="8"/>
        <rFont val="宋体"/>
        <family val="3"/>
        <charset val="134"/>
      </rPr>
      <t>层</t>
    </r>
    <phoneticPr fontId="20" type="noConversion"/>
  </si>
  <si>
    <t>1层</t>
  </si>
  <si>
    <t>3层</t>
  </si>
  <si>
    <t>估价对象1（结果表1修多）</t>
  </si>
  <si>
    <t>个人</t>
    <phoneticPr fontId="146" type="noConversion"/>
  </si>
  <si>
    <t>普通</t>
    <phoneticPr fontId="146" type="noConversion"/>
  </si>
  <si>
    <t>超高层高</t>
  </si>
  <si>
    <t>超高层高</t>
    <phoneticPr fontId="146" type="noConversion"/>
  </si>
  <si>
    <t>个人所得税</t>
    <phoneticPr fontId="146" type="noConversion"/>
  </si>
  <si>
    <t>房产税</t>
    <phoneticPr fontId="146" type="noConversion"/>
  </si>
  <si>
    <t>增值税</t>
    <phoneticPr fontId="146" type="noConversion"/>
  </si>
  <si>
    <t>其他：</t>
  </si>
  <si>
    <r>
      <rPr>
        <sz val="10"/>
        <color indexed="8"/>
        <rFont val="宋体"/>
        <family val="3"/>
        <charset val="134"/>
      </rPr>
      <t>年租金收入</t>
    </r>
    <r>
      <rPr>
        <sz val="10"/>
        <color indexed="8"/>
        <rFont val="Arial"/>
        <family val="2"/>
      </rPr>
      <t>×</t>
    </r>
    <r>
      <rPr>
        <sz val="10"/>
        <color indexed="8"/>
        <rFont val="宋体"/>
        <family val="3"/>
        <charset val="134"/>
      </rPr>
      <t>费率</t>
    </r>
    <phoneticPr fontId="4" type="noConversion"/>
  </si>
  <si>
    <t>层高</t>
    <phoneticPr fontId="20" type="noConversion"/>
  </si>
  <si>
    <t>超高层高</t>
    <phoneticPr fontId="20" type="noConversion"/>
  </si>
  <si>
    <t>标准层高</t>
  </si>
  <si>
    <t>标准层高</t>
    <phoneticPr fontId="20" type="noConversion"/>
  </si>
  <si>
    <t>年租金</t>
    <phoneticPr fontId="146" type="noConversion"/>
  </si>
  <si>
    <t>单价</t>
    <phoneticPr fontId="146" type="noConversion"/>
  </si>
  <si>
    <t>不含税费、不含物业</t>
    <phoneticPr fontId="146" type="noConversion"/>
  </si>
  <si>
    <t>较好</t>
    <phoneticPr fontId="20" type="noConversion"/>
  </si>
  <si>
    <t>六通</t>
  </si>
  <si>
    <t>六通</t>
    <phoneticPr fontId="20" type="noConversion"/>
  </si>
  <si>
    <t>一般</t>
    <phoneticPr fontId="20" type="noConversion"/>
  </si>
  <si>
    <t>商业</t>
    <phoneticPr fontId="25" type="noConversion"/>
  </si>
  <si>
    <t>华盛沁园</t>
    <phoneticPr fontId="4" type="noConversion"/>
  </si>
  <si>
    <t>20-30（含）</t>
  </si>
  <si>
    <t>多面临街</t>
    <phoneticPr fontId="25" type="noConversion"/>
  </si>
  <si>
    <t>双面临街</t>
    <phoneticPr fontId="25" type="noConversion"/>
  </si>
  <si>
    <t>单面临街</t>
  </si>
  <si>
    <t>单面临街</t>
    <phoneticPr fontId="25" type="noConversion"/>
  </si>
  <si>
    <t>大</t>
  </si>
  <si>
    <t>大</t>
    <phoneticPr fontId="25" type="noConversion"/>
  </si>
  <si>
    <t>较大</t>
  </si>
  <si>
    <t>较大</t>
    <phoneticPr fontId="25" type="noConversion"/>
  </si>
  <si>
    <t>一般</t>
    <phoneticPr fontId="25" type="noConversion"/>
  </si>
  <si>
    <t>较小</t>
    <phoneticPr fontId="25" type="noConversion"/>
  </si>
  <si>
    <t>小</t>
    <phoneticPr fontId="25" type="noConversion"/>
  </si>
  <si>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</si>
  <si>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</si>
  <si>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3</t>
    </r>
    <r>
      <rPr>
        <sz val="11"/>
        <color indexed="8"/>
        <rFont val="宋体"/>
        <family val="3"/>
        <charset val="134"/>
      </rPr>
      <t>层</t>
    </r>
    <phoneticPr fontId="25" type="noConversion"/>
  </si>
  <si>
    <t>商业街</t>
    <phoneticPr fontId="25" type="noConversion"/>
  </si>
  <si>
    <t>商业综合体</t>
    <phoneticPr fontId="25" type="noConversion"/>
  </si>
  <si>
    <t>住宅配套</t>
  </si>
  <si>
    <t>住宅配套</t>
    <phoneticPr fontId="25" type="noConversion"/>
  </si>
  <si>
    <t>钢混</t>
    <phoneticPr fontId="25" type="noConversion"/>
  </si>
  <si>
    <t>精装修</t>
    <phoneticPr fontId="25" type="noConversion"/>
  </si>
  <si>
    <t>六通</t>
    <phoneticPr fontId="25" type="noConversion"/>
  </si>
  <si>
    <t>五通</t>
    <phoneticPr fontId="25" type="noConversion"/>
  </si>
  <si>
    <t>可餐饮</t>
  </si>
  <si>
    <t>可餐饮</t>
    <phoneticPr fontId="25" type="noConversion"/>
  </si>
  <si>
    <t>不可餐饮</t>
    <phoneticPr fontId="25" type="noConversion"/>
  </si>
  <si>
    <t>超高</t>
  </si>
  <si>
    <t>超高</t>
    <phoneticPr fontId="25" type="noConversion"/>
  </si>
  <si>
    <t>标准</t>
  </si>
  <si>
    <t>标准</t>
    <phoneticPr fontId="25" type="noConversion"/>
  </si>
  <si>
    <t>普通装修</t>
  </si>
  <si>
    <t>普通装修</t>
    <phoneticPr fontId="25" type="noConversion"/>
  </si>
  <si>
    <t>简单装修</t>
    <phoneticPr fontId="25" type="noConversion"/>
  </si>
  <si>
    <t>毛坯</t>
    <phoneticPr fontId="25" type="noConversion"/>
  </si>
  <si>
    <t>道路等级</t>
    <phoneticPr fontId="25" type="noConversion"/>
  </si>
  <si>
    <t>主干道</t>
    <phoneticPr fontId="25" type="noConversion"/>
  </si>
  <si>
    <t>次干道</t>
    <phoneticPr fontId="25" type="noConversion"/>
  </si>
  <si>
    <t>支路</t>
    <phoneticPr fontId="25" type="noConversion"/>
  </si>
  <si>
    <t>曙光西路</t>
    <phoneticPr fontId="4" type="noConversion"/>
  </si>
  <si>
    <t>金海湾公馆</t>
    <phoneticPr fontId="4" type="noConversion"/>
  </si>
  <si>
    <t>30-40（含）</t>
  </si>
  <si>
    <t>崔锴</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</si>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</sst>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4" fontId="0" fillId="0" borderId="0" xfId="0" applyNumberFormat="1">
      <alignment vertical="center"/>
    </xf>
    <xf numFmtId="0" fontId="42" fillId="20" borderId="1" xfId="0" applyFont="1" applyFill="1" applyBorder="1" applyAlignment="1" applyProtection="1">
      <alignment vertical="center" wrapText="1"/>
      <protection locked="0"/>
    </xf>
    <xf numFmtId="9" fontId="0" fillId="0" borderId="0" xfId="0" applyNumberFormat="1">
      <alignment vertical="center"/>
    </xf>
    <xf numFmtId="181" fontId="0" fillId="0" borderId="0" xfId="0" applyNumberFormat="1">
      <alignment vertical="center"/>
    </xf>
    <xf numFmtId="9" fontId="93" fillId="0" borderId="0" xfId="0" applyNumberFormat="1" applyFont="1">
      <alignment vertical="center"/>
    </xf>
    <xf numFmtId="0" fontId="255" fillId="5" borderId="1" xfId="0" applyFont="1" applyFill="1" applyBorder="1" applyAlignment="1" applyProtection="1">
      <alignment horizontal="left" vertical="center" wrapText="1"/>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2" fontId="53" fillId="8" borderId="0" xfId="0" applyNumberFormat="1" applyFont="1" applyFill="1" applyAlignment="1" applyProtection="1">
      <alignment vertical="center"/>
    </xf>
    <xf numFmtId="49" fontId="48" fillId="0" borderId="31" xfId="0" applyNumberFormat="1" applyFont="1" applyFill="1" applyBorder="1" applyAlignment="1" applyProtection="1">
      <alignment horizontal="left" vertical="center" wrapText="1"/>
      <protection locked="0"/>
    </xf>
    <xf numFmtId="49" fontId="16" fillId="0" borderId="6" xfId="0" applyNumberFormat="1" applyFont="1" applyFill="1" applyBorder="1" applyAlignment="1" applyProtection="1">
      <alignment horizontal="left" vertical="center" wrapText="1"/>
      <protection locked="0"/>
    </xf>
    <xf numFmtId="49" fontId="48" fillId="0" borderId="6" xfId="0" applyNumberFormat="1" applyFont="1" applyFill="1" applyBorder="1" applyAlignment="1" applyProtection="1">
      <alignment horizontal="left" vertical="center" wrapText="1"/>
      <protection locked="0"/>
    </xf>
    <xf numFmtId="0" fontId="16" fillId="0" borderId="6" xfId="0" applyFont="1" applyBorder="1" applyAlignment="1" applyProtection="1">
      <alignment horizontal="left" vertical="center" wrapText="1"/>
      <protection locked="0"/>
    </xf>
    <xf numFmtId="0" fontId="16"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82" fontId="0" fillId="0" borderId="0" xfId="0" applyNumberFormat="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26</xdr:row>
      <xdr:rowOff>65005</xdr:rowOff>
    </xdr:to>
    <xdr:pic>
      <xdr:nvPicPr>
        <xdr:cNvPr id="3" name="图片 2">
          <a:extLst>
            <a:ext uri="{FF2B5EF4-FFF2-40B4-BE49-F238E27FC236}">
              <a16:creationId xmlns:a16="http://schemas.microsoft.com/office/drawing/2014/main" id="{346D6531-49CA-A3D3-2E2B-CFE9E3E101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522705"/>
        </a:xfrm>
        <a:prstGeom prst="rect">
          <a:avLst/>
        </a:prstGeom>
      </xdr:spPr>
    </xdr:pic>
    <xdr:clientData/>
  </xdr:twoCellAnchor>
  <xdr:twoCellAnchor editAs="oneCell">
    <xdr:from>
      <xdr:col>0</xdr:col>
      <xdr:colOff>0</xdr:colOff>
      <xdr:row>27</xdr:row>
      <xdr:rowOff>0</xdr:rowOff>
    </xdr:from>
    <xdr:to>
      <xdr:col>11</xdr:col>
      <xdr:colOff>228600</xdr:colOff>
      <xdr:row>50</xdr:row>
      <xdr:rowOff>156920</xdr:rowOff>
    </xdr:to>
    <xdr:pic>
      <xdr:nvPicPr>
        <xdr:cNvPr id="5" name="图片 4">
          <a:extLst>
            <a:ext uri="{FF2B5EF4-FFF2-40B4-BE49-F238E27FC236}">
              <a16:creationId xmlns:a16="http://schemas.microsoft.com/office/drawing/2014/main" id="{5A416255-1C8D-7839-55DE-494079B625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7772400" cy="4100270"/>
        </a:xfrm>
        <a:prstGeom prst="rect">
          <a:avLst/>
        </a:prstGeom>
      </xdr:spPr>
    </xdr:pic>
    <xdr:clientData/>
  </xdr:twoCellAnchor>
  <xdr:twoCellAnchor editAs="oneCell">
    <xdr:from>
      <xdr:col>0</xdr:col>
      <xdr:colOff>0</xdr:colOff>
      <xdr:row>52</xdr:row>
      <xdr:rowOff>0</xdr:rowOff>
    </xdr:from>
    <xdr:to>
      <xdr:col>11</xdr:col>
      <xdr:colOff>228600</xdr:colOff>
      <xdr:row>76</xdr:row>
      <xdr:rowOff>168852</xdr:rowOff>
    </xdr:to>
    <xdr:pic>
      <xdr:nvPicPr>
        <xdr:cNvPr id="7" name="图片 6">
          <a:extLst>
            <a:ext uri="{FF2B5EF4-FFF2-40B4-BE49-F238E27FC236}">
              <a16:creationId xmlns:a16="http://schemas.microsoft.com/office/drawing/2014/main" id="{C83E6067-DAB7-055C-944F-DA08D085A29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15400"/>
          <a:ext cx="7772400" cy="4283652"/>
        </a:xfrm>
        <a:prstGeom prst="rect">
          <a:avLst/>
        </a:prstGeom>
      </xdr:spPr>
    </xdr:pic>
    <xdr:clientData/>
  </xdr:twoCellAnchor>
  <xdr:twoCellAnchor editAs="oneCell">
    <xdr:from>
      <xdr:col>0</xdr:col>
      <xdr:colOff>0</xdr:colOff>
      <xdr:row>78</xdr:row>
      <xdr:rowOff>0</xdr:rowOff>
    </xdr:from>
    <xdr:to>
      <xdr:col>11</xdr:col>
      <xdr:colOff>228600</xdr:colOff>
      <xdr:row>101</xdr:row>
      <xdr:rowOff>29736</xdr:rowOff>
    </xdr:to>
    <xdr:pic>
      <xdr:nvPicPr>
        <xdr:cNvPr id="9" name="图片 8">
          <a:extLst>
            <a:ext uri="{FF2B5EF4-FFF2-40B4-BE49-F238E27FC236}">
              <a16:creationId xmlns:a16="http://schemas.microsoft.com/office/drawing/2014/main" id="{EB1BCBD4-B9BF-C711-F085-FB30BB59034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373100"/>
          <a:ext cx="7772400" cy="3973086"/>
        </a:xfrm>
        <a:prstGeom prst="rect">
          <a:avLst/>
        </a:prstGeom>
      </xdr:spPr>
    </xdr:pic>
    <xdr:clientData/>
  </xdr:twoCellAnchor>
  <xdr:twoCellAnchor editAs="oneCell">
    <xdr:from>
      <xdr:col>0</xdr:col>
      <xdr:colOff>0</xdr:colOff>
      <xdr:row>102</xdr:row>
      <xdr:rowOff>0</xdr:rowOff>
    </xdr:from>
    <xdr:to>
      <xdr:col>11</xdr:col>
      <xdr:colOff>228600</xdr:colOff>
      <xdr:row>128</xdr:row>
      <xdr:rowOff>54051</xdr:rowOff>
    </xdr:to>
    <xdr:pic>
      <xdr:nvPicPr>
        <xdr:cNvPr id="13" name="图片 12">
          <a:extLst>
            <a:ext uri="{FF2B5EF4-FFF2-40B4-BE49-F238E27FC236}">
              <a16:creationId xmlns:a16="http://schemas.microsoft.com/office/drawing/2014/main" id="{0E95C71F-E2A9-35FC-01F1-24BA1721393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7487900"/>
          <a:ext cx="7772400" cy="4511751"/>
        </a:xfrm>
        <a:prstGeom prst="rect">
          <a:avLst/>
        </a:prstGeom>
      </xdr:spPr>
    </xdr:pic>
    <xdr:clientData/>
  </xdr:twoCellAnchor>
  <xdr:twoCellAnchor editAs="oneCell">
    <xdr:from>
      <xdr:col>0</xdr:col>
      <xdr:colOff>0</xdr:colOff>
      <xdr:row>129</xdr:row>
      <xdr:rowOff>0</xdr:rowOff>
    </xdr:from>
    <xdr:to>
      <xdr:col>11</xdr:col>
      <xdr:colOff>228600</xdr:colOff>
      <xdr:row>152</xdr:row>
      <xdr:rowOff>160287</xdr:rowOff>
    </xdr:to>
    <xdr:pic>
      <xdr:nvPicPr>
        <xdr:cNvPr id="15" name="图片 14">
          <a:extLst>
            <a:ext uri="{FF2B5EF4-FFF2-40B4-BE49-F238E27FC236}">
              <a16:creationId xmlns:a16="http://schemas.microsoft.com/office/drawing/2014/main" id="{BED193AD-02CE-9FB2-8CDB-E1D7C89FD7C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2117050"/>
          <a:ext cx="7772400" cy="4103637"/>
        </a:xfrm>
        <a:prstGeom prst="rect">
          <a:avLst/>
        </a:prstGeom>
      </xdr:spPr>
    </xdr:pic>
    <xdr:clientData/>
  </xdr:twoCellAnchor>
  <xdr:twoCellAnchor editAs="oneCell">
    <xdr:from>
      <xdr:col>12</xdr:col>
      <xdr:colOff>0</xdr:colOff>
      <xdr:row>1</xdr:row>
      <xdr:rowOff>0</xdr:rowOff>
    </xdr:from>
    <xdr:to>
      <xdr:col>22</xdr:col>
      <xdr:colOff>95250</xdr:colOff>
      <xdr:row>29</xdr:row>
      <xdr:rowOff>142875</xdr:rowOff>
    </xdr:to>
    <xdr:pic>
      <xdr:nvPicPr>
        <xdr:cNvPr id="17" name="图片 16">
          <a:extLst>
            <a:ext uri="{FF2B5EF4-FFF2-40B4-BE49-F238E27FC236}">
              <a16:creationId xmlns:a16="http://schemas.microsoft.com/office/drawing/2014/main" id="{D9B17530-6F70-6E09-AC98-8FBE00149A1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229600" y="171450"/>
          <a:ext cx="6953250" cy="4943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预评估</v>
      </c>
    </row>
    <row r="3" spans="1:2" s="1138" customFormat="1">
      <c r="A3" s="1139" t="s">
        <v>858</v>
      </c>
      <c r="B3" s="1124" t="str">
        <f>'预评函-封皮'!B12</f>
        <v>xx</v>
      </c>
    </row>
    <row r="4" spans="1:2" s="1138" customFormat="1">
      <c r="A4" s="1139" t="s">
        <v>859</v>
      </c>
      <c r="B4" s="1124" t="str">
        <f ca="1">'预评函-封皮'!B18</f>
        <v>崔锴（注册号:0）、郑燚（注册号:1120070131)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受您的委托，我公司对房地产进行了预评估。</v>
      </c>
    </row>
    <row r="7" spans="1:2">
      <c r="A7" s="1139" t="s">
        <v>862</v>
      </c>
      <c r="B7" s="1126" t="str">
        <f>'预评函-1'!A6</f>
        <v>估价对象为房地产，为所有。根据《》[]，估价对象建筑面积为829.41平方米。根据《》[]，估价对象（分摊）出让国有建设用地使用权面积为30.71平方米。估价对象用途为。</v>
      </c>
    </row>
    <row r="8" spans="1:2">
      <c r="A8" s="1139" t="s">
        <v>863</v>
      </c>
      <c r="B8" s="1126" t="str">
        <f>'预评函-1'!A8</f>
        <v>为估价委托人了解估价对象房地产市场价值提供参考依据。</v>
      </c>
    </row>
    <row r="9" spans="1:2">
      <c r="A9" s="1139" t="s">
        <v>864</v>
      </c>
      <c r="B9" s="1126" t="str">
        <f>'预评函-1'!A10</f>
        <v>2022年8月3日（评估专业人员实地查勘之日）</v>
      </c>
    </row>
    <row r="10" spans="1:2">
      <c r="A10" s="1139" t="s">
        <v>865</v>
      </c>
      <c r="B10" s="1126" t="str">
        <f>'预评函-1'!A13</f>
        <v>本次估价的“房地产价值”是指在正常市场情况下，在价值时点2022年8月3日，估价对象规划用途为，假定未设立法定优先受偿款下的房地产市场价值。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房地产</v>
      </c>
    </row>
    <row r="18" spans="1:2">
      <c r="A18" s="1139" t="s">
        <v>873</v>
      </c>
      <c r="B18" s="1126">
        <f>'预评函-2（1）'!C6</f>
        <v>829.41000000000008</v>
      </c>
    </row>
    <row r="19" spans="1:2">
      <c r="A19" s="1139" t="s">
        <v>874</v>
      </c>
      <c r="B19" s="1126">
        <f ca="1">'预评函-2（1）'!D7</f>
        <v>547</v>
      </c>
    </row>
    <row r="20" spans="1:2">
      <c r="A20" s="1139" t="s">
        <v>912</v>
      </c>
      <c r="B20" s="1126" t="str">
        <f>'预评函-2（1）'!C7</f>
        <v>总价（万元）</v>
      </c>
    </row>
    <row r="21" spans="1:2">
      <c r="A21" s="1139" t="s">
        <v>875</v>
      </c>
      <c r="B21" s="1126">
        <f ca="1">'预评函-2（1）'!D9</f>
        <v>6595</v>
      </c>
    </row>
    <row r="22" spans="1:2">
      <c r="A22" s="1139" t="s">
        <v>876</v>
      </c>
      <c r="B22" s="1126" t="str">
        <f ca="1">'预评函-2（1）'!D8</f>
        <v>伍佰肆拾柒万元整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547</v>
      </c>
    </row>
    <row r="30" spans="1:2">
      <c r="A30" s="1139" t="s">
        <v>882</v>
      </c>
      <c r="B30" s="1126" t="str">
        <f ca="1">'预评函-2（1）'!D16</f>
        <v>伍佰肆拾柒万元整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30.71</v>
      </c>
    </row>
    <row r="37" spans="1:2">
      <c r="A37" s="1139" t="s">
        <v>889</v>
      </c>
      <c r="B37" s="1126">
        <f>'预评函-2（2）'!D4</f>
        <v>0</v>
      </c>
    </row>
    <row r="38" spans="1:2">
      <c r="A38" s="1139" t="s">
        <v>890</v>
      </c>
      <c r="B38" s="1126">
        <f>'预评函-2（2）'!E4</f>
        <v>0</v>
      </c>
    </row>
    <row r="39" spans="1:2">
      <c r="A39" s="1139" t="s">
        <v>891</v>
      </c>
      <c r="B39" s="1126" t="str">
        <f>'预评函-2（2）'!D5</f>
        <v>零元整</v>
      </c>
    </row>
    <row r="40" spans="1:2">
      <c r="A40" s="1139" t="s">
        <v>892</v>
      </c>
      <c r="B40" s="1126">
        <f>'预评函-2（2）'!F4</f>
        <v>0</v>
      </c>
    </row>
    <row r="41" spans="1:2">
      <c r="A41" s="1139" t="s">
        <v>893</v>
      </c>
      <c r="B41" s="1126">
        <f>'预评函-2（2）'!G4</f>
        <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崔锴</v>
      </c>
    </row>
    <row r="53" spans="1:2">
      <c r="A53" s="1139" t="s">
        <v>904</v>
      </c>
      <c r="B53" s="1126">
        <f ca="1">'预评函-3'!B4</f>
        <v>0</v>
      </c>
    </row>
    <row r="54" spans="1:2">
      <c r="A54" s="1139" t="s">
        <v>905</v>
      </c>
      <c r="B54" s="1130" t="str">
        <f>'预评函-3'!A5</f>
        <v>郑燚</v>
      </c>
    </row>
    <row r="55" spans="1:2" s="1136" customFormat="1" ht="15.75" thickBot="1">
      <c r="A55" s="1140" t="s">
        <v>906</v>
      </c>
      <c r="B55" s="1128">
        <f ca="1">'预评函-3'!B5</f>
        <v>1120070131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6595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B2" sqref="B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8" t="s">
        <v>1288</v>
      </c>
      <c r="B1" s="2509" t="str">
        <f>IF(B6="北京市","北京市",C6)&amp;IF(E12="房屋所有权证",B29,E29)&amp;D5&amp;"预评估"</f>
        <v>预评估</v>
      </c>
      <c r="C1" s="781"/>
      <c r="D1" s="781"/>
      <c r="E1" s="781"/>
      <c r="F1" s="1354" t="s">
        <v>1289</v>
      </c>
      <c r="G1" s="1120"/>
      <c r="I1" s="2836" t="str">
        <f>IF(B6="北京市","北京市",C6)&amp;IF(E12="房屋所有权证",B29,E29)&amp;"房地产"</f>
        <v>房地产</v>
      </c>
      <c r="J1" s="758"/>
      <c r="K1" s="2838"/>
      <c r="L1" s="2838"/>
      <c r="M1" s="2838"/>
      <c r="N1" s="758"/>
      <c r="O1" s="758"/>
      <c r="P1" s="758"/>
      <c r="Q1" s="758"/>
    </row>
    <row r="2" spans="1:17" ht="13.5" thickTop="1">
      <c r="A2" s="1355" t="s">
        <v>1290</v>
      </c>
      <c r="B2" s="2510">
        <v>44776</v>
      </c>
      <c r="C2" s="2808" t="s">
        <v>1291</v>
      </c>
      <c r="D2" s="2510">
        <f>B2</f>
        <v>44776</v>
      </c>
      <c r="E2" s="782"/>
      <c r="F2" s="782"/>
      <c r="G2" s="1121"/>
      <c r="H2" s="2820"/>
    </row>
    <row r="3" spans="1:17" ht="13.5" thickBot="1">
      <c r="A3" s="2511" t="s">
        <v>1292</v>
      </c>
      <c r="B3" s="2512" t="s">
        <v>3104</v>
      </c>
      <c r="C3" s="2513">
        <f ca="1">SUMIF(注册房地产估价师,B3,估价师及机构信息!B3:B16)</f>
        <v>0</v>
      </c>
      <c r="D3" s="2512" t="s">
        <v>3105</v>
      </c>
      <c r="E3" s="2514">
        <f ca="1">SUMIF(注册房地产估价师,D3,估价师及机构信息!B3:B16)</f>
        <v>1120070131</v>
      </c>
      <c r="F3" s="783"/>
      <c r="G3" s="1122"/>
      <c r="H3" s="2820"/>
    </row>
    <row r="4" spans="1:17" ht="13.5" customHeight="1" thickTop="1">
      <c r="A4" s="1355" t="s">
        <v>1293</v>
      </c>
      <c r="B4" s="1356" t="s">
        <v>2477</v>
      </c>
      <c r="C4" s="2809" t="s">
        <v>1294</v>
      </c>
      <c r="D4" s="1357"/>
      <c r="E4" s="782"/>
      <c r="F4" s="782"/>
      <c r="G4" s="1121"/>
    </row>
    <row r="5" spans="1:17">
      <c r="A5" s="1358" t="s">
        <v>1295</v>
      </c>
      <c r="B5" s="1359" t="s">
        <v>2478</v>
      </c>
      <c r="C5" s="2810" t="s">
        <v>1296</v>
      </c>
      <c r="D5" s="1361"/>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3322" t="s">
        <v>3048</v>
      </c>
      <c r="C6" s="2515"/>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3017</v>
      </c>
      <c r="C7" s="1453" t="str">
        <f>IF(B7="自然人","姓名","名称")</f>
        <v>姓名</v>
      </c>
      <c r="D7" s="1366"/>
      <c r="E7" s="783"/>
      <c r="F7" s="783"/>
      <c r="G7" s="1122"/>
    </row>
    <row r="8" spans="1:17" ht="13.5" thickTop="1">
      <c r="A8" s="3394" t="s">
        <v>1301</v>
      </c>
      <c r="B8" s="1367" t="s">
        <v>1302</v>
      </c>
      <c r="C8" s="3407"/>
      <c r="D8" s="3408"/>
      <c r="E8" s="2518" t="s">
        <v>1303</v>
      </c>
      <c r="F8" s="2519" t="s">
        <v>1304</v>
      </c>
      <c r="G8" s="2520">
        <f>C6</f>
        <v>0</v>
      </c>
    </row>
    <row r="9" spans="1:17">
      <c r="A9" s="3394"/>
      <c r="B9" s="259" t="s">
        <v>1305</v>
      </c>
      <c r="C9" s="1359"/>
      <c r="D9" s="1368"/>
      <c r="E9" s="2814" t="s">
        <v>1306</v>
      </c>
      <c r="F9" s="2521"/>
      <c r="G9" s="2522"/>
    </row>
    <row r="10" spans="1:17" ht="13.5" thickBot="1">
      <c r="A10" s="3394"/>
      <c r="B10" s="259" t="s">
        <v>1307</v>
      </c>
      <c r="C10" s="3409"/>
      <c r="D10" s="3410"/>
      <c r="E10" s="2815" t="s">
        <v>1308</v>
      </c>
      <c r="F10" s="2523"/>
      <c r="G10" s="2524"/>
    </row>
    <row r="11" spans="1:17" ht="13.5" thickBot="1">
      <c r="A11" s="3394"/>
      <c r="B11" s="1370" t="s">
        <v>1309</v>
      </c>
      <c r="C11" s="3411"/>
      <c r="D11" s="3412"/>
      <c r="E11" s="769"/>
      <c r="F11" s="769"/>
      <c r="G11" s="788"/>
    </row>
    <row r="12" spans="1:17" ht="13.5" thickBot="1">
      <c r="A12" s="3398" t="s">
        <v>2583</v>
      </c>
      <c r="B12" s="2816" t="s">
        <v>1310</v>
      </c>
      <c r="C12" s="766">
        <f>信息!B4</f>
        <v>829.41000000000008</v>
      </c>
      <c r="D12" s="1371" t="s">
        <v>1311</v>
      </c>
      <c r="E12" s="1372"/>
      <c r="F12" s="1373"/>
      <c r="G12" s="788"/>
    </row>
    <row r="13" spans="1:17" ht="21" customHeight="1" thickBot="1">
      <c r="A13" s="3399"/>
      <c r="B13" s="2817" t="s">
        <v>1312</v>
      </c>
      <c r="C13" s="767">
        <f>信息!E2+信息!E3</f>
        <v>30.71</v>
      </c>
      <c r="D13" s="1374" t="s">
        <v>1313</v>
      </c>
      <c r="E13" s="1375"/>
      <c r="F13" s="769"/>
      <c r="G13" s="788"/>
      <c r="I13" s="3417"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2584</v>
      </c>
      <c r="C14" s="2526"/>
      <c r="D14" s="769"/>
      <c r="E14" s="769"/>
      <c r="F14" s="769"/>
      <c r="G14" s="788"/>
      <c r="I14" s="3417"/>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417"/>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13" t="s">
        <v>1320</v>
      </c>
      <c r="C17" s="3414"/>
      <c r="D17" s="3415" t="s">
        <v>1321</v>
      </c>
      <c r="E17" s="3416"/>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26" t="s">
        <v>2582</v>
      </c>
      <c r="B24" s="3426"/>
      <c r="C24" s="3426"/>
      <c r="D24" s="3426"/>
      <c r="E24" s="3426"/>
      <c r="F24" s="3426"/>
      <c r="G24" s="3426"/>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01" t="s">
        <v>1334</v>
      </c>
      <c r="D28" s="3402"/>
      <c r="E28" s="759"/>
      <c r="F28" s="761" t="s">
        <v>1334</v>
      </c>
      <c r="G28" s="759"/>
      <c r="K28" s="2821"/>
    </row>
    <row r="29" spans="1:66">
      <c r="A29" s="762" t="s">
        <v>1335</v>
      </c>
      <c r="B29" s="756"/>
      <c r="C29" s="3403" t="s">
        <v>1336</v>
      </c>
      <c r="D29" s="3404"/>
      <c r="E29" s="756"/>
      <c r="F29" s="762" t="s">
        <v>1336</v>
      </c>
      <c r="G29" s="756"/>
      <c r="K29" s="2821"/>
    </row>
    <row r="30" spans="1:66">
      <c r="A30" s="762" t="s">
        <v>1337</v>
      </c>
      <c r="B30" s="756"/>
      <c r="C30" s="3403" t="s">
        <v>1337</v>
      </c>
      <c r="D30" s="3404"/>
      <c r="E30" s="756"/>
      <c r="F30" s="762" t="s">
        <v>1338</v>
      </c>
      <c r="G30" s="756"/>
      <c r="K30" s="2821"/>
    </row>
    <row r="31" spans="1:66">
      <c r="A31" s="762" t="s">
        <v>1339</v>
      </c>
      <c r="B31" s="756"/>
      <c r="C31" s="3423" t="s">
        <v>1340</v>
      </c>
      <c r="D31" s="769"/>
      <c r="E31" s="2544" t="str">
        <f>E32&amp;" "&amp;E33&amp;" "&amp;E34&amp;" "&amp;E35</f>
        <v xml:space="preserve">   </v>
      </c>
      <c r="F31" s="762" t="s">
        <v>1341</v>
      </c>
      <c r="G31" s="756"/>
    </row>
    <row r="32" spans="1:66">
      <c r="A32" s="762" t="s">
        <v>1342</v>
      </c>
      <c r="B32" s="756"/>
      <c r="C32" s="3424"/>
      <c r="D32" s="259" t="s">
        <v>1343</v>
      </c>
      <c r="E32" s="756"/>
      <c r="F32" s="762" t="s">
        <v>1344</v>
      </c>
      <c r="G32" s="756"/>
    </row>
    <row r="33" spans="1:7" ht="24.75" thickBot="1">
      <c r="A33" s="763" t="s">
        <v>1345</v>
      </c>
      <c r="B33" s="760"/>
      <c r="C33" s="3424"/>
      <c r="D33" s="259" t="s">
        <v>1346</v>
      </c>
      <c r="E33" s="756"/>
      <c r="F33" s="762" t="s">
        <v>1347</v>
      </c>
      <c r="G33" s="756"/>
    </row>
    <row r="34" spans="1:7">
      <c r="A34" s="761" t="s">
        <v>1348</v>
      </c>
      <c r="B34" s="759"/>
      <c r="C34" s="3424"/>
      <c r="D34" s="259" t="s">
        <v>1349</v>
      </c>
      <c r="E34" s="756"/>
      <c r="F34" s="762" t="s">
        <v>1350</v>
      </c>
      <c r="G34" s="756"/>
    </row>
    <row r="35" spans="1:7" ht="13.5" thickBot="1">
      <c r="A35" s="762" t="s">
        <v>1351</v>
      </c>
      <c r="B35" s="756"/>
      <c r="C35" s="3425"/>
      <c r="D35" s="259" t="s">
        <v>1352</v>
      </c>
      <c r="E35" s="756"/>
      <c r="F35" s="763" t="s">
        <v>1353</v>
      </c>
      <c r="G35" s="2545"/>
    </row>
    <row r="36" spans="1:7">
      <c r="A36" s="762" t="s">
        <v>1310</v>
      </c>
      <c r="B36" s="756"/>
      <c r="C36" s="3403" t="s">
        <v>1354</v>
      </c>
      <c r="D36" s="3404"/>
      <c r="E36" s="756"/>
      <c r="F36" s="2546" t="s">
        <v>1355</v>
      </c>
      <c r="G36" s="759"/>
    </row>
    <row r="37" spans="1:7" ht="13.5" thickBot="1">
      <c r="A37" s="762" t="s">
        <v>1356</v>
      </c>
      <c r="B37" s="756"/>
      <c r="C37" s="3405" t="s">
        <v>1357</v>
      </c>
      <c r="D37" s="3406"/>
      <c r="E37" s="760"/>
      <c r="F37" s="1391" t="s">
        <v>1358</v>
      </c>
      <c r="G37" s="756"/>
    </row>
    <row r="38" spans="1:7" ht="13.5" thickBot="1">
      <c r="A38" s="762" t="s">
        <v>1359</v>
      </c>
      <c r="B38" s="756"/>
      <c r="C38" s="3395" t="s">
        <v>1360</v>
      </c>
      <c r="D38" s="1371" t="s">
        <v>1344</v>
      </c>
      <c r="E38" s="759"/>
      <c r="F38" s="763" t="s">
        <v>1361</v>
      </c>
      <c r="G38" s="760"/>
    </row>
    <row r="39" spans="1:7">
      <c r="A39" s="762" t="s">
        <v>1362</v>
      </c>
      <c r="B39" s="756"/>
      <c r="C39" s="3396"/>
      <c r="D39" s="259" t="s">
        <v>1351</v>
      </c>
      <c r="E39" s="756"/>
      <c r="F39" s="761" t="s">
        <v>1363</v>
      </c>
      <c r="G39" s="759"/>
    </row>
    <row r="40" spans="1:7">
      <c r="A40" s="762" t="s">
        <v>1364</v>
      </c>
      <c r="B40" s="756"/>
      <c r="C40" s="3396" t="s">
        <v>1365</v>
      </c>
      <c r="D40" s="259" t="s">
        <v>1310</v>
      </c>
      <c r="E40" s="756"/>
      <c r="F40" s="762" t="s">
        <v>1366</v>
      </c>
      <c r="G40" s="756"/>
    </row>
    <row r="41" spans="1:7" ht="24.75" customHeight="1" thickBot="1">
      <c r="A41" s="763" t="s">
        <v>1367</v>
      </c>
      <c r="B41" s="760"/>
      <c r="C41" s="3397"/>
      <c r="D41" s="1374" t="s">
        <v>1312</v>
      </c>
      <c r="E41" s="760"/>
      <c r="F41" s="763" t="s">
        <v>1368</v>
      </c>
      <c r="G41" s="760"/>
    </row>
    <row r="42" spans="1:7">
      <c r="A42" s="764" t="s">
        <v>1369</v>
      </c>
      <c r="B42" s="2547"/>
      <c r="C42" s="3418" t="s">
        <v>1369</v>
      </c>
      <c r="D42" s="3419"/>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420" t="s">
        <v>1372</v>
      </c>
      <c r="D49" s="3421"/>
      <c r="E49" s="778"/>
      <c r="F49" s="763" t="s">
        <v>1373</v>
      </c>
      <c r="G49" s="760"/>
    </row>
    <row r="50" spans="1:66">
      <c r="A50" s="762" t="s">
        <v>1374</v>
      </c>
      <c r="B50" s="777"/>
      <c r="C50" s="3395" t="s">
        <v>1375</v>
      </c>
      <c r="D50" s="3422"/>
      <c r="E50" s="2549"/>
      <c r="F50" s="795"/>
      <c r="G50" s="796"/>
    </row>
    <row r="51" spans="1:66" ht="13.5" thickBot="1">
      <c r="A51" s="762" t="s">
        <v>1376</v>
      </c>
      <c r="B51" s="777"/>
      <c r="C51" s="3397" t="s">
        <v>1377</v>
      </c>
      <c r="D51" s="3400"/>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1C916-D399-424B-B290-7C3A8120129F}">
  <dimension ref="A1:J11"/>
  <sheetViews>
    <sheetView workbookViewId="0">
      <selection activeCell="F11" sqref="F11"/>
    </sheetView>
  </sheetViews>
  <sheetFormatPr defaultRowHeight="13.5"/>
  <cols>
    <col min="2" max="2" width="11" bestFit="1" customWidth="1"/>
    <col min="6" max="6" width="11.625" bestFit="1" customWidth="1"/>
  </cols>
  <sheetData>
    <row r="1" spans="1:10">
      <c r="B1" s="1269" t="s">
        <v>3018</v>
      </c>
      <c r="C1" s="1269" t="s">
        <v>3019</v>
      </c>
      <c r="E1" s="1269" t="s">
        <v>3020</v>
      </c>
      <c r="F1" s="1269" t="s">
        <v>3021</v>
      </c>
      <c r="H1" s="1269" t="s">
        <v>3054</v>
      </c>
      <c r="I1" s="1269" t="s">
        <v>3055</v>
      </c>
    </row>
    <row r="2" spans="1:10">
      <c r="A2">
        <v>301</v>
      </c>
      <c r="B2">
        <v>689.45</v>
      </c>
      <c r="C2">
        <v>604.25</v>
      </c>
      <c r="D2" s="1269" t="s">
        <v>3042</v>
      </c>
      <c r="E2">
        <v>25.53</v>
      </c>
      <c r="F2" s="3321">
        <v>54414</v>
      </c>
      <c r="G2">
        <f>B2/E2</f>
        <v>27.005483744614178</v>
      </c>
      <c r="H2">
        <v>120</v>
      </c>
      <c r="I2">
        <f>ROUND(H2/4620/365*10000,2)</f>
        <v>0.71</v>
      </c>
      <c r="J2" s="1269" t="s">
        <v>3056</v>
      </c>
    </row>
    <row r="3" spans="1:10">
      <c r="A3">
        <v>101</v>
      </c>
      <c r="B3">
        <v>139.96</v>
      </c>
      <c r="C3">
        <v>127.07</v>
      </c>
      <c r="D3" s="1269" t="s">
        <v>3044</v>
      </c>
      <c r="E3">
        <v>5.18</v>
      </c>
      <c r="G3">
        <f>G2</f>
        <v>27.005483744614178</v>
      </c>
      <c r="H3">
        <v>8</v>
      </c>
      <c r="I3">
        <f>ROUND(H3/B3/365*10000,2)</f>
        <v>1.57</v>
      </c>
      <c r="J3" s="1269" t="s">
        <v>3056</v>
      </c>
    </row>
    <row r="4" spans="1:10">
      <c r="B4">
        <f>B2+B3</f>
        <v>829.41000000000008</v>
      </c>
      <c r="E4">
        <f>SUM(E2:E3)</f>
        <v>30.71</v>
      </c>
    </row>
    <row r="5" spans="1:10">
      <c r="C5">
        <f>1*B3</f>
        <v>139.96</v>
      </c>
      <c r="D5">
        <v>140</v>
      </c>
    </row>
    <row r="6" spans="1:10">
      <c r="C6">
        <f>0.58*B2</f>
        <v>399.88099999999997</v>
      </c>
      <c r="D6">
        <v>400</v>
      </c>
    </row>
    <row r="7" spans="1:10">
      <c r="D7">
        <f>D5+D6</f>
        <v>540</v>
      </c>
    </row>
    <row r="9" spans="1:10">
      <c r="B9" s="1269" t="s">
        <v>3045</v>
      </c>
      <c r="C9" s="1269" t="s">
        <v>3046</v>
      </c>
      <c r="D9" s="1269" t="s">
        <v>3047</v>
      </c>
    </row>
    <row r="10" spans="1:10">
      <c r="A10" s="1269" t="s">
        <v>3041</v>
      </c>
      <c r="B10" s="3324">
        <v>5.0000000000000001E-3</v>
      </c>
      <c r="C10" s="3323">
        <v>0.06</v>
      </c>
      <c r="D10" s="3325">
        <v>0.05</v>
      </c>
    </row>
    <row r="11" spans="1:10">
      <c r="A11" s="1269"/>
      <c r="B11" s="3323"/>
      <c r="C11" s="1269"/>
      <c r="D11" s="3323"/>
      <c r="E11" s="1269"/>
    </row>
  </sheetData>
  <phoneticPr fontId="1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7" t="s">
        <v>0</v>
      </c>
      <c r="B1" s="3427" t="s">
        <v>2</v>
      </c>
      <c r="C1" s="3427" t="s">
        <v>3</v>
      </c>
      <c r="D1" s="3428" t="s">
        <v>67</v>
      </c>
      <c r="E1" s="3428" t="s">
        <v>68</v>
      </c>
      <c r="F1" s="3428"/>
      <c r="G1" s="3428"/>
      <c r="H1" s="3428"/>
      <c r="I1" s="3428"/>
      <c r="J1" s="3428"/>
      <c r="K1" s="3428"/>
      <c r="L1" s="3428"/>
      <c r="M1" s="3428"/>
    </row>
    <row r="2" spans="1:13" ht="27" customHeight="1">
      <c r="A2" s="3427"/>
      <c r="B2" s="3427"/>
      <c r="C2" s="3427"/>
      <c r="D2" s="3428"/>
      <c r="E2" s="3428" t="s">
        <v>51</v>
      </c>
      <c r="F2" s="3428" t="s">
        <v>52</v>
      </c>
      <c r="G2" s="3428"/>
      <c r="H2" s="3428"/>
      <c r="I2" s="3428"/>
      <c r="J2" s="3428" t="s">
        <v>53</v>
      </c>
      <c r="K2" s="3428"/>
      <c r="L2" s="3428"/>
      <c r="M2" s="3428"/>
    </row>
    <row r="3" spans="1:13" ht="28.5">
      <c r="A3" s="3427"/>
      <c r="B3" s="3427"/>
      <c r="C3" s="3427"/>
      <c r="D3" s="3428"/>
      <c r="E3" s="34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8" t="s">
        <v>69</v>
      </c>
      <c r="B9" s="3428"/>
      <c r="C9" s="34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44776</v>
      </c>
      <c r="C2" s="1613"/>
      <c r="D2" s="3429"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3022</v>
      </c>
      <c r="C3" s="1613"/>
      <c r="D3" s="3430"/>
      <c r="E3" s="2556" t="s">
        <v>3024</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3023</v>
      </c>
      <c r="C4" s="1613"/>
      <c r="D4" s="3430"/>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829.41000000000008</v>
      </c>
      <c r="C5" s="1613"/>
      <c r="D5" s="2842" t="s">
        <v>1385</v>
      </c>
      <c r="E5" s="2559">
        <f>信息!B3</f>
        <v>139.96</v>
      </c>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30.71</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3025</v>
      </c>
      <c r="C10" s="1613"/>
      <c r="D10" s="2840" t="s">
        <v>1389</v>
      </c>
      <c r="E10" s="2844" t="s">
        <v>1390</v>
      </c>
      <c r="F10" s="3008" t="s">
        <v>2592</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5" t="s">
        <v>1391</v>
      </c>
      <c r="B11" s="2565">
        <v>40</v>
      </c>
      <c r="C11" s="1613"/>
      <c r="D11" s="2846" t="s">
        <v>1392</v>
      </c>
      <c r="E11" s="2566"/>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v>54414</v>
      </c>
      <c r="C12" s="1613"/>
      <c r="D12" s="2847" t="s">
        <v>1395</v>
      </c>
      <c r="E12" s="2569"/>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26.4</v>
      </c>
      <c r="C13" s="2884"/>
      <c r="D13" s="2850"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7" t="s">
        <v>1399</v>
      </c>
      <c r="B14" s="2851">
        <f>IF(ISERROR(ROUND(POWER(1+B15,B11-B13)*(POWER(1+B15,B13)-1)/(POWER(1+B15,B11)-1),3)),0,ROUND(POWER(1+B15,B11-B13)*(POWER(1+B15,B13)-1)/(POWER(1+B15,B11)-1),3))</f>
        <v>0.84399999999999997</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7" t="s">
        <v>1401</v>
      </c>
      <c r="B15" s="2572">
        <v>0.05</v>
      </c>
      <c r="C15" s="2481" t="s">
        <v>2593</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2572">
        <v>5.5E-2</v>
      </c>
      <c r="C16" s="2481" t="s">
        <v>2594</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2591</v>
      </c>
      <c r="B17" s="3006">
        <v>7.4999999999999997E-2</v>
      </c>
      <c r="C17" s="2481" t="s">
        <v>2595</v>
      </c>
      <c r="D17" s="2843" t="s">
        <v>1406</v>
      </c>
      <c r="E17" s="2574">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c r="C18" s="1613"/>
      <c r="D18" s="2856" t="str">
        <f>IF(B26=0,"建安总额","在建建安")</f>
        <v>建安总额</v>
      </c>
      <c r="E18" s="2857">
        <f>ROUND(B5*E17*IF(B26=0,1,E20),0)</f>
        <v>2488230</v>
      </c>
      <c r="F18" s="2575">
        <f>ROUND(E5*E17*IF(B26=0,1,E20),0)</f>
        <v>419880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v>0.83</v>
      </c>
      <c r="F20" s="905"/>
      <c r="G20" s="1613">
        <f>2022-B27</f>
        <v>10</v>
      </c>
      <c r="H20" s="1613">
        <f>5/6</f>
        <v>0.83333333333333337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9" t="s">
        <v>1408</v>
      </c>
      <c r="B21" s="2576">
        <v>0</v>
      </c>
      <c r="C21" s="1613"/>
      <c r="D21" s="2847" t="s">
        <v>1410</v>
      </c>
      <c r="E21" s="2579">
        <v>0.03</v>
      </c>
      <c r="F21" s="2590" t="s">
        <v>2601</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61" t="s">
        <v>1409</v>
      </c>
      <c r="B22" s="2578">
        <v>2</v>
      </c>
      <c r="C22" s="1613"/>
      <c r="D22" s="2847" t="s">
        <v>1412</v>
      </c>
      <c r="E22" s="2582">
        <v>0</v>
      </c>
      <c r="F22" s="2590" t="s">
        <v>2599</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2602</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2600</v>
      </c>
      <c r="I25" s="2885"/>
    </row>
    <row r="26" spans="1:41" ht="15" thickBot="1">
      <c r="A26" s="2863" t="s">
        <v>1417</v>
      </c>
      <c r="B26" s="2867">
        <f>B22-B23</f>
        <v>0</v>
      </c>
      <c r="D26" s="2847" t="s">
        <v>1420</v>
      </c>
      <c r="E26" s="2582">
        <v>0.02</v>
      </c>
      <c r="F26" s="2590" t="s">
        <v>2600</v>
      </c>
      <c r="G26" s="2886"/>
      <c r="H26" s="2886"/>
      <c r="I26" s="1613"/>
      <c r="J26" s="1613"/>
      <c r="K26" s="1613"/>
      <c r="L26" s="1613"/>
      <c r="M26" s="1613"/>
      <c r="N26" s="1613"/>
    </row>
    <row r="27" spans="1:41" ht="15.75" thickBot="1">
      <c r="A27" s="2868" t="s">
        <v>1419</v>
      </c>
      <c r="B27" s="2584">
        <v>2012</v>
      </c>
      <c r="C27" s="1613"/>
      <c r="D27" s="3070" t="s">
        <v>3027</v>
      </c>
      <c r="E27" s="2869">
        <f ca="1">IF(D27="利息：取LPR",存贷款利率!G1,存贷款利率!G1+F27)</f>
        <v>4.2000000000000003E-2</v>
      </c>
      <c r="F27" s="3071">
        <v>5.0000000000000001E-3</v>
      </c>
      <c r="G27" s="2886"/>
      <c r="H27" s="2886"/>
      <c r="K27" s="1613"/>
      <c r="N27" s="1613"/>
    </row>
    <row r="28" spans="1:41" ht="15" thickBot="1">
      <c r="A28" s="905"/>
      <c r="B28" s="905"/>
      <c r="D28" s="2850" t="s">
        <v>1422</v>
      </c>
      <c r="E28" s="2586">
        <v>0.15</v>
      </c>
      <c r="G28" s="2886"/>
      <c r="H28" s="2886"/>
      <c r="K28" s="1613"/>
      <c r="N28" s="1613"/>
    </row>
    <row r="29" spans="1:41" ht="14.25">
      <c r="A29" s="2870" t="s">
        <v>1421</v>
      </c>
      <c r="B29" s="2585" t="s">
        <v>3026</v>
      </c>
      <c r="D29" s="2852" t="s">
        <v>1423</v>
      </c>
      <c r="E29" s="2871">
        <f>E30+E31</f>
        <v>5.5000000000000007E-2</v>
      </c>
      <c r="F29" s="1238"/>
      <c r="G29" s="2886"/>
      <c r="H29" s="2886"/>
      <c r="K29" s="1613"/>
      <c r="N29" s="1613"/>
    </row>
    <row r="30" spans="1:41" ht="14.25">
      <c r="A30" s="2847" t="str">
        <f>IF(B29="租赁期内按合同租金","合同租金","市场租金")</f>
        <v>市场租金</v>
      </c>
      <c r="B30" s="2587">
        <v>1.8</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5.000000000000001E-3</v>
      </c>
      <c r="F31" s="1238"/>
      <c r="G31" s="2886"/>
      <c r="H31" s="2886"/>
      <c r="K31" s="1613"/>
      <c r="N31" s="1613"/>
    </row>
    <row r="32" spans="1:41" ht="14.25">
      <c r="A32" s="2847" t="s">
        <v>1426</v>
      </c>
      <c r="B32" s="2572">
        <v>0</v>
      </c>
      <c r="D32" s="2854" t="s">
        <v>1429</v>
      </c>
      <c r="E32" s="2589">
        <v>0.05</v>
      </c>
      <c r="F32" s="2590" t="s">
        <v>2487</v>
      </c>
      <c r="G32" s="2886"/>
      <c r="H32" s="2886"/>
      <c r="K32" s="1613"/>
      <c r="L32" s="1613"/>
      <c r="M32" s="1613"/>
      <c r="N32" s="1613"/>
    </row>
    <row r="33" spans="1:14" ht="14.25">
      <c r="A33" s="2847" t="s">
        <v>1428</v>
      </c>
      <c r="B33" s="2572">
        <v>0.15</v>
      </c>
      <c r="D33" s="2854" t="s">
        <v>1431</v>
      </c>
      <c r="E33" s="2588">
        <v>0.03</v>
      </c>
      <c r="F33" s="1237" t="s">
        <v>1432</v>
      </c>
      <c r="G33" s="2886"/>
      <c r="H33" s="2886"/>
      <c r="K33" s="1613"/>
      <c r="L33" s="1613"/>
      <c r="M33" s="1613"/>
      <c r="N33" s="1613"/>
    </row>
    <row r="34" spans="1:14" s="2592" customFormat="1" ht="14.25">
      <c r="A34" s="2847" t="s">
        <v>1430</v>
      </c>
      <c r="B34" s="2875">
        <f>收益法!J54</f>
        <v>26.4</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25">
      <c r="A40" s="2847" t="str">
        <f>IF(B29="租赁期内按合同租金","成新率","——")</f>
        <v>——</v>
      </c>
      <c r="B40" s="2572"/>
      <c r="D40" s="2879" t="s">
        <v>1444</v>
      </c>
      <c r="E40" s="2883">
        <f>SUMIF(D42:D51,E41,E42:E51)</f>
        <v>3</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479</v>
      </c>
      <c r="F41" s="1239" t="s">
        <v>1447</v>
      </c>
      <c r="G41" s="1700" t="s">
        <v>1448</v>
      </c>
      <c r="H41" s="2886"/>
      <c r="I41" s="1613"/>
      <c r="J41" s="1613"/>
      <c r="K41" s="1613"/>
      <c r="L41" s="1613"/>
      <c r="M41" s="1613"/>
      <c r="N41" s="1613"/>
    </row>
    <row r="42" spans="1:14" ht="14.25">
      <c r="A42" s="2846" t="s">
        <v>1445</v>
      </c>
      <c r="B42" s="2597"/>
      <c r="D42" s="2600" t="s">
        <v>1450</v>
      </c>
      <c r="E42" s="2587"/>
      <c r="F42" s="1239">
        <v>30</v>
      </c>
      <c r="G42" s="2886"/>
      <c r="H42" s="2886"/>
      <c r="I42" s="1613"/>
      <c r="J42" s="1613"/>
      <c r="K42" s="1613"/>
      <c r="L42" s="1613"/>
      <c r="M42" s="1613"/>
      <c r="N42" s="1613"/>
    </row>
    <row r="43" spans="1:14" ht="14.25">
      <c r="A43" s="2847" t="s">
        <v>1449</v>
      </c>
      <c r="B43" s="2599">
        <v>365</v>
      </c>
      <c r="D43" s="2600" t="s">
        <v>1452</v>
      </c>
      <c r="E43" s="2587"/>
      <c r="F43" s="1239">
        <v>24</v>
      </c>
      <c r="G43" s="2886"/>
      <c r="H43" s="2886"/>
      <c r="I43" s="1613"/>
      <c r="J43" s="1613"/>
      <c r="K43" s="1613"/>
      <c r="L43" s="1613"/>
      <c r="M43" s="1613"/>
      <c r="N43" s="1613"/>
    </row>
    <row r="44" spans="1:14" ht="14.25">
      <c r="A44" s="2847" t="s">
        <v>1451</v>
      </c>
      <c r="B44" s="2587"/>
      <c r="D44" s="2600" t="s">
        <v>1454</v>
      </c>
      <c r="E44" s="2587"/>
      <c r="F44" s="1239">
        <v>18</v>
      </c>
      <c r="G44" s="2592"/>
      <c r="H44" s="2592"/>
      <c r="I44" s="2886"/>
      <c r="J44" s="1613"/>
      <c r="K44" s="1613"/>
      <c r="L44" s="1613"/>
      <c r="M44" s="1613"/>
      <c r="N44" s="1613"/>
    </row>
    <row r="45" spans="1:14" ht="14.25">
      <c r="A45" s="2847" t="s">
        <v>1453</v>
      </c>
      <c r="B45" s="2601">
        <v>0.01</v>
      </c>
      <c r="C45" s="2481" t="s">
        <v>2598</v>
      </c>
      <c r="D45" s="2600" t="s">
        <v>1456</v>
      </c>
      <c r="E45" s="2587"/>
      <c r="F45" s="1239">
        <v>12</v>
      </c>
      <c r="G45" s="2592"/>
      <c r="H45" s="2592"/>
      <c r="M45" s="1613"/>
      <c r="N45" s="1613"/>
    </row>
    <row r="46" spans="1:14" ht="14.25">
      <c r="A46" s="2847" t="s">
        <v>1455</v>
      </c>
      <c r="B46" s="2602">
        <v>1E-3</v>
      </c>
      <c r="C46" s="2481" t="s">
        <v>2596</v>
      </c>
      <c r="D46" s="2600" t="s">
        <v>1218</v>
      </c>
      <c r="E46" s="2587">
        <v>3</v>
      </c>
      <c r="F46" s="1239">
        <v>3</v>
      </c>
      <c r="G46" s="2592"/>
      <c r="H46" s="2592"/>
      <c r="M46" s="1613"/>
      <c r="N46" s="1613"/>
    </row>
    <row r="47" spans="1:14" ht="15" thickBot="1">
      <c r="A47" s="2850" t="s">
        <v>1457</v>
      </c>
      <c r="B47" s="2603">
        <v>0.01</v>
      </c>
      <c r="C47" s="2481" t="s">
        <v>2597</v>
      </c>
      <c r="D47" s="2600" t="s">
        <v>1458</v>
      </c>
      <c r="E47" s="2587"/>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2" sqref="C12"/>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31" t="s">
        <v>1463</v>
      </c>
      <c r="B1" s="3432"/>
      <c r="C1" s="3432"/>
      <c r="D1" s="3432"/>
      <c r="E1" s="3432"/>
      <c r="F1" s="3432"/>
      <c r="G1" s="3432"/>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2603</v>
      </c>
      <c r="D2" s="3018"/>
      <c r="E2" s="3015"/>
      <c r="F2" s="3019"/>
      <c r="G2" s="3017" t="s">
        <v>2604</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24">
      <c r="A3" s="3021" t="s">
        <v>2605</v>
      </c>
      <c r="B3" s="3022" t="s">
        <v>2606</v>
      </c>
      <c r="C3" s="3331"/>
      <c r="D3" s="3023"/>
      <c r="E3" s="3024" t="s">
        <v>2605</v>
      </c>
      <c r="F3" s="3025" t="s">
        <v>2607</v>
      </c>
      <c r="G3" s="3026"/>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12.75">
      <c r="A4" s="3024"/>
      <c r="B4" s="3009" t="s">
        <v>2608</v>
      </c>
      <c r="C4" s="3332" t="s">
        <v>3057</v>
      </c>
      <c r="D4" s="3023"/>
      <c r="E4" s="3027"/>
      <c r="F4" s="3011" t="s">
        <v>2609</v>
      </c>
      <c r="G4" s="3028"/>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12.75">
      <c r="A5" s="3024"/>
      <c r="B5" s="3009" t="s">
        <v>2610</v>
      </c>
      <c r="C5" s="3333"/>
      <c r="D5" s="3023"/>
      <c r="E5" s="3027"/>
      <c r="F5" s="3009" t="s">
        <v>2611</v>
      </c>
      <c r="G5" s="3028"/>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12.75">
      <c r="A6" s="3024"/>
      <c r="B6" s="3009" t="s">
        <v>2612</v>
      </c>
      <c r="C6" s="3334" t="s">
        <v>3057</v>
      </c>
      <c r="D6" s="3023"/>
      <c r="E6" s="3027"/>
      <c r="F6" s="3009" t="s">
        <v>2613</v>
      </c>
      <c r="G6" s="3028"/>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13.5" thickBot="1">
      <c r="A7" s="3024"/>
      <c r="B7" s="3009" t="s">
        <v>2611</v>
      </c>
      <c r="C7" s="3334" t="s">
        <v>3057</v>
      </c>
      <c r="D7" s="2899"/>
      <c r="E7" s="3029"/>
      <c r="F7" s="3030" t="s">
        <v>2614</v>
      </c>
      <c r="G7" s="3031"/>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4"/>
      <c r="B8" s="3009" t="s">
        <v>2613</v>
      </c>
      <c r="C8" s="3334" t="s">
        <v>3059</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12.75">
      <c r="A9" s="3024"/>
      <c r="B9" s="3009" t="s">
        <v>2615</v>
      </c>
      <c r="C9" s="3332" t="s">
        <v>3060</v>
      </c>
      <c r="D9" s="3023"/>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2"/>
      <c r="B10" s="3013" t="s">
        <v>2616</v>
      </c>
      <c r="C10" s="3335" t="s">
        <v>3057</v>
      </c>
      <c r="D10" s="3023"/>
      <c r="E10" s="3023"/>
      <c r="F10" s="2894"/>
      <c r="G10" s="2894"/>
      <c r="H10" s="1426"/>
      <c r="I10" s="3033"/>
      <c r="J10" s="3034"/>
      <c r="K10" s="1426"/>
      <c r="L10" s="3033"/>
      <c r="M10" s="3034"/>
      <c r="N10" s="1426"/>
      <c r="O10" s="3033"/>
      <c r="P10" s="3034"/>
      <c r="Q10" s="1426"/>
      <c r="R10" s="3033"/>
      <c r="S10" s="3020"/>
      <c r="T10" s="3020"/>
      <c r="U10" s="3020"/>
      <c r="V10" s="3020"/>
      <c r="W10" s="3020"/>
      <c r="X10" s="3020"/>
      <c r="Y10" s="3020"/>
      <c r="Z10" s="3020"/>
      <c r="AA10" s="3020"/>
      <c r="AB10" s="3020"/>
      <c r="AC10" s="3020"/>
    </row>
    <row r="11" spans="1:29" s="2592" customFormat="1" ht="12.75">
      <c r="A11" s="3035"/>
      <c r="B11" s="2899"/>
      <c r="C11" s="3023"/>
      <c r="D11" s="3023"/>
      <c r="E11" s="3023"/>
      <c r="F11" s="2899"/>
      <c r="G11" s="3036"/>
      <c r="H11" s="1426"/>
      <c r="I11" s="3033"/>
      <c r="J11" s="3034"/>
      <c r="K11" s="1426"/>
      <c r="L11" s="3033"/>
      <c r="M11" s="3034"/>
      <c r="N11" s="1426"/>
      <c r="O11" s="3033"/>
      <c r="P11" s="3034"/>
      <c r="Q11" s="1426"/>
      <c r="R11" s="3033"/>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7"/>
      <c r="B14" s="3037"/>
      <c r="C14" s="3038" t="s">
        <v>2617</v>
      </c>
      <c r="D14" s="3023"/>
      <c r="E14" s="3039"/>
      <c r="F14" s="3039"/>
      <c r="G14" s="3017" t="s">
        <v>2618</v>
      </c>
      <c r="H14" s="3040"/>
      <c r="I14" s="3041"/>
      <c r="J14" s="3040"/>
      <c r="K14" s="3040"/>
      <c r="L14" s="3041"/>
      <c r="M14" s="3040"/>
      <c r="N14" s="3040"/>
      <c r="O14" s="3041"/>
      <c r="P14" s="3040"/>
      <c r="Q14" s="3040"/>
      <c r="R14" s="3042"/>
      <c r="S14" s="3020"/>
      <c r="T14" s="3020"/>
      <c r="U14" s="3020"/>
      <c r="V14" s="3020"/>
      <c r="W14" s="3020"/>
      <c r="X14" s="3020"/>
      <c r="Y14" s="3020"/>
      <c r="Z14" s="3020"/>
      <c r="AA14" s="3020"/>
      <c r="AB14" s="3020"/>
      <c r="AC14" s="3020"/>
    </row>
    <row r="15" spans="1:29" s="2551" customFormat="1" ht="24">
      <c r="A15" s="3043" t="s">
        <v>2619</v>
      </c>
      <c r="B15" s="3044" t="s">
        <v>2606</v>
      </c>
      <c r="C15" s="3045">
        <f>C3</f>
        <v>0</v>
      </c>
      <c r="D15" s="3023"/>
      <c r="E15" s="3046" t="s">
        <v>2620</v>
      </c>
      <c r="F15" s="3044" t="s">
        <v>2621</v>
      </c>
      <c r="G15" s="3047">
        <f>G3</f>
        <v>0</v>
      </c>
      <c r="H15" s="3040"/>
      <c r="I15" s="3041"/>
      <c r="J15" s="3040"/>
      <c r="K15" s="3040"/>
      <c r="L15" s="3041"/>
      <c r="M15" s="3040"/>
      <c r="N15" s="3040"/>
      <c r="O15" s="3041"/>
      <c r="P15" s="3040"/>
      <c r="Q15" s="3040"/>
      <c r="R15" s="3042"/>
      <c r="S15" s="3020"/>
      <c r="T15" s="3020"/>
      <c r="U15" s="3020"/>
      <c r="V15" s="3020"/>
      <c r="W15" s="3020"/>
      <c r="X15" s="3020"/>
      <c r="Y15" s="3020"/>
      <c r="Z15" s="3020"/>
      <c r="AA15" s="3020"/>
      <c r="AB15" s="3020"/>
      <c r="AC15" s="3020"/>
    </row>
    <row r="16" spans="1:29" s="2551" customFormat="1" ht="12.75">
      <c r="A16" s="3048"/>
      <c r="B16" s="2492" t="s">
        <v>2608</v>
      </c>
      <c r="C16" s="3049" t="str">
        <f>C4</f>
        <v>较好</v>
      </c>
      <c r="D16" s="3023"/>
      <c r="E16" s="3050"/>
      <c r="F16" s="3010" t="s">
        <v>2609</v>
      </c>
      <c r="G16" s="3051">
        <f>G4</f>
        <v>0</v>
      </c>
      <c r="H16" s="3040"/>
      <c r="I16" s="3041"/>
      <c r="J16" s="3040"/>
      <c r="K16" s="3040"/>
      <c r="L16" s="3041"/>
      <c r="M16" s="3040"/>
      <c r="N16" s="3040"/>
      <c r="O16" s="3041"/>
      <c r="P16" s="3040"/>
      <c r="Q16" s="3040"/>
      <c r="R16" s="3042"/>
      <c r="S16" s="3020"/>
      <c r="T16" s="3020"/>
      <c r="U16" s="3020"/>
      <c r="V16" s="3020"/>
      <c r="W16" s="3020"/>
      <c r="X16" s="3020"/>
      <c r="Y16" s="3020"/>
      <c r="Z16" s="3020"/>
      <c r="AA16" s="3020"/>
      <c r="AB16" s="3020"/>
      <c r="AC16" s="3020"/>
    </row>
    <row r="17" spans="1:29" s="2551" customFormat="1" ht="12.75">
      <c r="A17" s="3048"/>
      <c r="B17" s="2492" t="s">
        <v>2610</v>
      </c>
      <c r="C17" s="3049">
        <f>C5</f>
        <v>0</v>
      </c>
      <c r="D17" s="2899"/>
      <c r="E17" s="3050"/>
      <c r="F17" s="3320" t="s">
        <v>3016</v>
      </c>
      <c r="G17" s="3052"/>
      <c r="H17" s="3040"/>
      <c r="I17" s="3041"/>
      <c r="J17" s="3040"/>
      <c r="K17" s="3040"/>
      <c r="L17" s="3041"/>
      <c r="M17" s="3040"/>
      <c r="N17" s="3040"/>
      <c r="O17" s="3041"/>
      <c r="P17" s="3040"/>
      <c r="Q17" s="3040"/>
      <c r="R17" s="3042"/>
      <c r="S17" s="3020"/>
      <c r="T17" s="3020"/>
      <c r="U17" s="3020"/>
      <c r="V17" s="3020"/>
      <c r="W17" s="3020"/>
      <c r="X17" s="3020"/>
      <c r="Y17" s="3020"/>
      <c r="Z17" s="3020"/>
      <c r="AA17" s="3020"/>
      <c r="AB17" s="3020"/>
      <c r="AC17" s="3020"/>
    </row>
    <row r="18" spans="1:29" s="2551" customFormat="1" ht="12.75">
      <c r="A18" s="3048"/>
      <c r="B18" s="3010" t="s">
        <v>2612</v>
      </c>
      <c r="C18" s="3051" t="str">
        <f>C6</f>
        <v>较好</v>
      </c>
      <c r="D18" s="2899"/>
      <c r="E18" s="3050"/>
      <c r="F18" s="3010" t="s">
        <v>2614</v>
      </c>
      <c r="G18" s="3051">
        <f>G7</f>
        <v>0</v>
      </c>
      <c r="H18" s="3040"/>
      <c r="I18" s="3041"/>
      <c r="J18" s="3040"/>
      <c r="K18" s="3040"/>
      <c r="L18" s="3041"/>
      <c r="M18" s="3040"/>
      <c r="N18" s="3040"/>
      <c r="O18" s="3041"/>
      <c r="P18" s="3040"/>
      <c r="Q18" s="3040"/>
      <c r="R18" s="3042"/>
      <c r="S18" s="3020"/>
      <c r="T18" s="3020"/>
      <c r="U18" s="3020"/>
      <c r="V18" s="3020"/>
      <c r="W18" s="3020"/>
      <c r="X18" s="3020"/>
      <c r="Y18" s="3020"/>
      <c r="Z18" s="3020"/>
      <c r="AA18" s="3020"/>
      <c r="AB18" s="3020"/>
      <c r="AC18" s="3020"/>
    </row>
    <row r="19" spans="1:29" s="2551" customFormat="1" ht="12.75">
      <c r="A19" s="3048"/>
      <c r="B19" s="3320" t="s">
        <v>3015</v>
      </c>
      <c r="C19" s="3052"/>
      <c r="D19" s="3023"/>
      <c r="E19" s="3050"/>
      <c r="F19" s="3009" t="s">
        <v>2611</v>
      </c>
      <c r="G19" s="3051">
        <f>G5</f>
        <v>0</v>
      </c>
      <c r="H19" s="3040"/>
      <c r="I19" s="3041"/>
      <c r="J19" s="3040"/>
      <c r="K19" s="3040"/>
      <c r="L19" s="3041"/>
      <c r="M19" s="3040"/>
      <c r="N19" s="3040"/>
      <c r="O19" s="3041"/>
      <c r="P19" s="3040"/>
      <c r="Q19" s="3040"/>
      <c r="R19" s="3042"/>
      <c r="S19" s="3020"/>
      <c r="T19" s="3020"/>
      <c r="U19" s="3020"/>
      <c r="V19" s="3020"/>
      <c r="W19" s="3020"/>
      <c r="X19" s="3020"/>
      <c r="Y19" s="3020"/>
      <c r="Z19" s="3020"/>
      <c r="AA19" s="3020"/>
      <c r="AB19" s="3020"/>
      <c r="AC19" s="3020"/>
    </row>
    <row r="20" spans="1:29" s="2551" customFormat="1" ht="12.75">
      <c r="A20" s="3048"/>
      <c r="B20" s="3010" t="s">
        <v>2622</v>
      </c>
      <c r="C20" s="3049" t="str">
        <f>C9</f>
        <v>一般</v>
      </c>
      <c r="D20" s="2899"/>
      <c r="E20" s="3050"/>
      <c r="F20" s="3009" t="s">
        <v>2613</v>
      </c>
      <c r="G20" s="3051">
        <f>G6</f>
        <v>0</v>
      </c>
      <c r="H20" s="3040"/>
      <c r="I20" s="3041"/>
      <c r="J20" s="3040"/>
      <c r="K20" s="3040"/>
      <c r="L20" s="3041"/>
      <c r="M20" s="3040"/>
      <c r="N20" s="3040"/>
      <c r="O20" s="3041"/>
      <c r="P20" s="3040"/>
      <c r="Q20" s="3040"/>
      <c r="R20" s="3042"/>
      <c r="S20" s="3020"/>
      <c r="T20" s="3020"/>
      <c r="U20" s="3020"/>
      <c r="V20" s="3020"/>
      <c r="W20" s="3020"/>
      <c r="X20" s="3020"/>
      <c r="Y20" s="3020"/>
      <c r="Z20" s="3020"/>
      <c r="AA20" s="3020"/>
      <c r="AB20" s="3020"/>
      <c r="AC20" s="3020"/>
    </row>
    <row r="21" spans="1:29" s="2551" customFormat="1" ht="12.75">
      <c r="A21" s="3048"/>
      <c r="B21" s="3009" t="s">
        <v>2611</v>
      </c>
      <c r="C21" s="3051" t="str">
        <f>C7</f>
        <v>较好</v>
      </c>
      <c r="D21" s="3023"/>
      <c r="E21" s="3050"/>
      <c r="F21" s="3010" t="s">
        <v>2623</v>
      </c>
      <c r="G21" s="3053"/>
      <c r="H21" s="3040"/>
      <c r="I21" s="3041"/>
      <c r="J21" s="3040"/>
      <c r="K21" s="3040"/>
      <c r="L21" s="3041"/>
      <c r="M21" s="3040"/>
      <c r="N21" s="3040"/>
      <c r="O21" s="3041"/>
      <c r="P21" s="3040"/>
      <c r="Q21" s="3040"/>
      <c r="R21" s="3042"/>
      <c r="S21" s="3020"/>
      <c r="T21" s="3020"/>
      <c r="U21" s="3020"/>
      <c r="V21" s="3020"/>
      <c r="W21" s="3020"/>
      <c r="X21" s="3020"/>
      <c r="Y21" s="3020"/>
      <c r="Z21" s="3020"/>
      <c r="AA21" s="3020"/>
      <c r="AB21" s="3020"/>
      <c r="AC21" s="3020"/>
    </row>
    <row r="22" spans="1:29" s="2551" customFormat="1" ht="12.75">
      <c r="A22" s="3048"/>
      <c r="B22" s="3009" t="s">
        <v>2613</v>
      </c>
      <c r="C22" s="3051" t="str">
        <f>C8</f>
        <v>六通</v>
      </c>
      <c r="D22" s="3023"/>
      <c r="E22" s="3050"/>
      <c r="F22" s="3010" t="s">
        <v>2616</v>
      </c>
      <c r="G22" s="3054"/>
      <c r="H22" s="3040"/>
      <c r="I22" s="3041"/>
      <c r="J22" s="3040"/>
      <c r="K22" s="3040"/>
      <c r="L22" s="3041"/>
      <c r="M22" s="3040"/>
      <c r="N22" s="3040"/>
      <c r="O22" s="3041"/>
      <c r="P22" s="3040"/>
      <c r="Q22" s="3040"/>
      <c r="R22" s="3042"/>
      <c r="S22" s="3020"/>
      <c r="T22" s="3020"/>
      <c r="U22" s="3020"/>
      <c r="V22" s="3020"/>
      <c r="W22" s="3020"/>
      <c r="X22" s="3020"/>
      <c r="Y22" s="3020"/>
      <c r="Z22" s="3020"/>
      <c r="AA22" s="3020"/>
      <c r="AB22" s="3020"/>
      <c r="AC22" s="3020"/>
    </row>
    <row r="23" spans="1:29" s="3020" customFormat="1" ht="13.5" thickBot="1">
      <c r="A23" s="3048"/>
      <c r="B23" s="3010" t="s">
        <v>2623</v>
      </c>
      <c r="C23" s="3053"/>
      <c r="D23" s="3040"/>
      <c r="E23" s="3055"/>
      <c r="F23" s="3012" t="s">
        <v>2624</v>
      </c>
      <c r="G23" s="3056"/>
      <c r="H23" s="3040"/>
      <c r="I23" s="3041"/>
      <c r="J23" s="3040"/>
      <c r="K23" s="3040"/>
      <c r="L23" s="3041"/>
      <c r="M23" s="3040"/>
      <c r="N23" s="3040"/>
      <c r="O23" s="3041"/>
      <c r="P23" s="3040"/>
      <c r="Q23" s="3040"/>
      <c r="R23" s="3042"/>
    </row>
    <row r="24" spans="1:29" s="3020" customFormat="1" ht="13.5" thickBot="1">
      <c r="A24" s="3057"/>
      <c r="B24" s="3012" t="s">
        <v>2625</v>
      </c>
      <c r="C24" s="3058" t="str">
        <f>C10</f>
        <v>较好</v>
      </c>
      <c r="D24" s="3040"/>
      <c r="E24" s="3059"/>
      <c r="F24" s="3059"/>
      <c r="G24" s="3060"/>
      <c r="H24" s="3040"/>
      <c r="I24" s="3041"/>
      <c r="J24" s="3040"/>
      <c r="K24" s="3040"/>
      <c r="L24" s="3041"/>
      <c r="M24" s="3040"/>
      <c r="N24" s="3040"/>
      <c r="O24" s="3041"/>
      <c r="P24" s="3040"/>
      <c r="Q24" s="3040"/>
      <c r="R24" s="3042"/>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6"/>
  <sheetViews>
    <sheetView view="pageBreakPreview" zoomScale="80" zoomScaleNormal="100" zoomScaleSheetLayoutView="80" workbookViewId="0">
      <selection activeCell="J18" sqref="J18"/>
    </sheetView>
  </sheetViews>
  <sheetFormatPr defaultColWidth="14.625" defaultRowHeight="13.5"/>
  <cols>
    <col min="1" max="1" width="24.375" style="2501" customWidth="1"/>
    <col min="2" max="16384" width="14.625" style="2501"/>
  </cols>
  <sheetData>
    <row r="1" spans="1:9" ht="16.5">
      <c r="A1" s="2499" t="s">
        <v>973</v>
      </c>
      <c r="B1" s="2499">
        <f>SUM(B14:B23)</f>
        <v>829.41000000000008</v>
      </c>
      <c r="C1" s="1562"/>
      <c r="D1" s="1562"/>
      <c r="E1" s="1562"/>
      <c r="F1" s="1562"/>
      <c r="G1" s="2500"/>
    </row>
    <row r="2" spans="1:9" ht="16.5">
      <c r="A2" s="2499" t="s">
        <v>974</v>
      </c>
      <c r="B2" s="2499">
        <f>SUM(C14:C23)</f>
        <v>30.71</v>
      </c>
      <c r="C2" s="1562"/>
      <c r="D2" s="1562"/>
      <c r="E2" s="1562"/>
      <c r="F2" s="1562"/>
      <c r="G2" s="2500"/>
    </row>
    <row r="3" spans="1:9" ht="16.5">
      <c r="A3" s="2499" t="s">
        <v>975</v>
      </c>
      <c r="B3" s="2502">
        <f>项目基本情况!D2</f>
        <v>44776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547</v>
      </c>
      <c r="C5" s="2499">
        <f ca="1">ROUND(B5*10000/$B$1,0)</f>
        <v>6595</v>
      </c>
      <c r="D5" s="2499">
        <f ca="1">ROUND(B5*10000/$B$2,0)</f>
        <v>178118</v>
      </c>
      <c r="E5" s="1562"/>
      <c r="F5" s="2500"/>
      <c r="G5" s="2500"/>
    </row>
    <row r="6" spans="1:9" ht="16.5">
      <c r="A6" s="2499" t="s">
        <v>981</v>
      </c>
      <c r="B6" s="2499">
        <f ca="1">SUM(G14:G23)</f>
        <v>547</v>
      </c>
      <c r="C6" s="2499">
        <f t="shared" ref="C6:C8" ca="1" si="0">ROUND(B6*10000/$B$1,0)</f>
        <v>6595</v>
      </c>
      <c r="D6" s="2499">
        <f t="shared" ref="D6:D8" ca="1" si="1">ROUND(B6*10000/$B$2,0)</f>
        <v>178118</v>
      </c>
      <c r="E6" s="1562"/>
      <c r="F6" s="2500"/>
      <c r="G6" s="2500"/>
    </row>
    <row r="7" spans="1:9" ht="16.5">
      <c r="A7" s="2499" t="s">
        <v>982</v>
      </c>
      <c r="B7" s="2499">
        <f>SUM(H14:H23)</f>
        <v>0</v>
      </c>
      <c r="C7" s="2499">
        <f>ROUND(B7*10000/$B$1,0)</f>
        <v>0</v>
      </c>
      <c r="D7" s="2499">
        <f t="shared" si="1"/>
        <v>0</v>
      </c>
      <c r="E7" s="1562"/>
      <c r="F7" s="2500"/>
      <c r="G7" s="2500"/>
    </row>
    <row r="8" spans="1:9" ht="16.5">
      <c r="A8" s="2499" t="s">
        <v>983</v>
      </c>
      <c r="B8" s="2499">
        <f>SUM(I14:I23)</f>
        <v>0</v>
      </c>
      <c r="C8" s="2499">
        <f t="shared" si="0"/>
        <v>0</v>
      </c>
      <c r="D8" s="2499">
        <f t="shared" si="1"/>
        <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4" t="s">
        <v>3040</v>
      </c>
      <c r="B14" s="2834">
        <f>项目基本情况!C12</f>
        <v>829.41000000000008</v>
      </c>
      <c r="C14" s="2834">
        <f>项目基本情况!C13</f>
        <v>30.71</v>
      </c>
      <c r="D14" s="2834">
        <f ca="1">IF('数据-取费表'!B3="万元",IF(A14="估价对象1（结果表）",结果表!H121,'结果表 (1修多)'!H125),IF(A14="估价对象1（结果表）",结果表!H121,'结果表 (1修多)'!H125)/10000)</f>
        <v>547</v>
      </c>
      <c r="E14" s="2834">
        <f ca="1">ROUND(D14*10000/B14,0)</f>
        <v>6595</v>
      </c>
      <c r="F14" s="2834">
        <f ca="1">ROUND(D14*10000/C14,0)</f>
        <v>178118</v>
      </c>
      <c r="G14" s="2834">
        <f ca="1">IF('数据-取费表'!B3="万元",IF(A14="估价对象1（结果表）",结果表!D125,'结果表 (1修多)'!D129),IF(A14="估价对象1（结果表）",结果表!D125,'结果表 (1修多)'!D129)/10000)</f>
        <v>547</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6" t="s">
        <v>990</v>
      </c>
      <c r="B15" s="2507"/>
      <c r="C15" s="2507"/>
      <c r="D15" s="2507"/>
      <c r="E15" s="2834" t="e">
        <f t="shared" ref="E15:E23" si="2">ROUND(D15*10000/B15,0)</f>
        <v>#DIV/0!</v>
      </c>
      <c r="F15" s="2834" t="e">
        <f t="shared" ref="F15:F23" si="3">ROUND(D15*10000/C15,0)</f>
        <v>#DIV/0!</v>
      </c>
      <c r="G15" s="1233"/>
      <c r="H15" s="1233"/>
      <c r="I15" s="2507"/>
    </row>
    <row r="16" spans="1:9" ht="16.5">
      <c r="A16" s="2506" t="s">
        <v>991</v>
      </c>
      <c r="B16" s="2507"/>
      <c r="C16" s="2507"/>
      <c r="D16" s="2507"/>
      <c r="E16" s="2834" t="e">
        <f t="shared" si="2"/>
        <v>#DIV/0!</v>
      </c>
      <c r="F16" s="2834" t="e">
        <f t="shared" si="3"/>
        <v>#DIV/0!</v>
      </c>
      <c r="G16" s="1233"/>
      <c r="H16" s="1233"/>
      <c r="I16" s="2507"/>
    </row>
    <row r="17" spans="1:9" ht="16.5">
      <c r="A17" s="2506" t="s">
        <v>992</v>
      </c>
      <c r="B17" s="2507"/>
      <c r="C17" s="2507"/>
      <c r="D17" s="2507"/>
      <c r="E17" s="2834" t="e">
        <f t="shared" si="2"/>
        <v>#DIV/0!</v>
      </c>
      <c r="F17" s="2834" t="e">
        <f t="shared" si="3"/>
        <v>#DIV/0!</v>
      </c>
      <c r="G17" s="1233"/>
      <c r="H17" s="1233"/>
      <c r="I17" s="2507"/>
    </row>
    <row r="18" spans="1:9" ht="16.5">
      <c r="A18" s="2506" t="s">
        <v>993</v>
      </c>
      <c r="B18" s="2507"/>
      <c r="C18" s="2507"/>
      <c r="D18" s="2507"/>
      <c r="E18" s="2834" t="e">
        <f t="shared" si="2"/>
        <v>#DIV/0!</v>
      </c>
      <c r="F18" s="2834" t="e">
        <f t="shared" si="3"/>
        <v>#DIV/0!</v>
      </c>
      <c r="G18" s="2507"/>
      <c r="H18" s="2507"/>
      <c r="I18" s="2507"/>
    </row>
    <row r="19" spans="1:9" ht="16.5">
      <c r="A19" s="2506" t="s">
        <v>994</v>
      </c>
      <c r="B19" s="2507"/>
      <c r="C19" s="2507"/>
      <c r="D19" s="2507"/>
      <c r="E19" s="2834" t="e">
        <f t="shared" si="2"/>
        <v>#DIV/0!</v>
      </c>
      <c r="F19" s="2834" t="e">
        <f t="shared" si="3"/>
        <v>#DIV/0!</v>
      </c>
      <c r="G19" s="2507"/>
      <c r="H19" s="2507"/>
      <c r="I19" s="2507"/>
    </row>
    <row r="20" spans="1:9" ht="16.5">
      <c r="A20" s="2506" t="s">
        <v>995</v>
      </c>
      <c r="B20" s="2507"/>
      <c r="C20" s="2507"/>
      <c r="D20" s="2507"/>
      <c r="E20" s="2834" t="e">
        <f t="shared" si="2"/>
        <v>#DIV/0!</v>
      </c>
      <c r="F20" s="2834" t="e">
        <f t="shared" si="3"/>
        <v>#DIV/0!</v>
      </c>
      <c r="G20" s="2507"/>
      <c r="H20" s="2507"/>
      <c r="I20" s="2507"/>
    </row>
    <row r="21" spans="1:9" ht="16.5">
      <c r="A21" s="2506" t="s">
        <v>996</v>
      </c>
      <c r="B21" s="2507"/>
      <c r="C21" s="2507"/>
      <c r="D21" s="2507"/>
      <c r="E21" s="2834" t="e">
        <f t="shared" si="2"/>
        <v>#DIV/0!</v>
      </c>
      <c r="F21" s="2834" t="e">
        <f t="shared" si="3"/>
        <v>#DIV/0!</v>
      </c>
      <c r="G21" s="2507"/>
      <c r="H21" s="2507"/>
      <c r="I21" s="2507"/>
    </row>
    <row r="22" spans="1:9" ht="16.5">
      <c r="A22" s="2506" t="s">
        <v>997</v>
      </c>
      <c r="B22" s="2507"/>
      <c r="C22" s="2507"/>
      <c r="D22" s="2507"/>
      <c r="E22" s="2834" t="e">
        <f t="shared" si="2"/>
        <v>#DIV/0!</v>
      </c>
      <c r="F22" s="2834" t="e">
        <f t="shared" si="3"/>
        <v>#DIV/0!</v>
      </c>
      <c r="G22" s="2507"/>
      <c r="H22" s="2507"/>
      <c r="I22" s="2507"/>
    </row>
    <row r="23" spans="1:9" ht="16.5">
      <c r="A23" s="2506" t="s">
        <v>998</v>
      </c>
      <c r="B23" s="2507"/>
      <c r="C23" s="2507"/>
      <c r="D23" s="2507"/>
      <c r="E23" s="2835" t="e">
        <f t="shared" si="2"/>
        <v>#DIV/0!</v>
      </c>
      <c r="F23" s="2835" t="e">
        <f t="shared" si="3"/>
        <v>#DIV/0!</v>
      </c>
      <c r="G23" s="2507"/>
      <c r="H23" s="2507"/>
      <c r="I23" s="2507"/>
    </row>
    <row r="26" spans="1:9">
      <c r="D26" s="3342">
        <f ca="1">D14*10000</f>
        <v>5470000</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G42" sqref="G42"/>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4" t="str">
        <f>项目基本情况!B1</f>
        <v>预评估</v>
      </c>
      <c r="B2" s="3504"/>
      <c r="C2" s="3504"/>
      <c r="D2" s="3504"/>
      <c r="E2" s="3504"/>
      <c r="F2" s="3504"/>
      <c r="G2" s="3504"/>
      <c r="H2" s="3504"/>
      <c r="I2" s="3504"/>
      <c r="J2" s="2761"/>
    </row>
    <row r="3" spans="1:15" ht="12.75">
      <c r="A3" s="3509" t="s">
        <v>1471</v>
      </c>
      <c r="B3" s="3510"/>
      <c r="C3" s="3510"/>
      <c r="D3" s="3510"/>
      <c r="E3" s="3510"/>
      <c r="F3" s="3510"/>
      <c r="G3" s="3510"/>
      <c r="H3" s="3510"/>
      <c r="I3" s="3510"/>
      <c r="J3" s="2762"/>
    </row>
    <row r="4" spans="1:15" ht="14.25">
      <c r="A4" s="2630" t="s">
        <v>1472</v>
      </c>
      <c r="B4" s="2630" t="s">
        <v>1473</v>
      </c>
      <c r="C4" s="2631"/>
      <c r="D4" s="2631"/>
      <c r="E4" s="3506" t="s">
        <v>1474</v>
      </c>
      <c r="F4" s="3494"/>
      <c r="G4" s="3494"/>
      <c r="H4" s="3494"/>
      <c r="I4" s="3495"/>
      <c r="J4" s="2763"/>
      <c r="L4" s="1389" t="str">
        <f>IF(ISNUMBER(FIND("比较法",结果表!C4)),"比较法",IF(ISNUMBER(FIND("成本法",结果表!C4)),"成本法",IF(ISNUMBER(FIND("假设开发法",结果表!C4)),"假设开发法",IF(ISNUMBER(FIND("收益法",结果表!C4)),"收益法","基准地价系数修正法"))))</f>
        <v>基准地价系数修正法</v>
      </c>
      <c r="M4" s="1389" t="str">
        <f>IF(ISNUMBER(FIND("比较法",结果表!D4)),"比较法",IF(ISNUMBER(FIND("成本法",结果表!D4)),"成本法",IF(ISNUMBER(FIND("假设开发法",结果表!D4)),"假设开发法",IF(ISNUMBER(FIND("收益法",结果表!D4)),"收益法","基准地价系数修正法"))))</f>
        <v>基准地价系数修正法</v>
      </c>
      <c r="N4" s="1389"/>
      <c r="O4" s="1389"/>
    </row>
    <row r="5" spans="1:15" ht="12.75">
      <c r="A5" s="3505" t="s">
        <v>1475</v>
      </c>
      <c r="B5" s="3505">
        <v>25</v>
      </c>
      <c r="C5" s="3511"/>
      <c r="D5" s="3508"/>
      <c r="E5" s="12" t="s">
        <v>1476</v>
      </c>
      <c r="F5" s="2017"/>
      <c r="G5" s="2017"/>
      <c r="H5" s="2017"/>
      <c r="I5" s="2012"/>
      <c r="J5" s="2763"/>
    </row>
    <row r="6" spans="1:15" ht="12.75">
      <c r="A6" s="3505"/>
      <c r="B6" s="3505"/>
      <c r="C6" s="3512"/>
      <c r="D6" s="3508"/>
      <c r="E6" s="12" t="s">
        <v>1477</v>
      </c>
      <c r="F6" s="2017"/>
      <c r="G6" s="2017"/>
      <c r="H6" s="2017"/>
      <c r="I6" s="2012"/>
      <c r="J6" s="2763"/>
    </row>
    <row r="7" spans="1:15" ht="12.75">
      <c r="A7" s="3505"/>
      <c r="B7" s="3505"/>
      <c r="C7" s="3513"/>
      <c r="D7" s="3508"/>
      <c r="E7" s="12" t="s">
        <v>1478</v>
      </c>
      <c r="F7" s="2017"/>
      <c r="G7" s="2017"/>
      <c r="H7" s="2017"/>
      <c r="I7" s="2012"/>
      <c r="J7" s="2763"/>
    </row>
    <row r="8" spans="1:15" ht="12.75">
      <c r="A8" s="3505" t="s">
        <v>1479</v>
      </c>
      <c r="B8" s="3505">
        <v>15</v>
      </c>
      <c r="C8" s="3511"/>
      <c r="D8" s="3508"/>
      <c r="E8" s="12" t="s">
        <v>1480</v>
      </c>
      <c r="F8" s="2017"/>
      <c r="G8" s="2017"/>
      <c r="H8" s="2017"/>
      <c r="I8" s="2012"/>
      <c r="J8" s="2763"/>
    </row>
    <row r="9" spans="1:15" ht="12.75">
      <c r="A9" s="3505"/>
      <c r="B9" s="3505"/>
      <c r="C9" s="3513"/>
      <c r="D9" s="3508"/>
      <c r="E9" s="12" t="s">
        <v>1481</v>
      </c>
      <c r="F9" s="2017"/>
      <c r="G9" s="2017"/>
      <c r="H9" s="2017"/>
      <c r="I9" s="2012"/>
      <c r="J9" s="2763"/>
    </row>
    <row r="10" spans="1:15" ht="12.75">
      <c r="A10" s="3505" t="s">
        <v>1482</v>
      </c>
      <c r="B10" s="3505">
        <v>15</v>
      </c>
      <c r="C10" s="3511"/>
      <c r="D10" s="3508"/>
      <c r="E10" s="12" t="s">
        <v>1483</v>
      </c>
      <c r="F10" s="2017"/>
      <c r="G10" s="2017"/>
      <c r="H10" s="2017"/>
      <c r="I10" s="2012"/>
      <c r="J10" s="2763"/>
    </row>
    <row r="11" spans="1:15" ht="12.75">
      <c r="A11" s="3505"/>
      <c r="B11" s="3505"/>
      <c r="C11" s="3513"/>
      <c r="D11" s="3508"/>
      <c r="E11" s="12" t="s">
        <v>1484</v>
      </c>
      <c r="F11" s="2017"/>
      <c r="G11" s="2017"/>
      <c r="H11" s="2017"/>
      <c r="I11" s="2012"/>
      <c r="J11" s="2763"/>
    </row>
    <row r="12" spans="1:15" ht="12.75">
      <c r="A12" s="3505" t="s">
        <v>1485</v>
      </c>
      <c r="B12" s="3505">
        <v>15</v>
      </c>
      <c r="C12" s="3511"/>
      <c r="D12" s="3508"/>
      <c r="E12" s="12" t="s">
        <v>1486</v>
      </c>
      <c r="F12" s="2017"/>
      <c r="G12" s="2017"/>
      <c r="H12" s="2017"/>
      <c r="I12" s="2012"/>
      <c r="J12" s="2763"/>
    </row>
    <row r="13" spans="1:15" ht="12.75">
      <c r="A13" s="3505"/>
      <c r="B13" s="3505"/>
      <c r="C13" s="3513"/>
      <c r="D13" s="3508"/>
      <c r="E13" s="12" t="s">
        <v>1487</v>
      </c>
      <c r="F13" s="2017"/>
      <c r="G13" s="2017"/>
      <c r="H13" s="2017"/>
      <c r="I13" s="2012"/>
      <c r="J13" s="2763"/>
    </row>
    <row r="14" spans="1:15" ht="12.75">
      <c r="A14" s="3505" t="s">
        <v>1488</v>
      </c>
      <c r="B14" s="3505">
        <v>30</v>
      </c>
      <c r="C14" s="3511"/>
      <c r="D14" s="3508"/>
      <c r="E14" s="12" t="s">
        <v>1489</v>
      </c>
      <c r="F14" s="2017"/>
      <c r="G14" s="2017"/>
      <c r="H14" s="2017"/>
      <c r="I14" s="2012"/>
      <c r="J14" s="2763"/>
    </row>
    <row r="15" spans="1:15" ht="12.75">
      <c r="A15" s="3505"/>
      <c r="B15" s="3505"/>
      <c r="C15" s="3512"/>
      <c r="D15" s="3508"/>
      <c r="E15" s="12" t="s">
        <v>1490</v>
      </c>
      <c r="F15" s="2017"/>
      <c r="G15" s="2017"/>
      <c r="H15" s="2017"/>
      <c r="I15" s="2012"/>
      <c r="J15" s="2763"/>
    </row>
    <row r="16" spans="1:15" ht="12.75">
      <c r="A16" s="3505"/>
      <c r="B16" s="3505"/>
      <c r="C16" s="3513"/>
      <c r="D16" s="3508"/>
      <c r="E16" s="12" t="s">
        <v>1491</v>
      </c>
      <c r="F16" s="2017"/>
      <c r="G16" s="2017"/>
      <c r="H16" s="2017"/>
      <c r="I16" s="2012"/>
      <c r="J16" s="2763"/>
    </row>
    <row r="17" spans="1:36" ht="15">
      <c r="A17" s="2632" t="s">
        <v>1492</v>
      </c>
      <c r="B17" s="2022"/>
      <c r="C17" s="2633">
        <f>SUM(C5:C16)</f>
        <v>0</v>
      </c>
      <c r="D17" s="2633">
        <f>SUM(D5:D16)</f>
        <v>0</v>
      </c>
      <c r="E17" s="2481"/>
      <c r="F17" s="2481"/>
      <c r="G17" s="2481"/>
      <c r="H17" s="2481"/>
      <c r="I17" s="2481"/>
      <c r="J17" s="2764"/>
    </row>
    <row r="18" spans="1:36" ht="30" customHeight="1" thickBot="1">
      <c r="A18" s="2634" t="s">
        <v>1493</v>
      </c>
      <c r="B18" s="2635"/>
      <c r="C18" s="2636" t="e">
        <f>ROUND(C17/SUM(C17:D17),2)</f>
        <v>#DIV/0!</v>
      </c>
      <c r="D18" s="2636" t="e">
        <f>1-C18</f>
        <v>#DIV/0!</v>
      </c>
      <c r="E18" s="3525" t="s">
        <v>2572</v>
      </c>
      <c r="F18" s="3526"/>
      <c r="G18" s="3526"/>
      <c r="H18" s="3526"/>
      <c r="I18" s="3526"/>
      <c r="J18" s="2764"/>
    </row>
    <row r="19" spans="1:36" ht="15">
      <c r="A19" s="2637" t="s">
        <v>1494</v>
      </c>
      <c r="B19" s="2638" t="s">
        <v>1495</v>
      </c>
      <c r="C19" s="2639" t="e">
        <f ca="1">SUMIF(INDIRECT("'"&amp;C4&amp;"'"&amp;"!A:A"),结果表!B19,INDIRECT("'"&amp;C4&amp;"'"&amp;"!B:B"))</f>
        <v>#REF!</v>
      </c>
      <c r="D19" s="2640" t="e">
        <f ca="1">SUMIF(INDIRECT("'"&amp;D4&amp;"'"&amp;"!A:A"),结果表!B19,INDIRECT("'"&amp;D4&amp;"'"&amp;"!B:B"))</f>
        <v>#REF!</v>
      </c>
      <c r="E19" s="2637" t="s">
        <v>1496</v>
      </c>
      <c r="F19" s="2638" t="s">
        <v>1495</v>
      </c>
      <c r="G19" s="2641" t="e">
        <f ca="1">ROUND(C19*$C$18+D19*$D$18,0)</f>
        <v>#REF!</v>
      </c>
      <c r="H19" s="2642" t="str">
        <f>'数据-取费表'!B3</f>
        <v>万元</v>
      </c>
      <c r="I19" s="2690"/>
      <c r="J19" s="2765"/>
    </row>
    <row r="20" spans="1:36" ht="15">
      <c r="A20" s="2643"/>
      <c r="B20" s="1622" t="s">
        <v>1497</v>
      </c>
      <c r="C20" s="1847" t="e">
        <f ca="1">SUMIF(INDIRECT("'"&amp;C4&amp;"'"&amp;"!A:A"),结果表!B20,INDIRECT("'"&amp;C4&amp;"'"&amp;"!B:B"))</f>
        <v>#REF!</v>
      </c>
      <c r="D20" s="1850" t="e">
        <f ca="1">SUMIF(INDIRECT("'"&amp;D4&amp;"'"&amp;"!A:A"),结果表!B20,INDIRECT("'"&amp;D4&amp;"'"&amp;"!B:B"))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4"/>
      <c r="D22" s="2652" t="e">
        <f ca="1">IF(C19&lt;D19,D19/C19-1,C19/D19-1)</f>
        <v>#REF!</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14" t="s">
        <v>1500</v>
      </c>
      <c r="B24" s="2638" t="s">
        <v>1495</v>
      </c>
      <c r="C24" s="2641">
        <f>D30</f>
        <v>0</v>
      </c>
      <c r="D24" s="2593"/>
      <c r="E24" s="905"/>
      <c r="F24" s="905"/>
      <c r="G24" s="905"/>
      <c r="H24" s="905"/>
      <c r="I24" s="905"/>
      <c r="J24" s="2764"/>
    </row>
    <row r="25" spans="1:36" ht="21.75" customHeight="1">
      <c r="A25" s="3515"/>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2576</v>
      </c>
      <c r="F30" s="2481"/>
      <c r="G30" s="2481"/>
      <c r="H30" s="2481"/>
      <c r="I30" s="2481"/>
      <c r="J30" s="2764"/>
    </row>
    <row r="31" spans="1:36" s="2757" customFormat="1" ht="26.45"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t="e">
        <f ca="1">IF(B32="总价",G19-C24,G20-C25)</f>
        <v>#REF!</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t="e">
        <f ca="1">IF(D33="自定义",F34,C32-C35)</f>
        <v>#REF!</v>
      </c>
      <c r="D34" s="2667">
        <f ca="1">IF(D33="自定义",ROUND(C34/C32,3),1-D35)</f>
        <v>0.40100000000000002</v>
      </c>
      <c r="E34" s="1363" t="s">
        <v>1510</v>
      </c>
      <c r="F34" s="2668">
        <v>2000</v>
      </c>
      <c r="G34" s="905"/>
      <c r="H34" s="905"/>
      <c r="I34" s="905"/>
      <c r="J34" s="2764"/>
    </row>
    <row r="35" spans="1:17" ht="15.75" thickBot="1">
      <c r="A35" s="1395"/>
      <c r="B35" s="2669" t="s">
        <v>1511</v>
      </c>
      <c r="C35" s="2670" t="e">
        <f ca="1">IF(D33="自定义",F35,ROUND(C32*D35,0))</f>
        <v>#REF!</v>
      </c>
      <c r="D35" s="2671">
        <f ca="1">IF(D33="自定义",ROUND(C35/C32,3),IF(D33="成本法成本比率",成本法!C56,IF(D33="收益法收益比率",收益法!J38,收益法!J41)))</f>
        <v>0.59899999999999998</v>
      </c>
      <c r="E35" s="2672" t="s">
        <v>1512</v>
      </c>
      <c r="F35" s="2673">
        <v>4460</v>
      </c>
      <c r="G35" s="905"/>
      <c r="H35" s="905"/>
      <c r="I35" s="905"/>
      <c r="J35" s="2764"/>
    </row>
    <row r="36" spans="1:17" ht="15.75" thickBot="1">
      <c r="A36" s="3514" t="s">
        <v>1513</v>
      </c>
      <c r="B36" s="1396" t="s">
        <v>1514</v>
      </c>
      <c r="C36" s="2674">
        <v>0</v>
      </c>
      <c r="D36" s="2675"/>
      <c r="E36" s="1608"/>
      <c r="F36" s="1608"/>
      <c r="G36" s="905"/>
      <c r="H36" s="905"/>
      <c r="I36" s="905"/>
      <c r="J36" s="2764"/>
    </row>
    <row r="37" spans="1:17" ht="15.75" thickBot="1">
      <c r="A37" s="3519"/>
      <c r="B37" s="2022" t="s">
        <v>1515</v>
      </c>
      <c r="C37" s="2676">
        <v>0</v>
      </c>
      <c r="D37" s="1239"/>
      <c r="E37" s="1239"/>
      <c r="F37" s="1608"/>
      <c r="G37" s="1239"/>
      <c r="H37" s="1239"/>
      <c r="I37" s="1239"/>
      <c r="J37" s="2768"/>
    </row>
    <row r="38" spans="1:17" ht="15.75" thickBot="1">
      <c r="A38" s="3520"/>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2571</v>
      </c>
      <c r="J44" s="2770"/>
      <c r="K44" s="1403" t="s">
        <v>1523</v>
      </c>
      <c r="L44" s="1404"/>
      <c r="M44" s="1404"/>
      <c r="N44" s="1404"/>
      <c r="O44" s="1404"/>
      <c r="P44" s="1404"/>
      <c r="Q44" s="1236"/>
    </row>
    <row r="45" spans="1:17" ht="14.25" customHeight="1" thickBot="1">
      <c r="A45" s="3439" t="s">
        <v>1524</v>
      </c>
      <c r="B45" s="3440"/>
      <c r="C45" s="3450"/>
      <c r="D45" s="246" t="e">
        <f ca="1">ROUND(I102*F45,0)</f>
        <v>#REF!</v>
      </c>
      <c r="E45" s="1470" t="s">
        <v>1525</v>
      </c>
      <c r="F45" s="2479">
        <v>1</v>
      </c>
      <c r="G45" s="2480" t="s">
        <v>1526</v>
      </c>
      <c r="H45" s="905"/>
      <c r="I45" s="905"/>
      <c r="J45" s="2764"/>
      <c r="K45" s="3445" t="s">
        <v>2501</v>
      </c>
      <c r="L45" s="3445"/>
      <c r="M45" s="3445"/>
      <c r="N45" s="3445"/>
      <c r="O45" s="3445"/>
      <c r="P45" s="3445"/>
      <c r="Q45" s="1236"/>
    </row>
    <row r="46" spans="1:17" ht="14.25" customHeight="1">
      <c r="A46" s="3516" t="s">
        <v>1528</v>
      </c>
      <c r="B46" s="3517"/>
      <c r="C46" s="3517"/>
      <c r="D46" s="3517"/>
      <c r="E46" s="3517"/>
      <c r="F46" s="3517"/>
      <c r="G46" s="3518"/>
      <c r="H46" s="2896"/>
      <c r="I46" s="905"/>
      <c r="J46" s="2764"/>
      <c r="K46" s="2454">
        <v>1</v>
      </c>
      <c r="L46" s="3446" t="s">
        <v>2502</v>
      </c>
      <c r="M46" s="3446"/>
      <c r="N46" s="3447" t="str">
        <f>项目基本情况!B1</f>
        <v>预评估</v>
      </c>
      <c r="O46" s="3447"/>
      <c r="P46" s="3447"/>
      <c r="Q46" s="1236"/>
    </row>
    <row r="47" spans="1:17" ht="12" customHeight="1">
      <c r="A47" s="38" t="s">
        <v>1530</v>
      </c>
      <c r="B47" s="39"/>
      <c r="C47" s="40"/>
      <c r="D47" s="1028" t="s">
        <v>1531</v>
      </c>
      <c r="E47" s="235" t="s">
        <v>1532</v>
      </c>
      <c r="F47" s="41" t="s">
        <v>1533</v>
      </c>
      <c r="G47" s="2482" t="s">
        <v>1534</v>
      </c>
      <c r="H47" s="2896"/>
      <c r="I47" s="905"/>
      <c r="J47" s="2764"/>
      <c r="K47" s="2454">
        <v>2</v>
      </c>
      <c r="L47" s="3446" t="s">
        <v>2503</v>
      </c>
      <c r="M47" s="3446"/>
      <c r="N47" s="3448">
        <f>'数据-取费表'!B2</f>
        <v>44776</v>
      </c>
      <c r="O47" s="3448"/>
      <c r="P47" s="3448"/>
      <c r="Q47" s="1236"/>
    </row>
    <row r="48" spans="1:17" ht="25.5">
      <c r="A48" s="3521" t="s">
        <v>1536</v>
      </c>
      <c r="B48" s="3455"/>
      <c r="C48" s="3455"/>
      <c r="D48" s="12" t="e">
        <f ca="1">IF(H48="情况1",0,IF(H48="情况2",D52,IF(H48="情况3",D53,IF(H48="情况4",D54))))</f>
        <v>#REF!</v>
      </c>
      <c r="E48" s="2020" t="str">
        <f>IF(H48="情况4","(销售额-原购置价)×税（费）率","销售额×税（费）率")</f>
        <v>销售额×税（费）率</v>
      </c>
      <c r="F48" s="2483">
        <f>IF(H48="情况1","免征",'数据-取费表'!E29)</f>
        <v>5.5000000000000007E-2</v>
      </c>
      <c r="G48" s="2484" t="s">
        <v>1537</v>
      </c>
      <c r="H48" s="2485" t="s">
        <v>1538</v>
      </c>
      <c r="I48" s="2896"/>
      <c r="J48" s="2771"/>
      <c r="K48" s="2454">
        <v>3</v>
      </c>
      <c r="L48" s="3446" t="s">
        <v>2504</v>
      </c>
      <c r="M48" s="3446"/>
      <c r="N48" s="3447" t="e">
        <f ca="1">I102</f>
        <v>#REF!</v>
      </c>
      <c r="O48" s="3447"/>
      <c r="P48" s="3447"/>
      <c r="Q48" s="1236"/>
    </row>
    <row r="49" spans="1:17" ht="25.5" customHeight="1">
      <c r="A49" s="2019" t="s">
        <v>1540</v>
      </c>
      <c r="B49" s="3494" t="s">
        <v>1541</v>
      </c>
      <c r="C49" s="3494"/>
      <c r="D49" s="2486">
        <v>0</v>
      </c>
      <c r="E49" s="261" t="s">
        <v>1542</v>
      </c>
      <c r="F49" s="2487" t="s">
        <v>48</v>
      </c>
      <c r="G49" s="3436"/>
      <c r="H49" s="2488" t="s">
        <v>2578</v>
      </c>
      <c r="I49" s="2489"/>
      <c r="J49" s="2772"/>
      <c r="K49" s="2454">
        <v>4</v>
      </c>
      <c r="L49" s="3446" t="str">
        <f>IF(项目基本情况!F5="房地产抵押价值","房地产抵押价值","抵押担保权已注销时的房地产抵押价值")</f>
        <v>抵押担保权已注销时的房地产抵押价值</v>
      </c>
      <c r="M49" s="3446"/>
      <c r="N49" s="3447" t="str">
        <f>IF(项目基本情况!F5="房地产抵押价值",I110,I112)</f>
        <v>——</v>
      </c>
      <c r="O49" s="3447"/>
      <c r="P49" s="3447"/>
      <c r="Q49" s="1236"/>
    </row>
    <row r="50" spans="1:17" ht="25.5" customHeight="1">
      <c r="A50" s="2009"/>
      <c r="B50" s="3494" t="s">
        <v>1543</v>
      </c>
      <c r="C50" s="3494"/>
      <c r="D50" s="2490"/>
      <c r="E50" s="269"/>
      <c r="F50" s="2487"/>
      <c r="G50" s="3437"/>
      <c r="H50" s="2491" t="s">
        <v>2497</v>
      </c>
      <c r="I50" s="2489"/>
      <c r="J50" s="2772"/>
      <c r="K50" s="3446" t="s">
        <v>2505</v>
      </c>
      <c r="L50" s="3446"/>
      <c r="M50" s="3446"/>
      <c r="N50" s="3446"/>
      <c r="O50" s="3446"/>
      <c r="P50" s="3446"/>
      <c r="Q50" s="1236"/>
    </row>
    <row r="51" spans="1:17" ht="20.45" customHeight="1">
      <c r="A51" s="2492"/>
      <c r="B51" s="3494" t="s">
        <v>1545</v>
      </c>
      <c r="C51" s="3494"/>
      <c r="D51" s="1028"/>
      <c r="E51" s="264"/>
      <c r="F51" s="2487"/>
      <c r="G51" s="3438"/>
      <c r="H51" s="2491" t="s">
        <v>2498</v>
      </c>
      <c r="I51" s="2489"/>
      <c r="J51" s="2772"/>
      <c r="K51" s="2455" t="s">
        <v>2506</v>
      </c>
      <c r="L51" s="3446" t="s">
        <v>2507</v>
      </c>
      <c r="M51" s="3446"/>
      <c r="N51" s="2455" t="s">
        <v>2508</v>
      </c>
      <c r="O51" s="2455" t="s">
        <v>2509</v>
      </c>
      <c r="P51" s="2455" t="s">
        <v>2510</v>
      </c>
      <c r="Q51" s="1236"/>
    </row>
    <row r="52" spans="1:17" ht="24" customHeight="1">
      <c r="A52" s="2010" t="s">
        <v>1551</v>
      </c>
      <c r="B52" s="3494" t="s">
        <v>1552</v>
      </c>
      <c r="C52" s="3494"/>
      <c r="D52" s="1028" t="e">
        <f ca="1">ROUND(D45*'数据-取费表'!E29/(1+'数据-取费表'!F30),0)</f>
        <v>#REF!</v>
      </c>
      <c r="E52" s="2020" t="s">
        <v>1553</v>
      </c>
      <c r="F52" s="2493">
        <f>'数据-取费表'!E29</f>
        <v>5.5000000000000007E-2</v>
      </c>
      <c r="G52" s="2494"/>
      <c r="H52" s="905"/>
      <c r="I52" s="2897"/>
      <c r="J52" s="2772"/>
      <c r="K52" s="2454">
        <v>1</v>
      </c>
      <c r="L52" s="3435" t="s">
        <v>2511</v>
      </c>
      <c r="M52" s="3435"/>
      <c r="N52" s="2456" t="e">
        <f ca="1">D48</f>
        <v>#REF!</v>
      </c>
      <c r="O52" s="2454" t="str">
        <f>E48</f>
        <v>销售额×税（费）率</v>
      </c>
      <c r="P52" s="2457">
        <f>F48</f>
        <v>5.5000000000000007E-2</v>
      </c>
      <c r="Q52" s="1236"/>
    </row>
    <row r="53" spans="1:17" ht="12" customHeight="1">
      <c r="A53" s="2010" t="s">
        <v>1555</v>
      </c>
      <c r="B53" s="3506" t="s">
        <v>2589</v>
      </c>
      <c r="C53" s="3495"/>
      <c r="D53" s="1028" t="e">
        <f ca="1">ROUND(D45*'数据-取费表'!E29/(1+'数据-取费表'!F30),0)</f>
        <v>#REF!</v>
      </c>
      <c r="E53" s="2020" t="s">
        <v>1553</v>
      </c>
      <c r="F53" s="2493">
        <f>'数据-取费表'!E29</f>
        <v>5.5000000000000007E-2</v>
      </c>
      <c r="G53" s="2494"/>
      <c r="H53" s="905"/>
      <c r="I53" s="2897"/>
      <c r="J53" s="2772"/>
      <c r="K53" s="2454">
        <v>2</v>
      </c>
      <c r="L53" s="3435" t="s">
        <v>2512</v>
      </c>
      <c r="M53" s="3435"/>
      <c r="N53" s="2456">
        <f t="shared" ref="N53:P54" si="1">D55</f>
        <v>0</v>
      </c>
      <c r="O53" s="2454" t="str">
        <f t="shared" si="1"/>
        <v>销售额×税（费）率</v>
      </c>
      <c r="P53" s="2457" t="str">
        <f t="shared" si="1"/>
        <v>免征</v>
      </c>
      <c r="Q53" s="1236"/>
    </row>
    <row r="54" spans="1:17" ht="12" customHeight="1">
      <c r="A54" s="2010" t="s">
        <v>1557</v>
      </c>
      <c r="B54" s="3506" t="s">
        <v>2590</v>
      </c>
      <c r="C54" s="3495"/>
      <c r="D54" s="1028" t="e">
        <f ca="1">C68</f>
        <v>#REF!</v>
      </c>
      <c r="E54" s="264" t="s">
        <v>1558</v>
      </c>
      <c r="F54" s="2493">
        <f>'数据-取费表'!E29</f>
        <v>5.5000000000000007E-2</v>
      </c>
      <c r="G54" s="2494"/>
      <c r="H54" s="2898"/>
      <c r="I54" s="2897"/>
      <c r="J54" s="2772"/>
      <c r="K54" s="2454">
        <v>3</v>
      </c>
      <c r="L54" s="3435" t="s">
        <v>2513</v>
      </c>
      <c r="M54" s="3435"/>
      <c r="N54" s="2456">
        <f t="shared" si="1"/>
        <v>0</v>
      </c>
      <c r="O54" s="2454" t="str">
        <f t="shared" si="1"/>
        <v>增值额×税（费）率</v>
      </c>
      <c r="P54" s="2458" t="str">
        <f t="shared" si="1"/>
        <v>免征</v>
      </c>
      <c r="Q54" s="1236"/>
    </row>
    <row r="55" spans="1:17" ht="24" customHeight="1">
      <c r="A55" s="3459" t="s">
        <v>1560</v>
      </c>
      <c r="B55" s="3455"/>
      <c r="C55" s="3455"/>
      <c r="D55" s="12">
        <f>IF(H55="个人住宅",0,ROUND(D45*I55,0))</f>
        <v>0</v>
      </c>
      <c r="E55" s="2020" t="s">
        <v>1561</v>
      </c>
      <c r="F55" s="2493" t="str">
        <f>IF(H55="正常",I55,"免征")</f>
        <v>免征</v>
      </c>
      <c r="G55" s="2494"/>
      <c r="H55" s="2485" t="s">
        <v>2494</v>
      </c>
      <c r="I55" s="74">
        <f>'数据-取费表'!E37</f>
        <v>5.0000000000000001E-4</v>
      </c>
      <c r="J55" s="2772"/>
      <c r="K55" s="2454" t="str">
        <f>IF(H59="非个人房产","",4)</f>
        <v/>
      </c>
      <c r="L55" s="3435" t="str">
        <f>IF(H59="非个人房产","——","个人所得税")</f>
        <v>——</v>
      </c>
      <c r="M55" s="3435"/>
      <c r="N55" s="2459" t="str">
        <f>D59</f>
        <v>——</v>
      </c>
      <c r="O55" s="2460" t="str">
        <f>E59</f>
        <v>——</v>
      </c>
      <c r="P55" s="2461" t="str">
        <f>F59</f>
        <v>——</v>
      </c>
      <c r="Q55" s="1236"/>
    </row>
    <row r="56" spans="1:17" ht="24.75">
      <c r="A56" s="3459" t="s">
        <v>1563</v>
      </c>
      <c r="B56" s="3455"/>
      <c r="C56" s="3455"/>
      <c r="D56" s="12">
        <f>IF(H56="个人住宅",D57,D58)</f>
        <v>0</v>
      </c>
      <c r="E56" s="2020" t="s">
        <v>1564</v>
      </c>
      <c r="F56" s="2493" t="str">
        <f>IF(H56="正常",F58,"免征")</f>
        <v>免征</v>
      </c>
      <c r="G56" s="2495" t="s">
        <v>1565</v>
      </c>
      <c r="H56" s="2496" t="s">
        <v>2494</v>
      </c>
      <c r="I56" s="2899"/>
      <c r="J56" s="2772"/>
      <c r="K56" s="2454" t="str">
        <f>IF(项目基本情况!I6="上海银行",IF(K55="",4,K55+1),"")</f>
        <v/>
      </c>
      <c r="L56" s="3433" t="str">
        <f>IF(项目基本情况!I6="上海银行","其他处置费用","")</f>
        <v/>
      </c>
      <c r="M56" s="3453"/>
      <c r="N56" s="2456" t="str">
        <f>IF(项目基本情况!I6="上海银行",N69,"")</f>
        <v/>
      </c>
      <c r="O56" s="3433" t="str">
        <f>IF(项目基本情况!I6="上海银行","包含处置中涉及的律师、诉讼、拍卖、评估等费用","")</f>
        <v/>
      </c>
      <c r="P56" s="3434"/>
      <c r="Q56" s="1236"/>
    </row>
    <row r="57" spans="1:17" ht="12.75">
      <c r="A57" s="2010" t="s">
        <v>1540</v>
      </c>
      <c r="B57" s="3506" t="s">
        <v>1566</v>
      </c>
      <c r="C57" s="3495"/>
      <c r="D57" s="2486">
        <v>0</v>
      </c>
      <c r="E57" s="261" t="s">
        <v>1542</v>
      </c>
      <c r="F57" s="235"/>
      <c r="G57" s="2494"/>
      <c r="H57" s="2899"/>
      <c r="I57" s="2899"/>
      <c r="J57" s="2772"/>
      <c r="K57" s="3435">
        <f>IF(AND(K55="",K56=""),4,IF(项目基本情况!I6="上海银行",K56+1,K55+1))</f>
        <v>4</v>
      </c>
      <c r="L57" s="3435" t="s">
        <v>2514</v>
      </c>
      <c r="M57" s="2462" t="s">
        <v>2515</v>
      </c>
      <c r="N57" s="2463"/>
      <c r="O57" s="2464">
        <f ca="1">SUMIF(N52:N56,"&lt;9e307")</f>
        <v>0</v>
      </c>
      <c r="P57" s="2465"/>
      <c r="Q57" s="1234" t="e">
        <f ca="1">O57/N49</f>
        <v>#VALUE!</v>
      </c>
    </row>
    <row r="58" spans="1:17" ht="24.75">
      <c r="A58" s="2010" t="s">
        <v>1551</v>
      </c>
      <c r="B58" s="3506" t="s">
        <v>1569</v>
      </c>
      <c r="C58" s="3494"/>
      <c r="D58" s="12" t="e">
        <f ca="1">IF(H58="转让取得",C81,C97)</f>
        <v>#REF!</v>
      </c>
      <c r="E58" s="2020" t="s">
        <v>1564</v>
      </c>
      <c r="F58" s="235" t="s">
        <v>48</v>
      </c>
      <c r="G58" s="2494"/>
      <c r="H58" s="2496" t="s">
        <v>1570</v>
      </c>
      <c r="I58" s="2899"/>
      <c r="J58" s="2772"/>
      <c r="K58" s="3435"/>
      <c r="L58" s="3435"/>
      <c r="M58" s="2462" t="s">
        <v>2516</v>
      </c>
      <c r="N58" s="2466"/>
      <c r="O58" s="2467" t="str">
        <f ca="1">IF(H19="元",NUMBERSTRING(INT(O57),2)&amp;"元整",NUMBERSTRING(INT(O57*10000),2)&amp;"元整")</f>
        <v>零元整</v>
      </c>
      <c r="P58" s="2468"/>
      <c r="Q58" s="1236"/>
    </row>
    <row r="59" spans="1:17" ht="24.75" thickBot="1">
      <c r="A59" s="3522" t="s">
        <v>1572</v>
      </c>
      <c r="B59" s="3523"/>
      <c r="C59" s="3523"/>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2569</v>
      </c>
      <c r="H59" s="2024" t="s">
        <v>2579</v>
      </c>
      <c r="I59" s="2801" t="s">
        <v>2580</v>
      </c>
      <c r="J59" s="2772"/>
      <c r="K59" s="3488">
        <f>K57+1</f>
        <v>5</v>
      </c>
      <c r="L59" s="3435" t="s">
        <v>2517</v>
      </c>
      <c r="M59" s="2454" t="s">
        <v>2515</v>
      </c>
      <c r="N59" s="2469"/>
      <c r="O59" s="2470" t="e">
        <f ca="1">N49-O57</f>
        <v>#VALUE!</v>
      </c>
      <c r="P59" s="2471"/>
      <c r="Q59" s="1236"/>
    </row>
    <row r="60" spans="1:17" ht="12" customHeight="1">
      <c r="A60" s="1385"/>
      <c r="B60" s="1389"/>
      <c r="C60" s="1389"/>
      <c r="D60" s="1389"/>
      <c r="E60" s="770"/>
      <c r="F60" s="2900"/>
      <c r="G60" s="2900"/>
      <c r="H60" s="2901"/>
      <c r="I60" s="31"/>
      <c r="K60" s="3489"/>
      <c r="L60" s="3435"/>
      <c r="M60" s="2462" t="s">
        <v>2516</v>
      </c>
      <c r="N60" s="2466"/>
      <c r="O60" s="2467" t="e">
        <f ca="1">IF(H19="元",NUMBERSTRING(INT(O59),2)&amp;"元整",NUMBERSTRING(INT(O59*10000),2)&amp;"元整")</f>
        <v>#VALUE!</v>
      </c>
      <c r="P60" s="2468"/>
      <c r="Q60" s="1236"/>
    </row>
    <row r="61" spans="1:17" ht="13.5" thickBot="1">
      <c r="A61" s="3524" t="s">
        <v>1574</v>
      </c>
      <c r="B61" s="3524"/>
      <c r="C61" s="3524"/>
      <c r="D61" s="3524"/>
      <c r="E61" s="3524"/>
      <c r="F61" s="2900"/>
      <c r="G61" s="2900"/>
      <c r="H61" s="2902"/>
      <c r="I61" s="31"/>
      <c r="K61" s="2454">
        <f>K59+1</f>
        <v>6</v>
      </c>
      <c r="L61" s="3435" t="s">
        <v>2518</v>
      </c>
      <c r="M61" s="3435"/>
      <c r="N61" s="2472"/>
      <c r="O61" s="2473" t="e">
        <f ca="1">IF(H19="元",ROUND(O59/项目基本情况!C12,0),ROUND(O59*10000/项目基本情况!C12,0))</f>
        <v>#VALUE!</v>
      </c>
      <c r="P61" s="2474"/>
      <c r="Q61" s="1236"/>
    </row>
    <row r="62" spans="1:17" ht="12.75">
      <c r="A62" s="3473" t="s">
        <v>1576</v>
      </c>
      <c r="B62" s="3474"/>
      <c r="C62" s="1535"/>
      <c r="D62" s="1535" t="s">
        <v>1577</v>
      </c>
      <c r="E62" s="45" t="s">
        <v>1578</v>
      </c>
      <c r="F62" s="2900"/>
      <c r="G62" s="2900"/>
      <c r="H62" s="2902"/>
      <c r="I62" s="31"/>
      <c r="K62" s="2475"/>
      <c r="L62" s="2475"/>
      <c r="M62" s="2475"/>
      <c r="N62" s="2475"/>
      <c r="O62" s="2475"/>
      <c r="P62" s="2475"/>
      <c r="Q62" s="1236"/>
    </row>
    <row r="63" spans="1:17" ht="12.75">
      <c r="A63" s="46">
        <v>1</v>
      </c>
      <c r="B63" s="47" t="s">
        <v>1579</v>
      </c>
      <c r="C63" s="2703" t="e">
        <f ca="1">ROUND((C64+C65)/(1+'数据-取费表'!F30),0)</f>
        <v>#REF!</v>
      </c>
      <c r="D63" s="47"/>
      <c r="E63" s="48"/>
      <c r="F63" s="2900"/>
      <c r="G63" s="2900"/>
      <c r="H63" s="2902"/>
      <c r="I63" s="31"/>
      <c r="K63" s="3454" t="s">
        <v>2519</v>
      </c>
      <c r="L63" s="2476" t="s">
        <v>2520</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4" t="e">
        <f ca="1">D45</f>
        <v>#REF!</v>
      </c>
      <c r="D64" s="50" t="s">
        <v>41</v>
      </c>
      <c r="E64" s="52"/>
      <c r="F64" s="2900"/>
      <c r="G64" s="2900"/>
      <c r="H64" s="2902"/>
      <c r="I64" s="31"/>
      <c r="K64" s="3454"/>
      <c r="L64" s="2476" t="s">
        <v>2521</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2522</v>
      </c>
      <c r="P64" s="2475"/>
      <c r="Q64" s="1236"/>
    </row>
    <row r="65" spans="1:36" ht="12.75">
      <c r="A65" s="49" t="s">
        <v>72</v>
      </c>
      <c r="B65" s="50" t="s">
        <v>1585</v>
      </c>
      <c r="C65" s="2705"/>
      <c r="D65" s="50"/>
      <c r="E65" s="52"/>
      <c r="F65" s="2900"/>
      <c r="G65" s="2900"/>
      <c r="H65" s="2902"/>
      <c r="I65" s="31"/>
      <c r="K65" s="3454"/>
      <c r="L65" s="2476" t="s">
        <v>2523</v>
      </c>
      <c r="M65" s="2476" t="e">
        <f>IF(N49&gt;1000,N49*0.1%,IF(AND(N49&gt;500,N49&lt;=1000),N49*0.5%,IF(AND(N49&gt;50,N49&lt;=500),N49*1%,IF(AND(N49&gt;1,N49&lt;=50),N49*1.5%))))</f>
        <v>#VALUE!</v>
      </c>
      <c r="N65" s="2477" t="e">
        <f t="shared" si="2"/>
        <v>#VALUE!</v>
      </c>
      <c r="O65" s="2475" t="s">
        <v>2522</v>
      </c>
      <c r="P65" s="2475"/>
      <c r="Q65" s="1236"/>
    </row>
    <row r="66" spans="1:36" ht="12.75">
      <c r="A66" s="53" t="s">
        <v>47</v>
      </c>
      <c r="B66" s="54" t="s">
        <v>1587</v>
      </c>
      <c r="C66" s="2706"/>
      <c r="D66" s="54" t="s">
        <v>41</v>
      </c>
      <c r="E66" s="1244" t="s">
        <v>1588</v>
      </c>
      <c r="F66" s="2900"/>
      <c r="G66" s="2900"/>
      <c r="H66" s="2902"/>
      <c r="I66" s="31"/>
      <c r="K66" s="3454"/>
      <c r="L66" s="2476" t="s">
        <v>2524</v>
      </c>
      <c r="M66" s="2476" t="e">
        <f>N49*0.5%</f>
        <v>#VALUE!</v>
      </c>
      <c r="N66" s="2477" t="e">
        <f>IF(M66&gt;0.5,0.5,ROUND(M66,0))</f>
        <v>#VALUE!</v>
      </c>
      <c r="O66" s="2475" t="s">
        <v>2525</v>
      </c>
      <c r="P66" s="2475"/>
      <c r="Q66" s="1236"/>
    </row>
    <row r="67" spans="1:36" ht="12.75">
      <c r="A67" s="53" t="s">
        <v>42</v>
      </c>
      <c r="B67" s="54" t="s">
        <v>1591</v>
      </c>
      <c r="C67" s="2707" t="e">
        <f ca="1">C63-C66</f>
        <v>#REF!</v>
      </c>
      <c r="D67" s="50" t="s">
        <v>41</v>
      </c>
      <c r="E67" s="52"/>
      <c r="F67" s="2900"/>
      <c r="G67" s="2900"/>
      <c r="H67" s="2902"/>
      <c r="I67" s="31"/>
      <c r="K67" s="3454"/>
      <c r="L67" s="2476" t="s">
        <v>2526</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8" t="e">
        <f ca="1">IF(C67&lt;=0,0,ROUND(C67*D68,0))</f>
        <v>#REF!</v>
      </c>
      <c r="D68" s="2170">
        <f>'数据-取费表'!E29</f>
        <v>5.5000000000000007E-2</v>
      </c>
      <c r="E68" s="57"/>
      <c r="F68" s="2900"/>
      <c r="G68" s="2900"/>
      <c r="H68" s="2902"/>
      <c r="I68" s="31"/>
      <c r="K68" s="3454"/>
      <c r="L68" s="2476" t="s">
        <v>2527</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0"/>
      <c r="K69" s="3454"/>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5" t="s">
        <v>1596</v>
      </c>
      <c r="B70" s="3476"/>
      <c r="C70" s="3476"/>
      <c r="D70" s="3476"/>
      <c r="E70" s="3476"/>
      <c r="F70" s="3476"/>
      <c r="G70" s="3476"/>
      <c r="H70" s="3476"/>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3" t="s">
        <v>1576</v>
      </c>
      <c r="B71" s="3474"/>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t="e">
        <f ca="1">ROUND(D45/(1+'数据-取费表'!F30),0)</f>
        <v>#REF!</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t="e">
        <f ca="1">C74+C78</f>
        <v>#REF!</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506" t="s">
        <v>1606</v>
      </c>
      <c r="F76" s="3494"/>
      <c r="G76" s="3494"/>
      <c r="H76" s="3507"/>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t="e">
        <f ca="1">ROUND(D45*D78/(1+'数据-取费表'!F30),0)</f>
        <v>#REF!</v>
      </c>
      <c r="D78" s="2716">
        <f>'数据-取费表'!E31</f>
        <v>5.000000000000001E-3</v>
      </c>
      <c r="E78" s="3442" t="s">
        <v>1611</v>
      </c>
      <c r="F78" s="3443"/>
      <c r="G78" s="3443"/>
      <c r="H78" s="3463"/>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t="e">
        <f ca="1">C72-C73</f>
        <v>#REF!</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t="e">
        <f ca="1">ROUND(IF(C79&lt;=0,0,IF(C80&gt;=200%,C79*60%-C73*35%,IF(C80&gt;=100%,C79*50%-C73*15%,IF(C80&gt;=50%,C79*40%-C73*5%,IF(C80&lt;50%,C79*30%,0))))),0)</f>
        <v>#REF!</v>
      </c>
      <c r="D81" s="2100"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5" t="s">
        <v>1615</v>
      </c>
      <c r="B83" s="3476"/>
      <c r="C83" s="3476"/>
      <c r="D83" s="3476"/>
      <c r="E83" s="3476"/>
      <c r="F83" s="3476"/>
      <c r="G83" s="3476"/>
      <c r="H83" s="3476"/>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3" t="s">
        <v>1576</v>
      </c>
      <c r="B84" s="3474"/>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t="e">
        <f ca="1">ROUND(D45/(1+'数据-取费表'!F30),0)</f>
        <v>#REF!</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t="e">
        <f ca="1">IF(H88="仅含出让金",C87+C90+C91+C92+C93+C94,C87+C91+C92+C93+C94)</f>
        <v>#REF!</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2573</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482" t="s">
        <v>2489</v>
      </c>
      <c r="H90" s="3482"/>
      <c r="I90" s="9"/>
      <c r="J90" s="2775"/>
      <c r="K90" s="2891" t="s">
        <v>2574</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42" t="s">
        <v>1623</v>
      </c>
      <c r="F91" s="3443"/>
      <c r="G91" s="3443"/>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42" t="s">
        <v>1626</v>
      </c>
      <c r="F92" s="3443"/>
      <c r="G92" s="3443"/>
      <c r="H92" s="3463"/>
      <c r="I92" s="9"/>
      <c r="J92" s="2775"/>
      <c r="K92" s="2892" t="s">
        <v>2575</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t="e">
        <f ca="1">ROUND(D45*D93/(1+'数据-取费表'!F30),0)</f>
        <v>#REF!</v>
      </c>
      <c r="D93" s="2716">
        <f>'数据-取费表'!E31</f>
        <v>5.000000000000001E-3</v>
      </c>
      <c r="E93" s="3442" t="s">
        <v>1611</v>
      </c>
      <c r="F93" s="3443"/>
      <c r="G93" s="3443"/>
      <c r="H93" s="3463"/>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42" t="s">
        <v>1628</v>
      </c>
      <c r="F94" s="3443"/>
      <c r="G94" s="3443"/>
      <c r="H94" s="3463"/>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t="e">
        <f ca="1">ROUND(C85-C86,0)</f>
        <v>#REF!</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t="e">
        <f ca="1">ROUND(IF(C95&lt;=0,0,IF(C96&gt;=200%,C95*60%-C86*35%,IF(C96&gt;=100%,C95*50%-C86*15%,IF(C96&gt;=50%,C95*40%-C86*5%,IF(C96&lt;50%,C95*30%,0))))),0)</f>
        <v>#REF!</v>
      </c>
      <c r="D97" s="2100"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60" t="s">
        <v>1630</v>
      </c>
      <c r="B99" s="3461"/>
      <c r="C99" s="3461"/>
      <c r="D99" s="3462"/>
      <c r="E99" s="1389"/>
      <c r="F99" s="3470" t="s">
        <v>1631</v>
      </c>
      <c r="G99" s="3471"/>
      <c r="H99" s="3471"/>
      <c r="I99" s="3472"/>
      <c r="J99" s="2778"/>
    </row>
    <row r="100" spans="1:36" ht="15">
      <c r="A100" s="3477" t="s">
        <v>1632</v>
      </c>
      <c r="B100" s="3478"/>
      <c r="C100" s="1235">
        <f>C4</f>
        <v>0</v>
      </c>
      <c r="D100" s="2726">
        <f>D4</f>
        <v>0</v>
      </c>
      <c r="E100" s="1389"/>
      <c r="F100" s="3479" t="s">
        <v>2533</v>
      </c>
      <c r="G100" s="3481"/>
      <c r="H100" s="3479" t="s">
        <v>2534</v>
      </c>
      <c r="I100" s="3480"/>
      <c r="J100" s="2779"/>
    </row>
    <row r="101" spans="1:36" ht="12.75">
      <c r="A101" s="3496" t="s">
        <v>2566</v>
      </c>
      <c r="B101" s="2235" t="str">
        <f>IF(H19="元","总价（元）","总价（万元）")</f>
        <v>总价（万元）</v>
      </c>
      <c r="C101" s="1235" t="e">
        <f ca="1">C19</f>
        <v>#REF!</v>
      </c>
      <c r="D101" s="2726" t="e">
        <f ca="1">D19</f>
        <v>#REF!</v>
      </c>
      <c r="E101" s="1389"/>
      <c r="F101" s="3479" t="str">
        <f>项目基本情况!I1</f>
        <v>房地产</v>
      </c>
      <c r="G101" s="3481"/>
      <c r="H101" s="3483">
        <f>项目基本情况!C12</f>
        <v>829.41000000000008</v>
      </c>
      <c r="I101" s="3480"/>
      <c r="J101" s="2779"/>
    </row>
    <row r="102" spans="1:36" ht="12.75">
      <c r="A102" s="3496"/>
      <c r="B102" s="2235" t="s">
        <v>2567</v>
      </c>
      <c r="C102" s="2727" t="e">
        <f ca="1">C20</f>
        <v>#REF!</v>
      </c>
      <c r="D102" s="2728" t="e">
        <f ca="1">D20</f>
        <v>#REF!</v>
      </c>
      <c r="E102" s="1389"/>
      <c r="F102" s="3466" t="s">
        <v>2563</v>
      </c>
      <c r="G102" s="3467"/>
      <c r="H102" s="2736" t="str">
        <f>C106</f>
        <v>总价（万元）</v>
      </c>
      <c r="I102" s="2737" t="e">
        <f ca="1">H121</f>
        <v>#REF!</v>
      </c>
      <c r="J102" s="2779"/>
    </row>
    <row r="103" spans="1:36" ht="12.75">
      <c r="A103" s="3496" t="s">
        <v>2568</v>
      </c>
      <c r="B103" s="2173" t="str">
        <f>B101</f>
        <v>总价（万元）</v>
      </c>
      <c r="C103" s="2731" t="e">
        <f ca="1">H121</f>
        <v>#REF!</v>
      </c>
      <c r="D103" s="2729"/>
      <c r="E103" s="1389"/>
      <c r="F103" s="3466"/>
      <c r="G103" s="3467"/>
      <c r="H103" s="2736" t="s">
        <v>2536</v>
      </c>
      <c r="I103" s="52" t="e">
        <f ca="1">I121</f>
        <v>#REF!</v>
      </c>
      <c r="J103" s="2763"/>
    </row>
    <row r="104" spans="1:36" ht="13.5" thickBot="1">
      <c r="A104" s="3497"/>
      <c r="B104" s="2733" t="s">
        <v>2567</v>
      </c>
      <c r="C104" s="2734" t="e">
        <f ca="1">I121</f>
        <v>#REF!</v>
      </c>
      <c r="D104" s="2735"/>
      <c r="E104" s="1389"/>
      <c r="F104" s="3466"/>
      <c r="G104" s="3467"/>
      <c r="H104" s="3498"/>
      <c r="I104" s="3499"/>
      <c r="J104" s="2780"/>
    </row>
    <row r="105" spans="1:36" ht="15">
      <c r="A105" s="3460" t="s">
        <v>1633</v>
      </c>
      <c r="B105" s="3461"/>
      <c r="C105" s="3461"/>
      <c r="D105" s="3462"/>
      <c r="E105" s="1389"/>
      <c r="F105" s="3502" t="s">
        <v>2537</v>
      </c>
      <c r="G105" s="3503"/>
      <c r="H105" s="2738" t="str">
        <f>C108</f>
        <v>总额（万元）</v>
      </c>
      <c r="I105" s="2737">
        <f>SUMIF(I106:I108,"&lt;9E307")</f>
        <v>0</v>
      </c>
      <c r="J105" s="2779"/>
    </row>
    <row r="106" spans="1:36" ht="14.25">
      <c r="A106" s="3466" t="s">
        <v>2560</v>
      </c>
      <c r="B106" s="3467"/>
      <c r="C106" s="2736" t="str">
        <f>B101</f>
        <v>总价（万元）</v>
      </c>
      <c r="D106" s="2737" t="e">
        <f ca="1">H121</f>
        <v>#REF!</v>
      </c>
      <c r="E106" s="1389"/>
      <c r="F106" s="3468" t="s">
        <v>2538</v>
      </c>
      <c r="G106" s="3469"/>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6"/>
      <c r="B107" s="3467"/>
      <c r="C107" s="2736" t="s">
        <v>2561</v>
      </c>
      <c r="D107" s="52" t="e">
        <f ca="1">I121</f>
        <v>#REF!</v>
      </c>
      <c r="E107" s="1389"/>
      <c r="F107" s="3468" t="s">
        <v>2539</v>
      </c>
      <c r="G107" s="3469"/>
      <c r="H107" s="2738" t="str">
        <f>C110</f>
        <v>总额（万元）</v>
      </c>
      <c r="I107" s="52">
        <f>C37</f>
        <v>0</v>
      </c>
      <c r="J107" s="2763"/>
    </row>
    <row r="108" spans="1:36" ht="12.75">
      <c r="A108" s="3537" t="s">
        <v>2537</v>
      </c>
      <c r="B108" s="3538"/>
      <c r="C108" s="2738" t="str">
        <f>IF(H19="元","总额（元）","总额（万元）")</f>
        <v>总额（万元）</v>
      </c>
      <c r="D108" s="2737">
        <f>IF(D36="正常操作",I106+I107+I108,I107+I108)</f>
        <v>0</v>
      </c>
      <c r="E108" s="1389"/>
      <c r="F108" s="3468" t="s">
        <v>2564</v>
      </c>
      <c r="G108" s="3469"/>
      <c r="H108" s="2738" t="str">
        <f>C111</f>
        <v>总额（万元）</v>
      </c>
      <c r="I108" s="52">
        <f>C38</f>
        <v>0</v>
      </c>
      <c r="J108" s="2763"/>
    </row>
    <row r="109" spans="1:36" ht="12.75">
      <c r="A109" s="3468" t="s">
        <v>2538</v>
      </c>
      <c r="B109" s="3469"/>
      <c r="C109" s="2738" t="str">
        <f>C108</f>
        <v>总额（万元）</v>
      </c>
      <c r="D109" s="52">
        <f>IF(D36="同一抵押权人同一抵押物续贷",C36&amp;"（未扣减，详见特别提示）",C36)</f>
        <v>0</v>
      </c>
      <c r="E109" s="1389"/>
      <c r="F109" s="3466"/>
      <c r="G109" s="3467"/>
      <c r="H109" s="3500"/>
      <c r="I109" s="3501"/>
      <c r="J109" s="2781"/>
    </row>
    <row r="110" spans="1:36" ht="28.5" customHeight="1">
      <c r="A110" s="3468" t="s">
        <v>2562</v>
      </c>
      <c r="B110" s="3469"/>
      <c r="C110" s="2738" t="str">
        <f>C108</f>
        <v>总额（万元）</v>
      </c>
      <c r="D110" s="52">
        <f>C37</f>
        <v>0</v>
      </c>
      <c r="E110" s="1389"/>
      <c r="F110" s="3449" t="str">
        <f>IF(项目基本情况!F5="已注销","——","3.房地产抵押价值")</f>
        <v>3.房地产抵押价值</v>
      </c>
      <c r="G110" s="3450"/>
      <c r="H110" s="2724" t="str">
        <f>C112</f>
        <v>总价（万元）</v>
      </c>
      <c r="I110" s="2737" t="e">
        <f ca="1">IF(F110="——","——",I102-I105)</f>
        <v>#REF!</v>
      </c>
      <c r="J110" s="2779"/>
    </row>
    <row r="111" spans="1:36" ht="12.75">
      <c r="A111" s="3468" t="s">
        <v>2541</v>
      </c>
      <c r="B111" s="3469"/>
      <c r="C111" s="2738" t="str">
        <f>C108</f>
        <v>总额（万元）</v>
      </c>
      <c r="D111" s="52">
        <f>C38</f>
        <v>0</v>
      </c>
      <c r="E111" s="1389"/>
      <c r="F111" s="3451"/>
      <c r="G111" s="3452"/>
      <c r="H111" s="2736" t="s">
        <v>2536</v>
      </c>
      <c r="I111" s="2740" t="e">
        <f ca="1">D113</f>
        <v>#REF!</v>
      </c>
      <c r="J111" s="2782"/>
    </row>
    <row r="112" spans="1:36" ht="26.25" customHeight="1">
      <c r="A112" s="3466" t="str">
        <f>IF(项目基本情况!F5="已注销","——","3.房地产抵押价值")</f>
        <v>3.房地产抵押价值</v>
      </c>
      <c r="B112" s="3467"/>
      <c r="C112" s="2736" t="str">
        <f>B101</f>
        <v>总价（万元）</v>
      </c>
      <c r="D112" s="2737" t="e">
        <f ca="1">IF(A112="——","——",D106-D108)</f>
        <v>#REF!</v>
      </c>
      <c r="E112" s="1389"/>
      <c r="F112" s="3449" t="str">
        <f>IF(项目基本情况!F5="已注销及未注销","4.抵押担保权已注销时的房地产抵押价值",IF(项目基本情况!F5="已注销","3.抵押担保权已注销时的房地产抵押价值","——"))</f>
        <v>——</v>
      </c>
      <c r="G112" s="3450"/>
      <c r="H112" s="2724" t="str">
        <f>C114</f>
        <v>总价（万元）</v>
      </c>
      <c r="I112" s="2737" t="str">
        <f>IF(F112="——","——",I102-I107-I108)</f>
        <v>——</v>
      </c>
      <c r="J112" s="2779"/>
    </row>
    <row r="113" spans="1:16" ht="12.75">
      <c r="A113" s="3466"/>
      <c r="B113" s="3467"/>
      <c r="C113" s="2736" t="s">
        <v>2529</v>
      </c>
      <c r="D113" s="52" t="e">
        <f ca="1">ROUND(IF(D112=D106,D107,IF(H19="元",D112/项目基本情况!C12,D112*10000/项目基本情况!C12)),0)</f>
        <v>#REF!</v>
      </c>
      <c r="E113" s="1389"/>
      <c r="F113" s="3451"/>
      <c r="G113" s="3452"/>
      <c r="H113" s="2736" t="s">
        <v>2565</v>
      </c>
      <c r="I113" s="52" t="str">
        <f>D115</f>
        <v>——</v>
      </c>
      <c r="J113" s="2763"/>
    </row>
    <row r="114" spans="1:16" ht="12.75">
      <c r="A114" s="3466" t="str">
        <f>IF(项目基本情况!F5="已注销及未注销","4.抵押担保权已注销时的房地产抵押价值",IF(项目基本情况!F5="已注销","3.抵押担保权已注销时的房地产抵押价值","——"))</f>
        <v>——</v>
      </c>
      <c r="B114" s="3467"/>
      <c r="C114" s="2736" t="str">
        <f>B101</f>
        <v>总价（万元）</v>
      </c>
      <c r="D114" s="2737" t="str">
        <f>IF(A114="——","——",D106-D110-D111)</f>
        <v>——</v>
      </c>
      <c r="E114" s="1389"/>
      <c r="F114" s="3449" t="str">
        <f>IF(项目基本情况!G5="抵押净值",IF(OR(项目基本情况!F5="已注销",项目基本情况!F5="房地产抵押价值"),"4.抵押净值","5.抵押净值"),"——")</f>
        <v>——</v>
      </c>
      <c r="G114" s="3450"/>
      <c r="H114" s="2736" t="str">
        <f>C116</f>
        <v>总价（万元）</v>
      </c>
      <c r="I114" s="2737" t="str">
        <f>IF(F114="——","——",O59)</f>
        <v>——</v>
      </c>
      <c r="J114" s="2779"/>
    </row>
    <row r="115" spans="1:16" ht="13.5" thickBot="1">
      <c r="A115" s="3466"/>
      <c r="B115" s="3467"/>
      <c r="C115" s="2736" t="s">
        <v>2529</v>
      </c>
      <c r="D115" s="52" t="str">
        <f>IF(A114="——","——",ROUND(IF(D114=D106,D107,IF(H19="元",D114/项目基本情况!C12,D114*10000/项目基本情况!C12)),0))</f>
        <v>——</v>
      </c>
      <c r="E115" s="1389"/>
      <c r="F115" s="3529"/>
      <c r="G115" s="3530"/>
      <c r="H115" s="2741" t="s">
        <v>2529</v>
      </c>
      <c r="I115" s="2725" t="e">
        <f ca="1">D117</f>
        <v>#REF!</v>
      </c>
      <c r="J115" s="2763"/>
    </row>
    <row r="116" spans="1:16" ht="15.75">
      <c r="A116" s="3466" t="str">
        <f>IF(项目基本情况!G5="抵押净值",IF(OR(项目基本情况!F5="已注销",项目基本情况!F5="房地产抵押价值"),"4.抵押净值","5.抵押净值"),"——")</f>
        <v>——</v>
      </c>
      <c r="B116" s="3467"/>
      <c r="C116" s="2736" t="str">
        <f>B101</f>
        <v>总价（万元）</v>
      </c>
      <c r="D116" s="2737" t="str">
        <f>IF(A116="——","——",O59)</f>
        <v>——</v>
      </c>
      <c r="E116" s="1389"/>
      <c r="F116" s="3444"/>
      <c r="G116" s="3444"/>
      <c r="H116" s="3485"/>
      <c r="I116" s="3485"/>
      <c r="J116" s="2783"/>
      <c r="O116" s="32"/>
      <c r="P116" s="32"/>
    </row>
    <row r="117" spans="1:16" ht="13.5" thickBot="1">
      <c r="A117" s="3535"/>
      <c r="B117" s="3536"/>
      <c r="C117" s="2741" t="s">
        <v>2529</v>
      </c>
      <c r="D117" s="2725" t="e">
        <f ca="1">IF(D116=D112,D113,IF(A116="——","——",O61))</f>
        <v>#REF!</v>
      </c>
      <c r="E117" s="1389"/>
      <c r="F117" s="3528" t="str">
        <f>IF(B32="总价","（以上估价结果中单价为总价除以建筑面积得出）","（以上估价结果中总价为楼面单价乘以建筑面积得出）")</f>
        <v>（以上估价结果中总价为楼面单价乘以建筑面积得出）</v>
      </c>
      <c r="G117" s="3528"/>
      <c r="H117" s="3528"/>
      <c r="I117" s="3528"/>
      <c r="J117" s="2784"/>
      <c r="O117" s="32"/>
      <c r="P117" s="32"/>
    </row>
    <row r="118" spans="1:16" ht="15">
      <c r="A118" s="3486" t="s">
        <v>1634</v>
      </c>
      <c r="B118" s="3487"/>
      <c r="C118" s="3487"/>
      <c r="D118" s="3487"/>
      <c r="E118" s="3487"/>
      <c r="F118" s="3487"/>
      <c r="G118" s="3487"/>
      <c r="H118" s="3487"/>
      <c r="I118" s="3487"/>
      <c r="J118" s="2785"/>
    </row>
    <row r="119" spans="1:16" ht="12.75">
      <c r="A119" s="3459" t="s">
        <v>2547</v>
      </c>
      <c r="B119" s="3457" t="s">
        <v>2557</v>
      </c>
      <c r="C119" s="3457" t="s">
        <v>2558</v>
      </c>
      <c r="D119" s="3464" t="s">
        <v>2549</v>
      </c>
      <c r="E119" s="3465"/>
      <c r="F119" s="3455" t="s">
        <v>2559</v>
      </c>
      <c r="G119" s="3455"/>
      <c r="H119" s="3455" t="s">
        <v>2550</v>
      </c>
      <c r="I119" s="3456"/>
      <c r="J119" s="2763"/>
    </row>
    <row r="120" spans="1:16" ht="12.75">
      <c r="A120" s="3459"/>
      <c r="B120" s="3458"/>
      <c r="C120" s="3458"/>
      <c r="D120" s="2020" t="s">
        <v>2551</v>
      </c>
      <c r="E120" s="2020" t="s">
        <v>2556</v>
      </c>
      <c r="F120" s="2020" t="s">
        <v>2551</v>
      </c>
      <c r="G120" s="2020" t="s">
        <v>2552</v>
      </c>
      <c r="H120" s="2020" t="s">
        <v>2551</v>
      </c>
      <c r="I120" s="52" t="s">
        <v>2552</v>
      </c>
      <c r="J120" s="2763"/>
    </row>
    <row r="121" spans="1:16" ht="12.75">
      <c r="A121" s="2010" t="str">
        <f>项目基本情况!I1</f>
        <v>房地产</v>
      </c>
      <c r="B121" s="2020">
        <f>项目基本情况!C12</f>
        <v>829.41000000000008</v>
      </c>
      <c r="C121" s="2020">
        <f>项目基本情况!C13</f>
        <v>30.71</v>
      </c>
      <c r="D121" s="2020" t="e">
        <f ca="1">ROUND(IF(B32="总价",C34,IF('数据-取费表'!B3="万元",E121*B121/10000,E121*B121)),0)</f>
        <v>#REF!</v>
      </c>
      <c r="E121" s="2020" t="e">
        <f ca="1">ROUND(IF(B32="楼面单价",C34,IF(H19="元",D121/B121,D121*10000/B121)),0)</f>
        <v>#REF!</v>
      </c>
      <c r="F121" s="2020" t="e">
        <f ca="1">ROUND(IF(B32="总价",C35,IF('数据-取费表'!B3="万元",G121*B121/10000,G121*B121)),0)</f>
        <v>#REF!</v>
      </c>
      <c r="G121" s="2020" t="e">
        <f ca="1">ROUND(IF(B32="楼面单价",C35,IF(H19="元",F121/B121,F121*10000/B121)),0)</f>
        <v>#REF!</v>
      </c>
      <c r="H121" s="2020" t="e">
        <f ca="1">ROUND(IF(B32="总价",C32,IF('数据-取费表'!B3="万元",I121*B121/10000,I121*B121)),0)</f>
        <v>#REF!</v>
      </c>
      <c r="I121" s="52" t="e">
        <f ca="1">ROUND(IF(B32="楼面单价",C32,IF(H19="元",H121/B121,H121*10000/B121)),0)</f>
        <v>#REF!</v>
      </c>
      <c r="J121" s="2763"/>
    </row>
    <row r="122" spans="1:16" ht="12.75">
      <c r="A122" s="3459" t="s">
        <v>2553</v>
      </c>
      <c r="B122" s="3455"/>
      <c r="C122" s="3455"/>
      <c r="D122" s="3490" t="e">
        <f ca="1">IF(H19="元",NUMBERSTRING(INT(D121),2)&amp;"元整",NUMBERSTRING(INT(D121*10000),2)&amp;"元整")</f>
        <v>#REF!</v>
      </c>
      <c r="E122" s="3491"/>
      <c r="F122" s="3490" t="e">
        <f ca="1">IF(H19="元",NUMBERSTRING(INT(F121),2)&amp;"元整",NUMBERSTRING(INT(F121*10000),2)&amp;"元整")</f>
        <v>#REF!</v>
      </c>
      <c r="G122" s="3491"/>
      <c r="H122" s="3490" t="e">
        <f ca="1">IF(H19="元",NUMBERSTRING(INT(H121),2)&amp;"元整",NUMBERSTRING(INT(H121*10000),2)&amp;"元整")</f>
        <v>#REF!</v>
      </c>
      <c r="I122" s="3539"/>
      <c r="J122" s="2786"/>
    </row>
    <row r="123" spans="1:16" ht="12.75">
      <c r="A123" s="3479" t="str">
        <f>IF(项目基本情况!D5="房地产市场价值","——",MID(A108,3,LEN(A108)-2))</f>
        <v>估价师所知悉的法定优先受偿款</v>
      </c>
      <c r="B123" s="3492"/>
      <c r="C123" s="3481"/>
      <c r="D123" s="3483">
        <f>I105</f>
        <v>0</v>
      </c>
      <c r="E123" s="3492"/>
      <c r="F123" s="3492"/>
      <c r="G123" s="3492"/>
      <c r="H123" s="3492"/>
      <c r="I123" s="3480"/>
      <c r="J123" s="2779"/>
    </row>
    <row r="124" spans="1:16" ht="12.75">
      <c r="A124" s="3493" t="s">
        <v>2553</v>
      </c>
      <c r="B124" s="3494"/>
      <c r="C124" s="3495"/>
      <c r="D124" s="3531">
        <f>H109</f>
        <v>0</v>
      </c>
      <c r="E124" s="3532"/>
      <c r="F124" s="3532"/>
      <c r="G124" s="3532"/>
      <c r="H124" s="3532"/>
      <c r="I124" s="3533"/>
      <c r="J124" s="2787"/>
    </row>
    <row r="125" spans="1:16" ht="12.75">
      <c r="A125" s="3466" t="str">
        <f>IF(项目基本情况!D5="房地产市场价值","——",MID(A112,3,LEN(A112)-2))</f>
        <v>房地产抵押价值</v>
      </c>
      <c r="B125" s="3467"/>
      <c r="C125" s="3467"/>
      <c r="D125" s="3483" t="e">
        <f ca="1">I110</f>
        <v>#REF!</v>
      </c>
      <c r="E125" s="3492"/>
      <c r="F125" s="3492"/>
      <c r="G125" s="3492"/>
      <c r="H125" s="3492"/>
      <c r="I125" s="3480"/>
      <c r="J125" s="2779"/>
    </row>
    <row r="126" spans="1:16" ht="12.75">
      <c r="A126" s="3459" t="s">
        <v>2553</v>
      </c>
      <c r="B126" s="3455"/>
      <c r="C126" s="3455"/>
      <c r="D126" s="3531" t="e">
        <f ca="1">I111</f>
        <v>#REF!</v>
      </c>
      <c r="E126" s="3532"/>
      <c r="F126" s="3532"/>
      <c r="G126" s="3532"/>
      <c r="H126" s="3532"/>
      <c r="I126" s="3533"/>
      <c r="J126" s="2787"/>
    </row>
    <row r="127" spans="1:16" ht="13.5" thickBot="1">
      <c r="A127" s="3466" t="str">
        <f>IF(项目基本情况!D5="房地产市场价值","——",MID(A114,3,LEN(A114)-2))</f>
        <v/>
      </c>
      <c r="B127" s="3467"/>
      <c r="C127" s="3467"/>
      <c r="D127" s="3439" t="str">
        <f>I112</f>
        <v>——</v>
      </c>
      <c r="E127" s="3440"/>
      <c r="F127" s="3440"/>
      <c r="G127" s="3440"/>
      <c r="H127" s="3440"/>
      <c r="I127" s="3441"/>
      <c r="J127" s="2779"/>
    </row>
    <row r="128" spans="1:16" ht="14.25" thickTop="1" thickBot="1">
      <c r="A128" s="3459" t="s">
        <v>2553</v>
      </c>
      <c r="B128" s="3455"/>
      <c r="C128" s="3506"/>
      <c r="D128" s="3484" t="str">
        <f>I113</f>
        <v>——</v>
      </c>
      <c r="E128" s="3484"/>
      <c r="F128" s="3484"/>
      <c r="G128" s="3484"/>
      <c r="H128" s="3484"/>
      <c r="I128" s="3484"/>
      <c r="J128" s="2787"/>
    </row>
    <row r="129" spans="1:10" ht="14.25" thickTop="1" thickBot="1">
      <c r="A129" s="3466" t="str">
        <f>IF(项目基本情况!D5="房地产市场价值","——",MID(F114,3,LEN(F114)-2))</f>
        <v/>
      </c>
      <c r="B129" s="3467"/>
      <c r="C129" s="3483"/>
      <c r="D129" s="3534" t="str">
        <f>I114</f>
        <v>——</v>
      </c>
      <c r="E129" s="3534"/>
      <c r="F129" s="3534"/>
      <c r="G129" s="3534"/>
      <c r="H129" s="3534"/>
      <c r="I129" s="3534"/>
      <c r="J129" s="2779"/>
    </row>
    <row r="130" spans="1:10" ht="14.25" thickTop="1" thickBot="1">
      <c r="A130" s="3522" t="s">
        <v>2553</v>
      </c>
      <c r="B130" s="3523"/>
      <c r="C130" s="3523"/>
      <c r="D130" s="3540">
        <f>H116</f>
        <v>0</v>
      </c>
      <c r="E130" s="3541"/>
      <c r="F130" s="3541"/>
      <c r="G130" s="3541"/>
      <c r="H130" s="3541"/>
      <c r="I130" s="3542"/>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527" t="str">
        <f>IF(B32="总价","（以上估价结果中楼面单价为总价除以建筑面积得出）","（以上估价结果中总价为楼面单价乘以建筑面积得出）")</f>
        <v>（以上估价结果中总价为楼面单价乘以建筑面积得出）</v>
      </c>
      <c r="B132" s="3527"/>
      <c r="C132" s="3527"/>
      <c r="D132" s="3527"/>
      <c r="E132" s="3527"/>
      <c r="F132" s="3527"/>
      <c r="G132" s="3527"/>
      <c r="H132" s="3527"/>
      <c r="I132" s="3527"/>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3" zoomScale="80" zoomScaleNormal="100" zoomScaleSheetLayoutView="80" zoomScalePageLayoutView="80" workbookViewId="0">
      <selection activeCell="I23" sqref="I23"/>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2"/>
    </row>
    <row r="3" spans="1:15" ht="12.75">
      <c r="A3" s="3509" t="s">
        <v>1471</v>
      </c>
      <c r="B3" s="3510"/>
      <c r="C3" s="3510"/>
      <c r="D3" s="3510"/>
      <c r="E3" s="3510"/>
      <c r="F3" s="3510"/>
      <c r="G3" s="3510"/>
      <c r="H3" s="3510"/>
      <c r="I3" s="3510"/>
      <c r="J3" s="2762"/>
    </row>
    <row r="4" spans="1:15" ht="14.25">
      <c r="A4" s="2630" t="s">
        <v>1472</v>
      </c>
      <c r="B4" s="2630" t="s">
        <v>1473</v>
      </c>
      <c r="C4" s="2631" t="s">
        <v>3033</v>
      </c>
      <c r="D4" s="2631" t="s">
        <v>3034</v>
      </c>
      <c r="E4" s="3506" t="s">
        <v>1644</v>
      </c>
      <c r="F4" s="3494"/>
      <c r="G4" s="3494"/>
      <c r="H4" s="3494"/>
      <c r="I4" s="3495"/>
      <c r="J4" s="2763"/>
      <c r="L4" s="1389" t="str">
        <f>IF(ISNUMBER(FIND("比较法",'结果表 (1修多)'!C4)),"比较法",IF(ISNUMBER(FIND("成本法",'结果表 (1修多)'!C4)),"成本法",IF(ISNUMBER(FIND("假设开发法",'结果表 (1修多)'!C4)),"假设开发法",IF(ISNUMBER(FIND("收益法",'结果表 (1修多)'!C4)),"收益法","基准地价系数修正法"))))</f>
        <v>比较法</v>
      </c>
      <c r="M4" s="1389" t="str">
        <f>IF(ISNUMBER(FIND("比较法",'结果表 (1修多)'!D4)),"比较法",IF(ISNUMBER(FIND("成本法",'结果表 (1修多)'!D4)),"成本法",IF(ISNUMBER(FIND("假设开发法",'结果表 (1修多)'!D4)),"假设开发法",IF(ISNUMBER(FIND("收益法",'结果表 (1修多)'!D4)),"收益法","基准地价系数修正法"))))</f>
        <v>收益法</v>
      </c>
      <c r="N4" s="1389"/>
      <c r="O4" s="1389"/>
    </row>
    <row r="5" spans="1:15" ht="12.75">
      <c r="A5" s="3505" t="s">
        <v>1475</v>
      </c>
      <c r="B5" s="3505">
        <v>25</v>
      </c>
      <c r="C5" s="3511"/>
      <c r="D5" s="3508"/>
      <c r="E5" s="12" t="s">
        <v>1476</v>
      </c>
      <c r="F5" s="2017"/>
      <c r="G5" s="2017"/>
      <c r="H5" s="2017"/>
      <c r="I5" s="2012"/>
      <c r="J5" s="2763"/>
    </row>
    <row r="6" spans="1:15" ht="12.75">
      <c r="A6" s="3505"/>
      <c r="B6" s="3505"/>
      <c r="C6" s="3512"/>
      <c r="D6" s="3508"/>
      <c r="E6" s="12" t="s">
        <v>1477</v>
      </c>
      <c r="F6" s="2017"/>
      <c r="G6" s="2017"/>
      <c r="H6" s="2017"/>
      <c r="I6" s="2012"/>
      <c r="J6" s="2763"/>
    </row>
    <row r="7" spans="1:15" ht="12.75">
      <c r="A7" s="3505"/>
      <c r="B7" s="3505"/>
      <c r="C7" s="3513"/>
      <c r="D7" s="3508"/>
      <c r="E7" s="12" t="s">
        <v>1478</v>
      </c>
      <c r="F7" s="2017"/>
      <c r="G7" s="2017"/>
      <c r="H7" s="2017"/>
      <c r="I7" s="2012"/>
      <c r="J7" s="2763"/>
    </row>
    <row r="8" spans="1:15" ht="12.75">
      <c r="A8" s="3505" t="s">
        <v>1479</v>
      </c>
      <c r="B8" s="3505">
        <v>15</v>
      </c>
      <c r="C8" s="3511"/>
      <c r="D8" s="3508"/>
      <c r="E8" s="12" t="s">
        <v>1480</v>
      </c>
      <c r="F8" s="2017"/>
      <c r="G8" s="2017"/>
      <c r="H8" s="2017"/>
      <c r="I8" s="2012"/>
      <c r="J8" s="2763"/>
    </row>
    <row r="9" spans="1:15" ht="12.75">
      <c r="A9" s="3505"/>
      <c r="B9" s="3505"/>
      <c r="C9" s="3513"/>
      <c r="D9" s="3508"/>
      <c r="E9" s="12" t="s">
        <v>1481</v>
      </c>
      <c r="F9" s="2017"/>
      <c r="G9" s="2017"/>
      <c r="H9" s="2017"/>
      <c r="I9" s="2012"/>
      <c r="J9" s="2763"/>
    </row>
    <row r="10" spans="1:15" ht="12.75">
      <c r="A10" s="3505" t="s">
        <v>1482</v>
      </c>
      <c r="B10" s="3505">
        <v>15</v>
      </c>
      <c r="C10" s="3511"/>
      <c r="D10" s="3508"/>
      <c r="E10" s="12" t="s">
        <v>1483</v>
      </c>
      <c r="F10" s="2017"/>
      <c r="G10" s="2017"/>
      <c r="H10" s="2017"/>
      <c r="I10" s="2012"/>
      <c r="J10" s="2763"/>
    </row>
    <row r="11" spans="1:15" ht="12.75">
      <c r="A11" s="3505"/>
      <c r="B11" s="3505"/>
      <c r="C11" s="3513"/>
      <c r="D11" s="3508"/>
      <c r="E11" s="12" t="s">
        <v>1484</v>
      </c>
      <c r="F11" s="2017"/>
      <c r="G11" s="2017"/>
      <c r="H11" s="2017"/>
      <c r="I11" s="2012"/>
      <c r="J11" s="2763"/>
    </row>
    <row r="12" spans="1:15" ht="12.75">
      <c r="A12" s="3505" t="s">
        <v>1485</v>
      </c>
      <c r="B12" s="3505">
        <v>15</v>
      </c>
      <c r="C12" s="3511"/>
      <c r="D12" s="3508"/>
      <c r="E12" s="12" t="s">
        <v>1486</v>
      </c>
      <c r="F12" s="2017"/>
      <c r="G12" s="2017"/>
      <c r="H12" s="2017"/>
      <c r="I12" s="2012"/>
      <c r="J12" s="2763"/>
    </row>
    <row r="13" spans="1:15" ht="12.75">
      <c r="A13" s="3505"/>
      <c r="B13" s="3505"/>
      <c r="C13" s="3513"/>
      <c r="D13" s="3508"/>
      <c r="E13" s="12" t="s">
        <v>1487</v>
      </c>
      <c r="F13" s="2017"/>
      <c r="G13" s="2017"/>
      <c r="H13" s="2017"/>
      <c r="I13" s="2012"/>
      <c r="J13" s="2763"/>
    </row>
    <row r="14" spans="1:15" ht="12.75">
      <c r="A14" s="3505" t="s">
        <v>1488</v>
      </c>
      <c r="B14" s="3505">
        <v>30</v>
      </c>
      <c r="C14" s="3511">
        <v>6</v>
      </c>
      <c r="D14" s="3508">
        <f>10-C14</f>
        <v>4</v>
      </c>
      <c r="E14" s="12" t="s">
        <v>1489</v>
      </c>
      <c r="F14" s="2017"/>
      <c r="G14" s="2017"/>
      <c r="H14" s="2017"/>
      <c r="I14" s="2012"/>
      <c r="J14" s="2763"/>
    </row>
    <row r="15" spans="1:15" ht="12.75">
      <c r="A15" s="3505"/>
      <c r="B15" s="3505"/>
      <c r="C15" s="3512"/>
      <c r="D15" s="3508"/>
      <c r="E15" s="12" t="s">
        <v>1490</v>
      </c>
      <c r="F15" s="2017"/>
      <c r="G15" s="2017"/>
      <c r="H15" s="2017"/>
      <c r="I15" s="2012"/>
      <c r="J15" s="2763"/>
    </row>
    <row r="16" spans="1:15" ht="12.75">
      <c r="A16" s="3505"/>
      <c r="B16" s="3505"/>
      <c r="C16" s="3513"/>
      <c r="D16" s="3508"/>
      <c r="E16" s="12" t="s">
        <v>1491</v>
      </c>
      <c r="F16" s="2017"/>
      <c r="G16" s="2017"/>
      <c r="H16" s="2017"/>
      <c r="I16" s="2012"/>
      <c r="J16" s="2763"/>
    </row>
    <row r="17" spans="1:36" ht="15">
      <c r="A17" s="2632" t="s">
        <v>1492</v>
      </c>
      <c r="B17" s="2022"/>
      <c r="C17" s="2633">
        <f>SUM(C5:C16)</f>
        <v>6</v>
      </c>
      <c r="D17" s="2633">
        <f>SUM(D5:D16)</f>
        <v>4</v>
      </c>
      <c r="E17" s="2481"/>
      <c r="F17" s="2481"/>
      <c r="G17" s="2481"/>
      <c r="H17" s="2481"/>
      <c r="I17" s="2481"/>
      <c r="J17" s="2764"/>
    </row>
    <row r="18" spans="1:36" ht="32.450000000000003" customHeight="1" thickBot="1">
      <c r="A18" s="2634" t="s">
        <v>1493</v>
      </c>
      <c r="B18" s="2635"/>
      <c r="C18" s="2636">
        <f>ROUND(C17/SUM(C17:D17),2)</f>
        <v>0.6</v>
      </c>
      <c r="D18" s="2636">
        <f>1-C18</f>
        <v>0.4</v>
      </c>
      <c r="E18" s="3525" t="s">
        <v>2572</v>
      </c>
      <c r="F18" s="3526"/>
      <c r="G18" s="3526"/>
      <c r="H18" s="3526"/>
      <c r="I18" s="3526"/>
      <c r="J18" s="2764"/>
    </row>
    <row r="19" spans="1:36" ht="15">
      <c r="A19" s="2637" t="s">
        <v>1494</v>
      </c>
      <c r="B19" s="2638" t="s">
        <v>1495</v>
      </c>
      <c r="C19" s="2639">
        <f ca="1">SUMIF(INDIRECT("'"&amp;C4&amp;"'"&amp;"!A:A"),'结果表 (1修多)'!B19,INDIRECT("'"&amp;C4&amp;"'"&amp;"!B:B"))</f>
        <v>183</v>
      </c>
      <c r="D19" s="2640">
        <f ca="1">SUMIF(INDIRECT("'"&amp;D4&amp;"'"&amp;"!A:A"),'结果表 (1修多)'!B19,INDIRECT("'"&amp;D4&amp;"'"&amp;"!B:B"))</f>
        <v>89</v>
      </c>
      <c r="E19" s="2637" t="s">
        <v>1496</v>
      </c>
      <c r="F19" s="2638" t="s">
        <v>1495</v>
      </c>
      <c r="G19" s="2641">
        <f ca="1">ROUND(C19*$C$18+D19*$D$18,0)</f>
        <v>145</v>
      </c>
      <c r="H19" s="2642" t="str">
        <f>'数据-取费表'!B3</f>
        <v>万元</v>
      </c>
      <c r="I19" s="2481"/>
      <c r="J19" s="2764"/>
    </row>
    <row r="20" spans="1:36" ht="15">
      <c r="A20" s="2643"/>
      <c r="B20" s="1622" t="s">
        <v>1497</v>
      </c>
      <c r="C20" s="1847">
        <f ca="1">SUMIF(INDIRECT("'"&amp;C4&amp;"'"&amp;"!A:A"),'结果表 (1修多)'!B20,INDIRECT("'"&amp;C4&amp;"'"&amp;"!B:B"))</f>
        <v>13106</v>
      </c>
      <c r="D20" s="1850">
        <f ca="1">SUMIF(INDIRECT("'"&amp;D4&amp;"'"&amp;"!A:A"),'结果表 (1修多)'!B20,INDIRECT("'"&amp;D4&amp;"'"&amp;"!B:B"))</f>
        <v>6339</v>
      </c>
      <c r="E20" s="2643"/>
      <c r="F20" s="1622" t="s">
        <v>1497</v>
      </c>
      <c r="G20" s="2021">
        <f ca="1">ROUND(C20*$C$18+D20*$D$18,0)</f>
        <v>10399</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4"/>
      <c r="D22" s="2652">
        <f ca="1">IF(C19&lt;D19,D19/C19-1,C19/D19-1)</f>
        <v>1.0561797752808988</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14" t="s">
        <v>1500</v>
      </c>
      <c r="B24" s="2638" t="s">
        <v>1495</v>
      </c>
      <c r="C24" s="2641">
        <f>D30</f>
        <v>0</v>
      </c>
      <c r="D24" s="2593"/>
      <c r="E24" s="905"/>
      <c r="F24" s="905"/>
      <c r="G24" s="905"/>
      <c r="H24" s="905"/>
      <c r="I24" s="905"/>
      <c r="J24" s="2764"/>
    </row>
    <row r="25" spans="1:36" ht="21.75" customHeight="1">
      <c r="A25" s="3515"/>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2576</v>
      </c>
      <c r="F30" s="2481"/>
      <c r="G30" s="2481"/>
      <c r="H30" s="2481"/>
      <c r="I30" s="2481"/>
      <c r="J30" s="2764"/>
    </row>
    <row r="31" spans="1:36" s="2757" customFormat="1" ht="27.6"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71" t="s">
        <v>1647</v>
      </c>
      <c r="B32" s="3571"/>
      <c r="C32" s="3571"/>
      <c r="D32" s="3571"/>
      <c r="E32" s="3571"/>
      <c r="F32" s="3571"/>
      <c r="G32" s="3571"/>
      <c r="H32" s="3571"/>
      <c r="I32" s="3571"/>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 ca="1">典型户型修正!R27</f>
        <v>10399</v>
      </c>
      <c r="D33" s="2481" t="s">
        <v>1649</v>
      </c>
      <c r="E33" s="905"/>
      <c r="F33" s="905"/>
      <c r="G33" s="905"/>
      <c r="H33" s="905"/>
      <c r="I33" s="905"/>
      <c r="J33" s="2764"/>
    </row>
    <row r="34" spans="1:16" ht="15">
      <c r="A34" s="1440" t="s">
        <v>1650</v>
      </c>
      <c r="B34" s="2695" t="s">
        <v>1651</v>
      </c>
      <c r="C34" s="2696">
        <f ca="1">典型户型修正!B2</f>
        <v>547</v>
      </c>
      <c r="D34" s="2697" t="str">
        <f>IF('数据-取费表'!B3="万元","万元","元")</f>
        <v>万元</v>
      </c>
      <c r="E34" s="905"/>
      <c r="F34" s="905"/>
      <c r="G34" s="905"/>
      <c r="H34" s="905"/>
      <c r="I34" s="905"/>
      <c r="J34" s="2764"/>
    </row>
    <row r="35" spans="1:16" ht="15.75" thickBot="1">
      <c r="A35" s="1441"/>
      <c r="B35" s="2698" t="s">
        <v>1652</v>
      </c>
      <c r="C35" s="2647">
        <f ca="1">典型户型修正!B3</f>
        <v>6595</v>
      </c>
      <c r="D35" s="2481" t="s">
        <v>1653</v>
      </c>
      <c r="E35" s="905"/>
      <c r="F35" s="905"/>
      <c r="G35" s="905"/>
      <c r="H35" s="905"/>
      <c r="I35" s="905"/>
      <c r="J35" s="2764"/>
    </row>
    <row r="36" spans="1:16" ht="15">
      <c r="A36" s="1442"/>
      <c r="B36" s="1396" t="s">
        <v>1654</v>
      </c>
      <c r="C36" s="2699">
        <f>IF('数据-取费表'!B3="万元",典型户型修正!V25,典型户型修正!U25)</f>
        <v>0</v>
      </c>
      <c r="D36" s="2481" t="str">
        <f>D34</f>
        <v>万元</v>
      </c>
      <c r="E36" s="905"/>
      <c r="F36" s="905"/>
      <c r="G36" s="905"/>
      <c r="H36" s="905"/>
      <c r="I36" s="905"/>
      <c r="J36" s="2764"/>
    </row>
    <row r="37" spans="1:16" ht="15.75" thickBot="1">
      <c r="A37" s="1395"/>
      <c r="B37" s="1397" t="s">
        <v>1655</v>
      </c>
      <c r="C37" s="2700">
        <f>IF('数据-取费表'!B3="万元",典型户型修正!Y25,典型户型修正!X25)</f>
        <v>0</v>
      </c>
      <c r="D37" s="2481" t="str">
        <f>D34</f>
        <v>万元</v>
      </c>
      <c r="E37" s="905"/>
      <c r="F37" s="905"/>
      <c r="G37" s="905"/>
      <c r="H37" s="905"/>
      <c r="I37" s="905"/>
      <c r="J37" s="2764"/>
    </row>
    <row r="38" spans="1:16" ht="15.75" thickBot="1">
      <c r="A38" s="3514" t="s">
        <v>1656</v>
      </c>
      <c r="B38" s="1396" t="s">
        <v>1657</v>
      </c>
      <c r="C38" s="2674"/>
      <c r="D38" s="2675"/>
      <c r="E38" s="1608"/>
      <c r="F38" s="1608"/>
      <c r="G38" s="905"/>
      <c r="H38" s="905"/>
      <c r="I38" s="905"/>
      <c r="J38" s="2764"/>
    </row>
    <row r="39" spans="1:16" ht="15.75" thickBot="1">
      <c r="A39" s="3519"/>
      <c r="B39" s="2022" t="s">
        <v>1658</v>
      </c>
      <c r="C39" s="2676"/>
      <c r="D39" s="1239"/>
      <c r="E39" s="1239"/>
      <c r="F39" s="1608"/>
      <c r="G39" s="1239"/>
      <c r="H39" s="1239"/>
      <c r="I39" s="1239"/>
      <c r="J39" s="2768"/>
    </row>
    <row r="40" spans="1:16" ht="15.75" thickBot="1">
      <c r="A40" s="3520"/>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2571</v>
      </c>
      <c r="J46" s="2794"/>
      <c r="K46" s="1403" t="s">
        <v>1523</v>
      </c>
      <c r="L46" s="1404"/>
      <c r="M46" s="1404"/>
      <c r="N46" s="1404"/>
      <c r="O46" s="1404"/>
      <c r="P46" s="1404"/>
    </row>
    <row r="47" spans="1:16" ht="14.25" customHeight="1" thickBot="1">
      <c r="A47" s="3439" t="s">
        <v>1669</v>
      </c>
      <c r="B47" s="3440"/>
      <c r="C47" s="3450"/>
      <c r="D47" s="246">
        <f ca="1">ROUND(I104*F47,0)</f>
        <v>547</v>
      </c>
      <c r="E47" s="1470" t="s">
        <v>1670</v>
      </c>
      <c r="F47" s="2479">
        <v>1</v>
      </c>
      <c r="G47" s="2480" t="s">
        <v>1671</v>
      </c>
      <c r="H47" s="905"/>
      <c r="I47" s="905"/>
      <c r="J47" s="2764"/>
      <c r="K47" s="3544" t="s">
        <v>1527</v>
      </c>
      <c r="L47" s="3544"/>
      <c r="M47" s="3544"/>
      <c r="N47" s="3544"/>
      <c r="O47" s="3544"/>
      <c r="P47" s="3544"/>
    </row>
    <row r="48" spans="1:16" ht="14.25" customHeight="1">
      <c r="A48" s="3516" t="s">
        <v>1528</v>
      </c>
      <c r="B48" s="3517"/>
      <c r="C48" s="3517"/>
      <c r="D48" s="3517"/>
      <c r="E48" s="3517"/>
      <c r="F48" s="3517"/>
      <c r="G48" s="3518"/>
      <c r="H48" s="2896"/>
      <c r="I48" s="905"/>
      <c r="J48" s="2764"/>
      <c r="K48" s="2431">
        <v>1</v>
      </c>
      <c r="L48" s="3545" t="s">
        <v>1529</v>
      </c>
      <c r="M48" s="3545"/>
      <c r="N48" s="3546"/>
      <c r="O48" s="3546"/>
      <c r="P48" s="3546"/>
    </row>
    <row r="49" spans="1:17" ht="12" customHeight="1">
      <c r="A49" s="38" t="s">
        <v>1530</v>
      </c>
      <c r="B49" s="39"/>
      <c r="C49" s="40"/>
      <c r="D49" s="1028" t="s">
        <v>1531</v>
      </c>
      <c r="E49" s="235" t="s">
        <v>1532</v>
      </c>
      <c r="F49" s="41" t="s">
        <v>1533</v>
      </c>
      <c r="G49" s="2482" t="s">
        <v>1534</v>
      </c>
      <c r="H49" s="2896"/>
      <c r="I49" s="905"/>
      <c r="J49" s="2764"/>
      <c r="K49" s="2431">
        <v>2</v>
      </c>
      <c r="L49" s="3545" t="s">
        <v>1535</v>
      </c>
      <c r="M49" s="3545"/>
      <c r="N49" s="3548">
        <f>'数据-取费表'!B2</f>
        <v>44776</v>
      </c>
      <c r="O49" s="3548"/>
      <c r="P49" s="3548"/>
    </row>
    <row r="50" spans="1:17" ht="25.5">
      <c r="A50" s="3521" t="s">
        <v>1536</v>
      </c>
      <c r="B50" s="3455"/>
      <c r="C50" s="3455"/>
      <c r="D50" s="12">
        <f ca="1">IF(H50="情况1",0,IF(H50="情况2",D54,IF(H50="情况3",D55,IF(H50="情况4",D56))))</f>
        <v>29</v>
      </c>
      <c r="E50" s="2020" t="str">
        <f>IF(H50="情况4","(销售额-原购置价)×税（费）率","销售额×税（费）率")</f>
        <v>销售额×税（费）率</v>
      </c>
      <c r="F50" s="2483">
        <f>IF(H50="情况1","免征",'数据-取费表'!E29)</f>
        <v>5.5000000000000007E-2</v>
      </c>
      <c r="G50" s="2484" t="s">
        <v>1537</v>
      </c>
      <c r="H50" s="2485" t="s">
        <v>1538</v>
      </c>
      <c r="I50" s="2896"/>
      <c r="J50" s="2771"/>
      <c r="K50" s="2431">
        <v>3</v>
      </c>
      <c r="L50" s="3545" t="s">
        <v>1539</v>
      </c>
      <c r="M50" s="3545"/>
      <c r="N50" s="3550">
        <f ca="1">I104</f>
        <v>547</v>
      </c>
      <c r="O50" s="3550"/>
      <c r="P50" s="3550"/>
    </row>
    <row r="51" spans="1:17" ht="25.5" customHeight="1">
      <c r="A51" s="2019" t="s">
        <v>1540</v>
      </c>
      <c r="B51" s="3494" t="s">
        <v>1541</v>
      </c>
      <c r="C51" s="3494"/>
      <c r="D51" s="2486">
        <v>0</v>
      </c>
      <c r="E51" s="261" t="s">
        <v>1542</v>
      </c>
      <c r="F51" s="2487" t="s">
        <v>48</v>
      </c>
      <c r="G51" s="3436"/>
      <c r="H51" s="2488" t="s">
        <v>2496</v>
      </c>
      <c r="I51" s="2489"/>
      <c r="J51" s="2772"/>
      <c r="K51" s="2431">
        <v>4</v>
      </c>
      <c r="L51" s="3545" t="str">
        <f>IF(项目基本情况!F5="房地产抵押价值","房地产抵押价值","抵押担保权已注销时的房地产抵押价值")</f>
        <v>抵押担保权已注销时的房地产抵押价值</v>
      </c>
      <c r="M51" s="3545"/>
      <c r="N51" s="3550" t="str">
        <f>IF(项目基本情况!F5="房地产抵押价值",I112,I114)</f>
        <v>——</v>
      </c>
      <c r="O51" s="3550"/>
      <c r="P51" s="3550"/>
    </row>
    <row r="52" spans="1:17" ht="25.5" customHeight="1">
      <c r="A52" s="2009"/>
      <c r="B52" s="3494" t="s">
        <v>1543</v>
      </c>
      <c r="C52" s="3494"/>
      <c r="D52" s="2490"/>
      <c r="E52" s="269"/>
      <c r="F52" s="2487"/>
      <c r="G52" s="3437"/>
      <c r="H52" s="2491" t="s">
        <v>2497</v>
      </c>
      <c r="I52" s="2489"/>
      <c r="J52" s="2772"/>
      <c r="K52" s="3545" t="s">
        <v>1544</v>
      </c>
      <c r="L52" s="3545"/>
      <c r="M52" s="3545"/>
      <c r="N52" s="3545"/>
      <c r="O52" s="3545"/>
      <c r="P52" s="3545"/>
    </row>
    <row r="53" spans="1:17" ht="20.45" customHeight="1">
      <c r="A53" s="2492"/>
      <c r="B53" s="3494" t="s">
        <v>1545</v>
      </c>
      <c r="C53" s="3494"/>
      <c r="D53" s="1028"/>
      <c r="E53" s="264"/>
      <c r="F53" s="2487"/>
      <c r="G53" s="3438"/>
      <c r="H53" s="2491" t="s">
        <v>2498</v>
      </c>
      <c r="I53" s="2489"/>
      <c r="J53" s="2772"/>
      <c r="K53" s="2432" t="s">
        <v>1546</v>
      </c>
      <c r="L53" s="3545" t="s">
        <v>1547</v>
      </c>
      <c r="M53" s="3545"/>
      <c r="N53" s="2432" t="s">
        <v>1548</v>
      </c>
      <c r="O53" s="2432" t="s">
        <v>1549</v>
      </c>
      <c r="P53" s="2432" t="s">
        <v>1550</v>
      </c>
    </row>
    <row r="54" spans="1:17" ht="24" customHeight="1">
      <c r="A54" s="2010" t="s">
        <v>1551</v>
      </c>
      <c r="B54" s="3494" t="s">
        <v>1552</v>
      </c>
      <c r="C54" s="3494"/>
      <c r="D54" s="1028">
        <f ca="1">ROUND(D47*'数据-取费表'!E29/(1+'数据-取费表'!F30),0)</f>
        <v>29</v>
      </c>
      <c r="E54" s="2020" t="s">
        <v>1553</v>
      </c>
      <c r="F54" s="2493">
        <f>'数据-取费表'!E29</f>
        <v>5.5000000000000007E-2</v>
      </c>
      <c r="G54" s="2494"/>
      <c r="H54" s="905"/>
      <c r="I54" s="2897"/>
      <c r="J54" s="2772"/>
      <c r="K54" s="2431">
        <v>1</v>
      </c>
      <c r="L54" s="3547" t="s">
        <v>1554</v>
      </c>
      <c r="M54" s="3547"/>
      <c r="N54" s="2433">
        <f ca="1">D50</f>
        <v>29</v>
      </c>
      <c r="O54" s="2431" t="str">
        <f>E50</f>
        <v>销售额×税（费）率</v>
      </c>
      <c r="P54" s="2434">
        <f>F50</f>
        <v>5.5000000000000007E-2</v>
      </c>
    </row>
    <row r="55" spans="1:17" ht="12" customHeight="1">
      <c r="A55" s="2010" t="s">
        <v>1555</v>
      </c>
      <c r="B55" s="3506" t="s">
        <v>2589</v>
      </c>
      <c r="C55" s="3495"/>
      <c r="D55" s="1028">
        <f ca="1">ROUND(D47*'数据-取费表'!E29/(1+'数据-取费表'!F30),0)</f>
        <v>29</v>
      </c>
      <c r="E55" s="2020" t="s">
        <v>1553</v>
      </c>
      <c r="F55" s="2493">
        <f>'数据-取费表'!E29</f>
        <v>5.5000000000000007E-2</v>
      </c>
      <c r="G55" s="2494"/>
      <c r="H55" s="905"/>
      <c r="I55" s="2897"/>
      <c r="J55" s="2772"/>
      <c r="K55" s="2431">
        <v>2</v>
      </c>
      <c r="L55" s="3547" t="s">
        <v>1556</v>
      </c>
      <c r="M55" s="3547"/>
      <c r="N55" s="2433">
        <f t="shared" ref="N55:P56" ca="1" si="1">D57</f>
        <v>0</v>
      </c>
      <c r="O55" s="2431" t="str">
        <f t="shared" si="1"/>
        <v>销售额×税（费）率</v>
      </c>
      <c r="P55" s="2434">
        <f t="shared" si="1"/>
        <v>5.0000000000000001E-4</v>
      </c>
    </row>
    <row r="56" spans="1:17" ht="12" customHeight="1">
      <c r="A56" s="2010" t="s">
        <v>1557</v>
      </c>
      <c r="B56" s="3506" t="s">
        <v>2590</v>
      </c>
      <c r="C56" s="3495"/>
      <c r="D56" s="1028">
        <f ca="1">C70</f>
        <v>29</v>
      </c>
      <c r="E56" s="264" t="s">
        <v>1558</v>
      </c>
      <c r="F56" s="2493">
        <f>'数据-取费表'!E29</f>
        <v>5.5000000000000007E-2</v>
      </c>
      <c r="G56" s="2494"/>
      <c r="H56" s="2898"/>
      <c r="I56" s="2897"/>
      <c r="J56" s="2772"/>
      <c r="K56" s="2431">
        <v>3</v>
      </c>
      <c r="L56" s="3547" t="s">
        <v>1559</v>
      </c>
      <c r="M56" s="3547"/>
      <c r="N56" s="2433">
        <f t="shared" ca="1" si="1"/>
        <v>310</v>
      </c>
      <c r="O56" s="2431" t="str">
        <f t="shared" si="1"/>
        <v>增值额×税（费）率</v>
      </c>
      <c r="P56" s="2435" t="str">
        <f t="shared" si="1"/>
        <v>——</v>
      </c>
    </row>
    <row r="57" spans="1:17" ht="24" customHeight="1">
      <c r="A57" s="3459" t="s">
        <v>1560</v>
      </c>
      <c r="B57" s="3455"/>
      <c r="C57" s="3455"/>
      <c r="D57" s="12">
        <f ca="1">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47" t="str">
        <f>IF(H61="非个人房产","——","个人所得税")</f>
        <v>个人所得税</v>
      </c>
      <c r="M57" s="3547"/>
      <c r="N57" s="2436">
        <f ca="1">D61</f>
        <v>5</v>
      </c>
      <c r="O57" s="2437" t="str">
        <f>E61</f>
        <v>销售额×税（费）率</v>
      </c>
      <c r="P57" s="2438">
        <f>F61</f>
        <v>0.01</v>
      </c>
    </row>
    <row r="58" spans="1:17" ht="24.75">
      <c r="A58" s="3459" t="s">
        <v>1563</v>
      </c>
      <c r="B58" s="3455"/>
      <c r="C58" s="3455"/>
      <c r="D58" s="12">
        <f ca="1">IF(H58="个人住宅",D59,D60)</f>
        <v>310</v>
      </c>
      <c r="E58" s="2020" t="s">
        <v>1564</v>
      </c>
      <c r="F58" s="2493" t="str">
        <f>IF(H58="正常",F60,"免征")</f>
        <v>——</v>
      </c>
      <c r="G58" s="2495" t="s">
        <v>1565</v>
      </c>
      <c r="H58" s="2496" t="s">
        <v>1562</v>
      </c>
      <c r="I58" s="2899"/>
      <c r="J58" s="2772"/>
      <c r="K58" s="2431" t="str">
        <f>IF(项目基本情况!I6="上海银行",IF(K57="",4,K57+1),"")</f>
        <v/>
      </c>
      <c r="L58" s="3551" t="str">
        <f>IF(项目基本情况!I6="上海银行","其他处置费用","")</f>
        <v/>
      </c>
      <c r="M58" s="3556"/>
      <c r="N58" s="2433" t="str">
        <f>IF(项目基本情况!I6="上海银行",N71,"")</f>
        <v/>
      </c>
      <c r="O58" s="3551" t="str">
        <f>IF(项目基本情况!I6="上海银行","包含处置中涉及的律师、诉讼、拍卖、评估等费用","")</f>
        <v/>
      </c>
      <c r="P58" s="3552"/>
    </row>
    <row r="59" spans="1:17" ht="12.75">
      <c r="A59" s="2010" t="s">
        <v>1540</v>
      </c>
      <c r="B59" s="3506" t="s">
        <v>1566</v>
      </c>
      <c r="C59" s="3495"/>
      <c r="D59" s="2486">
        <v>0</v>
      </c>
      <c r="E59" s="261" t="s">
        <v>1542</v>
      </c>
      <c r="F59" s="235"/>
      <c r="G59" s="2494"/>
      <c r="H59" s="2899"/>
      <c r="I59" s="2899"/>
      <c r="J59" s="2772"/>
      <c r="K59" s="3547">
        <f>IF(AND(K57="",K58=""),4,IF(项目基本情况!I6="上海银行",K58+1,K57+1))</f>
        <v>5</v>
      </c>
      <c r="L59" s="3547" t="s">
        <v>1567</v>
      </c>
      <c r="M59" s="2439" t="s">
        <v>1568</v>
      </c>
      <c r="N59" s="2440"/>
      <c r="O59" s="2441">
        <f ca="1">SUMIF(N54:N58,"&lt;9e307")</f>
        <v>344</v>
      </c>
      <c r="P59" s="2442"/>
      <c r="Q59" s="1234" t="e">
        <f ca="1">O59/N51</f>
        <v>#VALUE!</v>
      </c>
    </row>
    <row r="60" spans="1:17" ht="24.75">
      <c r="A60" s="2010" t="s">
        <v>1551</v>
      </c>
      <c r="B60" s="3506" t="s">
        <v>1569</v>
      </c>
      <c r="C60" s="3494"/>
      <c r="D60" s="12">
        <f ca="1">IF(H60="转让取得",C83,C99)</f>
        <v>310</v>
      </c>
      <c r="E60" s="2020" t="s">
        <v>1564</v>
      </c>
      <c r="F60" s="235" t="s">
        <v>48</v>
      </c>
      <c r="G60" s="2494"/>
      <c r="H60" s="2496" t="s">
        <v>1570</v>
      </c>
      <c r="I60" s="2899"/>
      <c r="J60" s="2772"/>
      <c r="K60" s="3547"/>
      <c r="L60" s="3547"/>
      <c r="M60" s="2439" t="s">
        <v>1571</v>
      </c>
      <c r="N60" s="2443"/>
      <c r="O60" s="2444" t="str">
        <f ca="1">IF(H19="元",NUMBERSTRING(INT(O59),2)&amp;"元整",NUMBERSTRING(INT(O59*10000),2)&amp;"元整")</f>
        <v>叁佰肆拾肆万元整</v>
      </c>
      <c r="P60" s="2445"/>
    </row>
    <row r="61" spans="1:17" ht="26.25" thickBot="1">
      <c r="A61" s="3522" t="s">
        <v>1572</v>
      </c>
      <c r="B61" s="3523"/>
      <c r="C61" s="3523"/>
      <c r="D61" s="69">
        <f ca="1">IF(H61="非个人房产","——",IF(H61="个人住宅（满五唯一有凭证）",0,IF(H61="个人其他（无凭证）",ROUND(D47*F61,0),ROUND(C69*F61,0))))</f>
        <v>5</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2569</v>
      </c>
      <c r="H61" s="2024" t="s">
        <v>2495</v>
      </c>
      <c r="I61" s="2800" t="s">
        <v>2581</v>
      </c>
      <c r="J61" s="2772"/>
      <c r="K61" s="3553">
        <f>K59+1</f>
        <v>6</v>
      </c>
      <c r="L61" s="3547" t="s">
        <v>1573</v>
      </c>
      <c r="M61" s="2431" t="s">
        <v>1568</v>
      </c>
      <c r="N61" s="2446"/>
      <c r="O61" s="2447" t="e">
        <f ca="1">N51-O59</f>
        <v>#VALUE!</v>
      </c>
      <c r="P61" s="2448"/>
    </row>
    <row r="62" spans="1:17" ht="12" customHeight="1">
      <c r="A62" s="1385"/>
      <c r="B62" s="2481"/>
      <c r="C62" s="2481"/>
      <c r="D62" s="2481"/>
      <c r="E62" s="1385"/>
      <c r="F62" s="2899"/>
      <c r="G62" s="2899"/>
      <c r="H62" s="2894"/>
      <c r="I62" s="905"/>
      <c r="J62" s="2772"/>
      <c r="K62" s="3554"/>
      <c r="L62" s="3547"/>
      <c r="M62" s="2439" t="s">
        <v>1571</v>
      </c>
      <c r="N62" s="2443"/>
      <c r="O62" s="2444" t="e">
        <f ca="1">IF(H19="元",NUMBERSTRING(INT(O61),2)&amp;"元整",NUMBERSTRING(INT(O61*10000),2)&amp;"元整")</f>
        <v>#VALUE!</v>
      </c>
      <c r="P62" s="2445"/>
    </row>
    <row r="63" spans="1:17" ht="13.5" thickBot="1">
      <c r="A63" s="3555" t="s">
        <v>1574</v>
      </c>
      <c r="B63" s="3555"/>
      <c r="C63" s="3555"/>
      <c r="D63" s="3555"/>
      <c r="E63" s="3555"/>
      <c r="F63" s="2899"/>
      <c r="G63" s="2899"/>
      <c r="H63" s="2894"/>
      <c r="I63" s="905"/>
      <c r="J63" s="2764"/>
      <c r="K63" s="2431">
        <f>K61+1</f>
        <v>7</v>
      </c>
      <c r="L63" s="3547" t="s">
        <v>1575</v>
      </c>
      <c r="M63" s="3547"/>
      <c r="N63" s="2449"/>
      <c r="O63" s="2450" t="e">
        <f ca="1">IF(H19="元",ROUND(O61/项目基本情况!C12,0),ROUND(O61*10000/项目基本情况!C12,0))</f>
        <v>#VALUE!</v>
      </c>
      <c r="P63" s="2451"/>
    </row>
    <row r="64" spans="1:17" ht="12.75">
      <c r="A64" s="3473" t="s">
        <v>1576</v>
      </c>
      <c r="B64" s="3474"/>
      <c r="C64" s="1535"/>
      <c r="D64" s="1535" t="s">
        <v>1577</v>
      </c>
      <c r="E64" s="45" t="s">
        <v>1578</v>
      </c>
      <c r="F64" s="2899"/>
      <c r="G64" s="2899"/>
      <c r="H64" s="2894"/>
      <c r="I64" s="905"/>
      <c r="J64" s="2764"/>
      <c r="K64" s="1236"/>
      <c r="L64" s="1236"/>
      <c r="M64" s="1236"/>
      <c r="N64" s="1236"/>
      <c r="O64" s="1236"/>
    </row>
    <row r="65" spans="1:36" ht="12.75">
      <c r="A65" s="46">
        <v>1</v>
      </c>
      <c r="B65" s="47" t="s">
        <v>1579</v>
      </c>
      <c r="C65" s="2703">
        <f ca="1">ROUND((C66+C67)/(1+'数据-取费表'!F30),0)</f>
        <v>521</v>
      </c>
      <c r="D65" s="47"/>
      <c r="E65" s="48"/>
      <c r="F65" s="2899"/>
      <c r="G65" s="2899"/>
      <c r="H65" s="2894"/>
      <c r="I65" s="905"/>
      <c r="J65" s="2764"/>
      <c r="K65" s="3543"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4">
        <f ca="1">D47</f>
        <v>547</v>
      </c>
      <c r="D66" s="50" t="s">
        <v>41</v>
      </c>
      <c r="E66" s="52"/>
      <c r="F66" s="2899"/>
      <c r="G66" s="2899"/>
      <c r="H66" s="2894"/>
      <c r="I66" s="905"/>
      <c r="J66" s="2764"/>
      <c r="K66" s="3543"/>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5"/>
      <c r="D67" s="50"/>
      <c r="E67" s="52"/>
      <c r="F67" s="2899"/>
      <c r="G67" s="2899"/>
      <c r="H67" s="2894"/>
      <c r="I67" s="905"/>
      <c r="J67" s="2764"/>
      <c r="K67" s="3543"/>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6"/>
      <c r="D68" s="54" t="s">
        <v>41</v>
      </c>
      <c r="E68" s="1244" t="s">
        <v>1588</v>
      </c>
      <c r="F68" s="2899"/>
      <c r="G68" s="2899"/>
      <c r="H68" s="2894"/>
      <c r="I68" s="905"/>
      <c r="J68" s="2764"/>
      <c r="K68" s="3543"/>
      <c r="L68" s="1235" t="s">
        <v>1589</v>
      </c>
      <c r="M68" s="1235" t="e">
        <f>N51*0.5%</f>
        <v>#VALUE!</v>
      </c>
      <c r="N68" s="235" t="e">
        <f>IF(M68&gt;0.5,0.5,ROUND(M68,0))</f>
        <v>#VALUE!</v>
      </c>
      <c r="O68" s="2452" t="s">
        <v>1590</v>
      </c>
    </row>
    <row r="69" spans="1:36" ht="12.75">
      <c r="A69" s="53" t="s">
        <v>42</v>
      </c>
      <c r="B69" s="54" t="s">
        <v>1591</v>
      </c>
      <c r="C69" s="2707">
        <f ca="1">C65-C68</f>
        <v>521</v>
      </c>
      <c r="D69" s="50" t="s">
        <v>41</v>
      </c>
      <c r="E69" s="52"/>
      <c r="F69" s="2899"/>
      <c r="G69" s="2899"/>
      <c r="H69" s="2894"/>
      <c r="I69" s="905"/>
      <c r="J69" s="2764"/>
      <c r="K69" s="3543"/>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8">
        <f ca="1">IF(C69&lt;=0,0,ROUND(C69*D70,0))</f>
        <v>29</v>
      </c>
      <c r="D70" s="2170">
        <f>'数据-取费表'!E29</f>
        <v>5.5000000000000007E-2</v>
      </c>
      <c r="E70" s="57"/>
      <c r="F70" s="2899"/>
      <c r="G70" s="2899"/>
      <c r="H70" s="2894"/>
      <c r="I70" s="905"/>
      <c r="J70" s="2764"/>
      <c r="K70" s="3543"/>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09"/>
      <c r="D71" s="2213"/>
      <c r="E71" s="1409"/>
      <c r="F71" s="1385"/>
      <c r="G71" s="1385"/>
      <c r="H71" s="1409"/>
      <c r="I71" s="2481"/>
      <c r="J71" s="2764"/>
      <c r="K71" s="3543"/>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0" t="s">
        <v>1596</v>
      </c>
      <c r="B72" s="3561"/>
      <c r="C72" s="3561"/>
      <c r="D72" s="3561"/>
      <c r="E72" s="3561"/>
      <c r="F72" s="3561"/>
      <c r="G72" s="3561"/>
      <c r="H72" s="3561"/>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3" t="s">
        <v>1576</v>
      </c>
      <c r="B73" s="3474"/>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 ca="1">ROUND(D47/(1+'数据-取费表'!F30),0)</f>
        <v>521</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 ca="1">C76+C80</f>
        <v>3</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506" t="s">
        <v>1606</v>
      </c>
      <c r="F78" s="3494"/>
      <c r="G78" s="3494"/>
      <c r="H78" s="3507"/>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 ca="1">ROUND(D47*D80/(1+'数据-取费表'!F30),0)</f>
        <v>3</v>
      </c>
      <c r="D80" s="2716">
        <f>'数据-取费表'!E31</f>
        <v>5.000000000000001E-3</v>
      </c>
      <c r="E80" s="3442" t="s">
        <v>1611</v>
      </c>
      <c r="F80" s="3443"/>
      <c r="G80" s="3443"/>
      <c r="H80" s="3463"/>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 ca="1">C74-C75</f>
        <v>518</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 ca="1">IF(C81&lt;=0,0,C81/C75)</f>
        <v>172.66666666666666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 ca="1">ROUND(IF(C81&lt;=0,0,IF(C82&gt;=200%,C81*60%-C75*35%,IF(C82&gt;=100%,C81*50%-C75*15%,IF(C82&gt;=50%,C81*40%-C75*5%,IF(C82&lt;50%,C81*30%,0))))),0)</f>
        <v>310</v>
      </c>
      <c r="D83" s="210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0" t="s">
        <v>1615</v>
      </c>
      <c r="B85" s="3561"/>
      <c r="C85" s="3561"/>
      <c r="D85" s="3561"/>
      <c r="E85" s="3561"/>
      <c r="F85" s="3561"/>
      <c r="G85" s="3561"/>
      <c r="H85" s="3561"/>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3" t="s">
        <v>1576</v>
      </c>
      <c r="B86" s="3474"/>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 ca="1">ROUND(D47/(1+'数据-取费表'!F30),0)</f>
        <v>521</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 ca="1">IF(H90="仅含出让金",C89+C92+C93+C94+C95+C96,C89+C93+C94+C95+C96)</f>
        <v>3</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2573</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482" t="s">
        <v>2490</v>
      </c>
      <c r="H92" s="3562"/>
      <c r="I92" s="608"/>
      <c r="J92" s="2796"/>
      <c r="K92" s="2891" t="s">
        <v>2574</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42" t="s">
        <v>1623</v>
      </c>
      <c r="F93" s="3443"/>
      <c r="G93" s="3443"/>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42" t="s">
        <v>1626</v>
      </c>
      <c r="F94" s="3443"/>
      <c r="G94" s="3443"/>
      <c r="H94" s="3463"/>
      <c r="I94" s="608"/>
      <c r="J94" s="2796"/>
      <c r="K94" s="2892" t="s">
        <v>2575</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 ca="1">ROUND(D47*D95/(1+'数据-取费表'!F30),0)</f>
        <v>3</v>
      </c>
      <c r="D95" s="2716">
        <f>'数据-取费表'!E31</f>
        <v>5.000000000000001E-3</v>
      </c>
      <c r="E95" s="3442" t="s">
        <v>1611</v>
      </c>
      <c r="F95" s="3443"/>
      <c r="G95" s="3443"/>
      <c r="H95" s="3463"/>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42" t="s">
        <v>1628</v>
      </c>
      <c r="F96" s="3443"/>
      <c r="G96" s="3443"/>
      <c r="H96" s="3463"/>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 ca="1">ROUND(C87-C88,0)</f>
        <v>518</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 ca="1">IF(C97&lt;=0,0,C97/C88)</f>
        <v>172.66666666666666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 ca="1">ROUND(IF(C97&lt;=0,0,IF(C98&gt;=200%,C97*60%-C88*35%,IF(C98&gt;=100%,C97*50%-C88*15%,IF(C98&gt;=50%,C97*40%-C88*5%,IF(C98&lt;50%,C97*30%,0))))),0)</f>
        <v>310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60" t="s">
        <v>1630</v>
      </c>
      <c r="B101" s="3461"/>
      <c r="C101" s="3461"/>
      <c r="D101" s="3462"/>
      <c r="E101" s="1389"/>
      <c r="F101" s="3557" t="s">
        <v>2532</v>
      </c>
      <c r="G101" s="3558"/>
      <c r="H101" s="3558"/>
      <c r="I101" s="3559"/>
      <c r="J101" s="2799"/>
    </row>
    <row r="102" spans="1:36" ht="15">
      <c r="A102" s="3477" t="s">
        <v>1632</v>
      </c>
      <c r="B102" s="3478"/>
      <c r="C102" s="2722" t="str">
        <f>C4</f>
        <v>比较法-商业</v>
      </c>
      <c r="D102" s="2723" t="str">
        <f>D4</f>
        <v>收益法</v>
      </c>
      <c r="E102" s="1389"/>
      <c r="F102" s="3479" t="s">
        <v>2533</v>
      </c>
      <c r="G102" s="3481"/>
      <c r="H102" s="3492" t="s">
        <v>2534</v>
      </c>
      <c r="I102" s="3480"/>
      <c r="J102" s="2779"/>
    </row>
    <row r="103" spans="1:36" ht="12.75">
      <c r="A103" s="3563" t="s">
        <v>2528</v>
      </c>
      <c r="B103" s="2235" t="str">
        <f>IF(H19="元","总价（元）","总价（万元）")</f>
        <v>总价（万元）</v>
      </c>
      <c r="C103" s="1235">
        <f ca="1">C19</f>
        <v>183</v>
      </c>
      <c r="D103" s="2726">
        <f ca="1">D19</f>
        <v>89</v>
      </c>
      <c r="E103" s="1389"/>
      <c r="F103" s="3564"/>
      <c r="G103" s="3565"/>
      <c r="H103" s="3483">
        <f>典型户型修正!B25</f>
        <v>829.41000000000008</v>
      </c>
      <c r="I103" s="3480"/>
      <c r="J103" s="2779"/>
    </row>
    <row r="104" spans="1:36" ht="12.75">
      <c r="A104" s="3563"/>
      <c r="B104" s="2235" t="s">
        <v>2529</v>
      </c>
      <c r="C104" s="2727">
        <f ca="1">C20</f>
        <v>13106</v>
      </c>
      <c r="D104" s="2728">
        <f ca="1">D20</f>
        <v>6339</v>
      </c>
      <c r="E104" s="1389"/>
      <c r="F104" s="3466" t="s">
        <v>2535</v>
      </c>
      <c r="G104" s="3467"/>
      <c r="H104" s="2736" t="str">
        <f>C110</f>
        <v>总价（万元）</v>
      </c>
      <c r="I104" s="2737">
        <f ca="1">H125</f>
        <v>547</v>
      </c>
      <c r="J104" s="2779"/>
    </row>
    <row r="105" spans="1:36" ht="12.75">
      <c r="A105" s="3563" t="s">
        <v>2530</v>
      </c>
      <c r="B105" s="2173" t="str">
        <f>B103</f>
        <v>总价（万元）</v>
      </c>
      <c r="C105" s="12">
        <f ca="1">ROUND(IF('数据-取费表'!B4="总价",G19,IF(H19="元",G20*'数据-取费表'!E5,G20*'数据-取费表'!E5/10000)),0)</f>
        <v>146</v>
      </c>
      <c r="D105" s="2729"/>
      <c r="E105" s="1389"/>
      <c r="F105" s="3466"/>
      <c r="G105" s="3467"/>
      <c r="H105" s="2736" t="s">
        <v>2536</v>
      </c>
      <c r="I105" s="52">
        <f ca="1">I125</f>
        <v>6595</v>
      </c>
      <c r="J105" s="2763"/>
    </row>
    <row r="106" spans="1:36" ht="12.75">
      <c r="A106" s="3563"/>
      <c r="B106" s="2235" t="s">
        <v>2529</v>
      </c>
      <c r="C106" s="1409">
        <f ca="1">ROUND(IF('数据-取费表'!B4="楼面单价",G20,IF(H19="元",G19/'数据-取费表'!E5,G19*10000/'数据-取费表'!E5)),0)</f>
        <v>10399</v>
      </c>
      <c r="D106" s="2729"/>
      <c r="E106" s="1389"/>
      <c r="F106" s="3466"/>
      <c r="G106" s="3467"/>
      <c r="H106" s="3498"/>
      <c r="I106" s="3499"/>
      <c r="J106" s="2780"/>
    </row>
    <row r="107" spans="1:36" ht="12.75">
      <c r="A107" s="3570" t="s">
        <v>2531</v>
      </c>
      <c r="B107" s="2730" t="str">
        <f>B103</f>
        <v>总价（万元）</v>
      </c>
      <c r="C107" s="2731">
        <f ca="1">H125</f>
        <v>547</v>
      </c>
      <c r="D107" s="2732"/>
      <c r="E107" s="1389"/>
      <c r="F107" s="3502" t="s">
        <v>2537</v>
      </c>
      <c r="G107" s="3503"/>
      <c r="H107" s="2738" t="str">
        <f>C112</f>
        <v>总额（万元）</v>
      </c>
      <c r="I107" s="2737">
        <f>SUMIF(I108:I110,"&lt;9E307")</f>
        <v>0</v>
      </c>
      <c r="J107" s="2779"/>
    </row>
    <row r="108" spans="1:36" ht="15" thickBot="1">
      <c r="A108" s="3497"/>
      <c r="B108" s="2733" t="s">
        <v>2529</v>
      </c>
      <c r="C108" s="2734">
        <f ca="1">I125</f>
        <v>6595</v>
      </c>
      <c r="D108" s="2735"/>
      <c r="E108" s="1389"/>
      <c r="F108" s="3468" t="s">
        <v>2538</v>
      </c>
      <c r="G108" s="3469"/>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本次评估不存在房地产。</v>
      </c>
      <c r="M108" s="1389"/>
      <c r="N108" s="1389"/>
      <c r="O108" s="1389"/>
      <c r="P108" s="1389"/>
      <c r="Q108" s="1389"/>
    </row>
    <row r="109" spans="1:36" ht="15">
      <c r="A109" s="3566" t="s">
        <v>1633</v>
      </c>
      <c r="B109" s="3567"/>
      <c r="C109" s="3567"/>
      <c r="D109" s="3568"/>
      <c r="E109" s="1389"/>
      <c r="F109" s="3468" t="s">
        <v>2539</v>
      </c>
      <c r="G109" s="3469"/>
      <c r="H109" s="2738" t="str">
        <f>C114</f>
        <v>总额（万元）</v>
      </c>
      <c r="I109" s="52">
        <f>C39</f>
        <v>0</v>
      </c>
      <c r="J109" s="2763"/>
    </row>
    <row r="110" spans="1:36" ht="12.75">
      <c r="A110" s="3466" t="s">
        <v>2542</v>
      </c>
      <c r="B110" s="3467"/>
      <c r="C110" s="2736" t="str">
        <f>B103</f>
        <v>总价（万元）</v>
      </c>
      <c r="D110" s="2737">
        <f ca="1">H125</f>
        <v>547</v>
      </c>
      <c r="E110" s="1389"/>
      <c r="F110" s="3468" t="s">
        <v>2540</v>
      </c>
      <c r="G110" s="3469"/>
      <c r="H110" s="2738" t="str">
        <f>C115</f>
        <v>总额（万元）</v>
      </c>
      <c r="I110" s="52">
        <f>C40</f>
        <v>0</v>
      </c>
      <c r="J110" s="2763"/>
    </row>
    <row r="111" spans="1:36" ht="12.75">
      <c r="A111" s="3466"/>
      <c r="B111" s="3467"/>
      <c r="C111" s="2736" t="s">
        <v>2543</v>
      </c>
      <c r="D111" s="52">
        <f ca="1">I125</f>
        <v>6595</v>
      </c>
      <c r="E111" s="1389"/>
      <c r="F111" s="3466"/>
      <c r="G111" s="3467"/>
      <c r="H111" s="3500"/>
      <c r="I111" s="3501"/>
      <c r="J111" s="2781"/>
    </row>
    <row r="112" spans="1:36" ht="28.5" customHeight="1">
      <c r="A112" s="3537" t="s">
        <v>2537</v>
      </c>
      <c r="B112" s="3538"/>
      <c r="C112" s="2738" t="str">
        <f>IF(H19="元","总额（元）","总额（万元）")</f>
        <v>总额（万元）</v>
      </c>
      <c r="D112" s="2737">
        <f>IF(D38="正常操作",I108+I109+I110,I109+I110)</f>
        <v>0</v>
      </c>
      <c r="E112" s="1389"/>
      <c r="F112" s="3449" t="str">
        <f>IF(项目基本情况!F5="已注销","——","3.房地产抵押价值")</f>
        <v>3.房地产抵押价值</v>
      </c>
      <c r="G112" s="3450"/>
      <c r="H112" s="1409" t="str">
        <f>C116</f>
        <v>总价（万元）</v>
      </c>
      <c r="I112" s="2737">
        <f ca="1">IF(F112="——","——",I104-I107)</f>
        <v>547</v>
      </c>
      <c r="J112" s="2779"/>
    </row>
    <row r="113" spans="1:27" ht="12.75">
      <c r="A113" s="3468" t="s">
        <v>2544</v>
      </c>
      <c r="B113" s="3469"/>
      <c r="C113" s="2738" t="str">
        <f>C112</f>
        <v>总额（万元）</v>
      </c>
      <c r="D113" s="52">
        <f>IF(D38="同一抵押权人同一抵押物续贷",C38&amp;"（未扣减，详见特别提示）",C38)</f>
        <v>0</v>
      </c>
      <c r="E113" s="1389"/>
      <c r="F113" s="3451"/>
      <c r="G113" s="3452"/>
      <c r="H113" s="2736" t="s">
        <v>2536</v>
      </c>
      <c r="I113" s="2740">
        <f ca="1">D117</f>
        <v>6595</v>
      </c>
      <c r="J113" s="2782"/>
    </row>
    <row r="114" spans="1:27" ht="12.75">
      <c r="A114" s="3468" t="s">
        <v>2545</v>
      </c>
      <c r="B114" s="3469"/>
      <c r="C114" s="2738" t="str">
        <f>C112</f>
        <v>总额（万元）</v>
      </c>
      <c r="D114" s="52">
        <f>C39</f>
        <v>0</v>
      </c>
      <c r="E114" s="1389"/>
      <c r="F114" s="3449" t="str">
        <f>IF(项目基本情况!F5="已注销及未注销","4.抵押担保权已注销时的房地产抵押价值",IF(项目基本情况!F5="已注销","3.抵押担保权已注销时的房地产抵押价值","——"))</f>
        <v>——</v>
      </c>
      <c r="G114" s="3450"/>
      <c r="H114" s="1409" t="str">
        <f>C118</f>
        <v>总价（万元）</v>
      </c>
      <c r="I114" s="2737" t="str">
        <f>IF(F114="——","——",I104-I109-I110)</f>
        <v>——</v>
      </c>
      <c r="J114" s="2779"/>
    </row>
    <row r="115" spans="1:27" ht="12.75">
      <c r="A115" s="3468" t="s">
        <v>2546</v>
      </c>
      <c r="B115" s="3469"/>
      <c r="C115" s="2738" t="str">
        <f>C112</f>
        <v>总额（万元）</v>
      </c>
      <c r="D115" s="52">
        <f>C40</f>
        <v>0</v>
      </c>
      <c r="E115" s="1389"/>
      <c r="F115" s="3451"/>
      <c r="G115" s="3452"/>
      <c r="H115" s="2736" t="s">
        <v>2536</v>
      </c>
      <c r="I115" s="52" t="str">
        <f>D119</f>
        <v>——</v>
      </c>
      <c r="J115" s="2763"/>
    </row>
    <row r="116" spans="1:27" ht="12.75">
      <c r="A116" s="3466" t="str">
        <f>IF(项目基本情况!F5="已注销","——","3.房地产抵押价值")</f>
        <v>3.房地产抵押价值</v>
      </c>
      <c r="B116" s="3467"/>
      <c r="C116" s="2736" t="str">
        <f>B103</f>
        <v>总价（万元）</v>
      </c>
      <c r="D116" s="2737">
        <f ca="1">IF(A116="——","——",D110-D112)</f>
        <v>547</v>
      </c>
      <c r="E116" s="1389"/>
      <c r="F116" s="3449" t="str">
        <f>IF(项目基本情况!G5="抵押净值",IF(OR(项目基本情况!F5="已注销",项目基本情况!F5="房地产抵押价值"),"4.抵押净值","5.抵押净值"),"——")</f>
        <v>——</v>
      </c>
      <c r="G116" s="3450"/>
      <c r="H116" s="2736" t="str">
        <f>C120</f>
        <v>总价（万元）</v>
      </c>
      <c r="I116" s="2737" t="str">
        <f>IF(F116="——","——",O61)</f>
        <v>——</v>
      </c>
      <c r="J116" s="2779"/>
    </row>
    <row r="117" spans="1:27" ht="13.5" thickBot="1">
      <c r="A117" s="3466"/>
      <c r="B117" s="3467"/>
      <c r="C117" s="2736" t="s">
        <v>2543</v>
      </c>
      <c r="D117" s="52">
        <f ca="1">ROUND(IF(D116=D110,D111,IF(H19="元",D116/B125,D116*10000/B125)),0)</f>
        <v>6595</v>
      </c>
      <c r="E117" s="1389"/>
      <c r="F117" s="3529"/>
      <c r="G117" s="3530"/>
      <c r="H117" s="2741" t="s">
        <v>2536</v>
      </c>
      <c r="I117" s="2725" t="str">
        <f ca="1">D121</f>
        <v>——</v>
      </c>
      <c r="J117" s="2763"/>
    </row>
    <row r="118" spans="1:27" ht="15.75">
      <c r="A118" s="3466" t="str">
        <f>IF(项目基本情况!F5="已注销及未注销","4.抵押担保权已注销时的房地产抵押价值",IF(项目基本情况!F5="已注销","3.抵押担保权已注销时的房地产抵押价值","——"))</f>
        <v>——</v>
      </c>
      <c r="B118" s="3467"/>
      <c r="C118" s="2736" t="str">
        <f>B103</f>
        <v>总价（万元）</v>
      </c>
      <c r="D118" s="2737" t="str">
        <f>IF(A118="——","——",D110-D114-D115)</f>
        <v>——</v>
      </c>
      <c r="E118" s="1389"/>
      <c r="F118" s="3444"/>
      <c r="G118" s="3444"/>
      <c r="H118" s="3485"/>
      <c r="I118" s="3485"/>
      <c r="J118" s="2783"/>
      <c r="O118" s="32"/>
      <c r="P118" s="32"/>
    </row>
    <row r="119" spans="1:27" s="1236" customFormat="1" ht="12.75">
      <c r="A119" s="3466"/>
      <c r="B119" s="3467"/>
      <c r="C119" s="2736" t="s">
        <v>2543</v>
      </c>
      <c r="D119" s="52" t="str">
        <f>IF(A118="——","——",IF(H19="元",ROUND(D118/B125,0),ROUND(D118*10000/B125,0)))</f>
        <v>——</v>
      </c>
      <c r="E119" s="1389"/>
      <c r="F119" s="3569" t="str">
        <f>IF(B33="总价","（以上估价结果中楼面单价为总价除以建筑面积得出）","（以上估价结果中总价为楼面单价乘以建筑面积得出）")</f>
        <v>（以上估价结果中总价为楼面单价乘以建筑面积得出）</v>
      </c>
      <c r="G119" s="3569"/>
      <c r="H119" s="3569"/>
      <c r="I119" s="3569"/>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6" t="str">
        <f>IF(项目基本情况!G5="抵押净值",IF(OR(项目基本情况!F5="已注销",项目基本情况!F5="房地产抵押价值"),"4.抵押净值","5.抵押净值"),"——")</f>
        <v>——</v>
      </c>
      <c r="B120" s="3467"/>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5"/>
      <c r="B121" s="3536"/>
      <c r="C121" s="2741" t="s">
        <v>2543</v>
      </c>
      <c r="D121" s="2725" t="str">
        <f ca="1">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6" t="s">
        <v>1672</v>
      </c>
      <c r="B122" s="3487"/>
      <c r="C122" s="3487"/>
      <c r="D122" s="3487"/>
      <c r="E122" s="3487"/>
      <c r="F122" s="3487"/>
      <c r="G122" s="3487"/>
      <c r="H122" s="3487"/>
      <c r="I122" s="3487"/>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9" t="s">
        <v>2547</v>
      </c>
      <c r="B123" s="3457" t="s">
        <v>2548</v>
      </c>
      <c r="C123" s="3457" t="s">
        <v>2554</v>
      </c>
      <c r="D123" s="3464" t="s">
        <v>2549</v>
      </c>
      <c r="E123" s="3465"/>
      <c r="F123" s="3455" t="s">
        <v>2555</v>
      </c>
      <c r="G123" s="3455"/>
      <c r="H123" s="3455" t="s">
        <v>2550</v>
      </c>
      <c r="I123" s="3456"/>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9"/>
      <c r="B124" s="3458"/>
      <c r="C124" s="3458"/>
      <c r="D124" s="2020" t="s">
        <v>2551</v>
      </c>
      <c r="E124" s="2020" t="s">
        <v>2556</v>
      </c>
      <c r="F124" s="2020" t="s">
        <v>2551</v>
      </c>
      <c r="G124" s="2020" t="s">
        <v>2552</v>
      </c>
      <c r="H124" s="2020" t="s">
        <v>2551</v>
      </c>
      <c r="I124" s="52" t="s">
        <v>2552</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房地产</v>
      </c>
      <c r="B125" s="2020">
        <f>典型户型修正!B25</f>
        <v>829.41000000000008</v>
      </c>
      <c r="C125" s="1384"/>
      <c r="D125" s="2020">
        <f>C36</f>
        <v>0</v>
      </c>
      <c r="E125" s="2020">
        <f>ROUND(IF(H19="元",D125/B125,D125*10000/B125),0)</f>
        <v>0</v>
      </c>
      <c r="F125" s="2020">
        <f>C37</f>
        <v>0</v>
      </c>
      <c r="G125" s="2020">
        <f>ROUND(IF(H19="元",F125/B125,F125*10000/B125),0)</f>
        <v>0</v>
      </c>
      <c r="H125" s="2020">
        <f ca="1">C34</f>
        <v>547</v>
      </c>
      <c r="I125" s="52">
        <f ca="1">C35</f>
        <v>6595</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9" t="s">
        <v>2553</v>
      </c>
      <c r="B126" s="3455"/>
      <c r="C126" s="3455"/>
      <c r="D126" s="3490" t="str">
        <f>IF(H19="元",NUMBERSTRING(INT(D125),2)&amp;"元整",NUMBERSTRING(INT(D125*10000),2)&amp;"元整")</f>
        <v>零元整</v>
      </c>
      <c r="E126" s="3491"/>
      <c r="F126" s="3490" t="str">
        <f>IF(H19="元",NUMBERSTRING(INT(F125),2)&amp;"元整",NUMBERSTRING(INT(F125*10000),2)&amp;"元整")</f>
        <v>零元整</v>
      </c>
      <c r="G126" s="3491"/>
      <c r="H126" s="3490" t="str">
        <f ca="1">IF(H19="元",NUMBERSTRING(INT(H125),2)&amp;"元整",NUMBERSTRING(INT(H125*10000),2)&amp;"元整")</f>
        <v>伍佰肆拾柒万元整</v>
      </c>
      <c r="I126" s="3539"/>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9" t="str">
        <f>IF(项目基本情况!D5="房地产市场价值","——",MID(A112,3,LEN(A112)-2))</f>
        <v>估价师所知悉的法定优先受偿款</v>
      </c>
      <c r="B127" s="3492"/>
      <c r="C127" s="3481"/>
      <c r="D127" s="3483">
        <f>I107</f>
        <v>0</v>
      </c>
      <c r="E127" s="3492"/>
      <c r="F127" s="3492"/>
      <c r="G127" s="3492"/>
      <c r="H127" s="3492"/>
      <c r="I127" s="3480"/>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3" t="s">
        <v>2553</v>
      </c>
      <c r="B128" s="3494"/>
      <c r="C128" s="3495"/>
      <c r="D128" s="3531">
        <f>H111</f>
        <v>0</v>
      </c>
      <c r="E128" s="3532"/>
      <c r="F128" s="3532"/>
      <c r="G128" s="3532"/>
      <c r="H128" s="3532"/>
      <c r="I128" s="3533"/>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6" t="str">
        <f>IF(项目基本情况!D5="房地产市场价值","——",MID(A116,3,LEN(A116)-2))</f>
        <v>房地产抵押价值</v>
      </c>
      <c r="B129" s="3467"/>
      <c r="C129" s="3467"/>
      <c r="D129" s="3483">
        <f ca="1">I112</f>
        <v>547</v>
      </c>
      <c r="E129" s="3492"/>
      <c r="F129" s="3492"/>
      <c r="G129" s="3492"/>
      <c r="H129" s="3492"/>
      <c r="I129" s="3480"/>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9" t="s">
        <v>2553</v>
      </c>
      <c r="B130" s="3455"/>
      <c r="C130" s="3455"/>
      <c r="D130" s="3531">
        <f ca="1">I113</f>
        <v>6595</v>
      </c>
      <c r="E130" s="3532"/>
      <c r="F130" s="3532"/>
      <c r="G130" s="3532"/>
      <c r="H130" s="3532"/>
      <c r="I130" s="3533"/>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6" t="str">
        <f>IF(项目基本情况!D5="房地产市场价值","——",MID(A118,3,LEN(A118)-2))</f>
        <v/>
      </c>
      <c r="B131" s="3467"/>
      <c r="C131" s="3467"/>
      <c r="D131" s="3439" t="str">
        <f>I114</f>
        <v>——</v>
      </c>
      <c r="E131" s="3440"/>
      <c r="F131" s="3440"/>
      <c r="G131" s="3440"/>
      <c r="H131" s="3440"/>
      <c r="I131" s="3441"/>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9" t="s">
        <v>2553</v>
      </c>
      <c r="B132" s="3455"/>
      <c r="C132" s="3506"/>
      <c r="D132" s="3484" t="str">
        <f>I115</f>
        <v>——</v>
      </c>
      <c r="E132" s="3484"/>
      <c r="F132" s="3484"/>
      <c r="G132" s="3484"/>
      <c r="H132" s="3484"/>
      <c r="I132" s="3484"/>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6" t="str">
        <f>IF(项目基本情况!D5="房地产市场价值","——",MID(F116,3,LEN(F116)-2))</f>
        <v/>
      </c>
      <c r="B133" s="3467"/>
      <c r="C133" s="3483"/>
      <c r="D133" s="3534" t="str">
        <f>I116</f>
        <v>——</v>
      </c>
      <c r="E133" s="3534"/>
      <c r="F133" s="3534"/>
      <c r="G133" s="3534"/>
      <c r="H133" s="3534"/>
      <c r="I133" s="3534"/>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2" t="s">
        <v>2553</v>
      </c>
      <c r="B134" s="3523"/>
      <c r="C134" s="3523"/>
      <c r="D134" s="3540">
        <f>H118</f>
        <v>0</v>
      </c>
      <c r="E134" s="3541"/>
      <c r="F134" s="3541"/>
      <c r="G134" s="3541"/>
      <c r="H134" s="3541"/>
      <c r="I134" s="3542"/>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7" t="str">
        <f>IF(B33="总价","（以上估价结果中楼面单价为总价除以建筑面积得出）","（以上估价结果中总价为楼面单价乘以建筑面积得出）")</f>
        <v>（以上估价结果中总价为楼面单价乘以建筑面积得出）</v>
      </c>
      <c r="B136" s="3527"/>
      <c r="C136" s="3527"/>
      <c r="D136" s="3527"/>
      <c r="E136" s="3527"/>
      <c r="F136" s="3527"/>
      <c r="G136" s="3527"/>
      <c r="H136" s="3527"/>
      <c r="I136" s="3527"/>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9" zoomScale="90" zoomScaleNormal="70" zoomScaleSheetLayoutView="90" workbookViewId="0">
      <selection activeCell="H38" sqref="H3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t="s">
        <v>3032</v>
      </c>
      <c r="D1" s="2388"/>
      <c r="E1" s="1569" t="s">
        <v>2500</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183</v>
      </c>
      <c r="C2" s="1579" t="str">
        <f>'数据-取费表'!B3</f>
        <v>万元</v>
      </c>
      <c r="D2" s="1580" t="s">
        <v>1001</v>
      </c>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13106</v>
      </c>
      <c r="C3" s="1588" t="s">
        <v>2004</v>
      </c>
      <c r="D3" s="1588">
        <f>IF(C1="仅计算典型户型",'数据-取费表'!E5,'数据-取费表'!B5)</f>
        <v>139.96</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2005</v>
      </c>
      <c r="B4" s="1592"/>
      <c r="C4" s="3584" t="s">
        <v>2006</v>
      </c>
      <c r="D4" s="3585"/>
      <c r="E4" s="3586" t="s">
        <v>2007</v>
      </c>
      <c r="F4" s="3587"/>
      <c r="G4" s="3584" t="s">
        <v>2008</v>
      </c>
      <c r="H4" s="3585"/>
      <c r="I4" s="3584" t="s">
        <v>2009</v>
      </c>
      <c r="J4" s="3585"/>
      <c r="K4" s="1894" t="s">
        <v>2010</v>
      </c>
      <c r="L4" s="2914"/>
      <c r="M4" s="2915"/>
      <c r="N4" s="2915"/>
      <c r="O4" s="2915"/>
      <c r="P4" s="3588" t="s">
        <v>2011</v>
      </c>
      <c r="Q4" s="3589"/>
      <c r="R4" s="3594" t="s">
        <v>2007</v>
      </c>
      <c r="S4" s="3595"/>
      <c r="T4" s="3594" t="s">
        <v>2008</v>
      </c>
      <c r="U4" s="3595"/>
      <c r="V4" s="3600" t="s">
        <v>2009</v>
      </c>
      <c r="W4" s="3600"/>
      <c r="X4" s="2003"/>
      <c r="Y4" s="3594" t="s">
        <v>2011</v>
      </c>
      <c r="Z4" s="3595"/>
      <c r="AA4" s="3581" t="s">
        <v>2007</v>
      </c>
      <c r="AB4" s="3600" t="s">
        <v>2008</v>
      </c>
      <c r="AC4" s="3581" t="s">
        <v>2009</v>
      </c>
    </row>
    <row r="5" spans="1:29" ht="15">
      <c r="A5" s="1596"/>
      <c r="B5" s="1597"/>
      <c r="C5" s="3603" t="s">
        <v>2012</v>
      </c>
      <c r="D5" s="3578"/>
      <c r="E5" s="3601" t="s">
        <v>3062</v>
      </c>
      <c r="F5" s="3602"/>
      <c r="G5" s="3577" t="s">
        <v>3101</v>
      </c>
      <c r="H5" s="3578"/>
      <c r="I5" s="3577" t="s">
        <v>3102</v>
      </c>
      <c r="J5" s="3578"/>
      <c r="K5" s="1894"/>
      <c r="L5" s="2914"/>
      <c r="M5" s="2915"/>
      <c r="N5" s="2915"/>
      <c r="O5" s="2915"/>
      <c r="P5" s="3590"/>
      <c r="Q5" s="3591"/>
      <c r="R5" s="3596"/>
      <c r="S5" s="3597"/>
      <c r="T5" s="3596"/>
      <c r="U5" s="3597"/>
      <c r="V5" s="3600"/>
      <c r="W5" s="3600"/>
      <c r="X5" s="2003"/>
      <c r="Y5" s="3596"/>
      <c r="Z5" s="3597"/>
      <c r="AA5" s="3582"/>
      <c r="AB5" s="3600"/>
      <c r="AC5" s="3582"/>
    </row>
    <row r="6" spans="1:29" ht="15.75" thickBot="1">
      <c r="A6" s="1599"/>
      <c r="B6" s="1600"/>
      <c r="C6" s="3574" t="s">
        <v>2016</v>
      </c>
      <c r="D6" s="3575"/>
      <c r="E6" s="3572" t="s">
        <v>2016</v>
      </c>
      <c r="F6" s="3573"/>
      <c r="G6" s="3574" t="s">
        <v>2016</v>
      </c>
      <c r="H6" s="3575"/>
      <c r="I6" s="3574" t="s">
        <v>2016</v>
      </c>
      <c r="J6" s="3575"/>
      <c r="K6" s="1894" t="s">
        <v>2017</v>
      </c>
      <c r="L6" s="2914"/>
      <c r="M6" s="2915"/>
      <c r="N6" s="2915"/>
      <c r="O6" s="2915"/>
      <c r="P6" s="3592"/>
      <c r="Q6" s="3593"/>
      <c r="R6" s="3596"/>
      <c r="S6" s="3597"/>
      <c r="T6" s="3598"/>
      <c r="U6" s="3599"/>
      <c r="V6" s="3600"/>
      <c r="W6" s="3600"/>
      <c r="X6" s="2003"/>
      <c r="Y6" s="3598"/>
      <c r="Z6" s="3599"/>
      <c r="AA6" s="3583"/>
      <c r="AB6" s="3600"/>
      <c r="AC6" s="3583"/>
    </row>
    <row r="7" spans="1:29" s="1613" customFormat="1" ht="15.75" thickBot="1">
      <c r="A7" s="1601" t="s">
        <v>2018</v>
      </c>
      <c r="B7" s="1602"/>
      <c r="C7" s="1603">
        <f>'数据-取费表'!B2</f>
        <v>44776</v>
      </c>
      <c r="D7" s="1604">
        <v>100</v>
      </c>
      <c r="E7" s="1605">
        <f>C7</f>
        <v>44776</v>
      </c>
      <c r="F7" s="1606">
        <f>SUMIF(58:58,YEAR(E7)&amp;"-"&amp;MONTH(E7),59:59)</f>
        <v>100</v>
      </c>
      <c r="G7" s="1605">
        <f>C7</f>
        <v>44776</v>
      </c>
      <c r="H7" s="1604">
        <f>SUMIF(58:58,YEAR(G7)&amp;"-"&amp;MONTH(G7),59:59)</f>
        <v>100</v>
      </c>
      <c r="I7" s="1605">
        <f>C7</f>
        <v>44776</v>
      </c>
      <c r="J7" s="1604">
        <f>SUMIF(58:58,YEAR(I7)&amp;"-"&amp;MONTH(I7),59:59)</f>
        <v>100</v>
      </c>
      <c r="K7" s="1896"/>
      <c r="L7" s="2914"/>
      <c r="M7" s="2887"/>
      <c r="N7" s="2887"/>
      <c r="O7" s="2887"/>
      <c r="P7" s="3579" t="s">
        <v>2019</v>
      </c>
      <c r="Q7" s="3604"/>
      <c r="R7" s="1609" t="s">
        <v>25</v>
      </c>
      <c r="S7" s="1610">
        <f t="shared" ref="S7:S15" si="0">F7</f>
        <v>100</v>
      </c>
      <c r="T7" s="1609" t="s">
        <v>25</v>
      </c>
      <c r="U7" s="1610">
        <f t="shared" ref="U7:U15" si="1">H7</f>
        <v>100</v>
      </c>
      <c r="V7" s="1609" t="s">
        <v>25</v>
      </c>
      <c r="W7" s="1610">
        <f t="shared" ref="W7:W15" si="2">J7</f>
        <v>100</v>
      </c>
      <c r="X7" s="1611"/>
      <c r="Y7" s="3579" t="s">
        <v>2019</v>
      </c>
      <c r="Z7" s="3580"/>
      <c r="AA7" s="1612">
        <f>D7/F7</f>
        <v>1</v>
      </c>
      <c r="AB7" s="1612">
        <f>D7/H7</f>
        <v>1</v>
      </c>
      <c r="AC7" s="1612">
        <f>D7/J7</f>
        <v>1</v>
      </c>
    </row>
    <row r="8" spans="1:29" s="1613" customFormat="1" ht="15.75" thickBot="1">
      <c r="A8" s="1601" t="s">
        <v>2020</v>
      </c>
      <c r="B8" s="1602"/>
      <c r="C8" s="1614" t="s">
        <v>2021</v>
      </c>
      <c r="D8" s="1604">
        <v>100</v>
      </c>
      <c r="E8" s="1614" t="s">
        <v>2626</v>
      </c>
      <c r="F8" s="1606">
        <f>SUMIF(61:61,E8,62:62)-SUMIF(61:61,C8,62:62)+100</f>
        <v>100</v>
      </c>
      <c r="G8" s="1614" t="s">
        <v>2626</v>
      </c>
      <c r="H8" s="1604">
        <f>SUMIF(61:61,G8,62:62)-SUMIF(61:61,C8,62:62)+100</f>
        <v>100</v>
      </c>
      <c r="I8" s="1614" t="s">
        <v>2626</v>
      </c>
      <c r="J8" s="1604">
        <f>SUMIF(61:61,I8,62:62)-SUMIF(61:61,C8,62:62)+100</f>
        <v>100</v>
      </c>
      <c r="K8" s="1896"/>
      <c r="L8" s="2914"/>
      <c r="M8" s="2887"/>
      <c r="N8" s="2887"/>
      <c r="O8" s="2887"/>
      <c r="P8" s="3579" t="s">
        <v>2022</v>
      </c>
      <c r="Q8" s="3580"/>
      <c r="R8" s="1609" t="s">
        <v>25</v>
      </c>
      <c r="S8" s="1610">
        <f t="shared" si="0"/>
        <v>100</v>
      </c>
      <c r="T8" s="1609" t="s">
        <v>25</v>
      </c>
      <c r="U8" s="1610">
        <f t="shared" si="1"/>
        <v>100</v>
      </c>
      <c r="V8" s="1609" t="s">
        <v>25</v>
      </c>
      <c r="W8" s="1610">
        <f t="shared" si="2"/>
        <v>100</v>
      </c>
      <c r="X8" s="1611"/>
      <c r="Y8" s="3579" t="s">
        <v>2022</v>
      </c>
      <c r="Z8" s="3580"/>
      <c r="AA8" s="1612">
        <f t="shared" ref="AA8:AA46" si="3">D8/F8</f>
        <v>1</v>
      </c>
      <c r="AB8" s="1612">
        <f t="shared" ref="AB8:AB46" si="4">D8/H8</f>
        <v>1</v>
      </c>
      <c r="AC8" s="1612">
        <f t="shared" ref="AC8:AC46" si="5">D8/J8</f>
        <v>1</v>
      </c>
    </row>
    <row r="9" spans="1:29" s="1613" customFormat="1">
      <c r="A9" s="1995" t="s">
        <v>2023</v>
      </c>
      <c r="B9" s="1616" t="s">
        <v>2024</v>
      </c>
      <c r="C9" s="3336" t="s">
        <v>3061</v>
      </c>
      <c r="D9" s="1618">
        <v>100</v>
      </c>
      <c r="E9" s="1619" t="s">
        <v>3025</v>
      </c>
      <c r="F9" s="1620">
        <f>SUMIF(63:63,E9,64:64)-SUMIF(63:63,C9,64:64)+100</f>
        <v>100</v>
      </c>
      <c r="G9" s="1619" t="s">
        <v>3025</v>
      </c>
      <c r="H9" s="1618">
        <f>SUMIF(63:63,G9,64:64)-SUMIF(63:63,C9,64:64)+100</f>
        <v>100</v>
      </c>
      <c r="I9" s="1619" t="s">
        <v>3025</v>
      </c>
      <c r="J9" s="1618">
        <f>SUMIF(63:63,I9,64:64)-SUMIF(63:63,C9,64:64)+100</f>
        <v>100</v>
      </c>
      <c r="K9" s="1896"/>
      <c r="L9" s="2914"/>
      <c r="M9" s="2887"/>
      <c r="N9" s="2887"/>
      <c r="O9" s="2887"/>
      <c r="P9" s="3576" t="s">
        <v>2025</v>
      </c>
      <c r="Q9" s="1994" t="str">
        <f t="shared" ref="Q9:Q15" si="6">B9</f>
        <v>用途</v>
      </c>
      <c r="R9" s="1609" t="s">
        <v>25</v>
      </c>
      <c r="S9" s="1610">
        <f t="shared" si="0"/>
        <v>100</v>
      </c>
      <c r="T9" s="1609" t="s">
        <v>25</v>
      </c>
      <c r="U9" s="1610">
        <f t="shared" si="1"/>
        <v>100</v>
      </c>
      <c r="V9" s="1609" t="s">
        <v>25</v>
      </c>
      <c r="W9" s="1610">
        <f t="shared" si="2"/>
        <v>100</v>
      </c>
      <c r="X9" s="1611"/>
      <c r="Y9" s="3505" t="s">
        <v>2026</v>
      </c>
      <c r="Z9" s="1622" t="str">
        <f t="shared" ref="Z9:Z15" si="7">Q9</f>
        <v>用途</v>
      </c>
      <c r="AA9" s="1612">
        <f t="shared" si="3"/>
        <v>1</v>
      </c>
      <c r="AB9" s="1612">
        <f t="shared" si="4"/>
        <v>1</v>
      </c>
      <c r="AC9" s="1612">
        <f t="shared" si="5"/>
        <v>1</v>
      </c>
    </row>
    <row r="10" spans="1:29" s="1630" customFormat="1" ht="27">
      <c r="A10" s="1623"/>
      <c r="B10" s="1624" t="s">
        <v>2027</v>
      </c>
      <c r="C10" s="1625" t="s">
        <v>3063</v>
      </c>
      <c r="D10" s="1626">
        <v>100</v>
      </c>
      <c r="E10" s="1627" t="s">
        <v>3063</v>
      </c>
      <c r="F10" s="1628">
        <f>SUMIF(65:65,E10,66:66)-SUMIF(65:65,C10,66:66)+100</f>
        <v>100</v>
      </c>
      <c r="G10" s="1625" t="s">
        <v>3063</v>
      </c>
      <c r="H10" s="1626">
        <f>SUMIF(65:65,G10,66:66)-SUMIF(65:65,C10,66:66)+100</f>
        <v>100</v>
      </c>
      <c r="I10" s="1625" t="s">
        <v>3103</v>
      </c>
      <c r="J10" s="1626">
        <f>SUMIF(65:65,I10,66:66)-SUMIF(65:65,C10,66:66)+100</f>
        <v>102</v>
      </c>
      <c r="K10" s="1921">
        <v>2</v>
      </c>
      <c r="L10" s="2916"/>
      <c r="M10" s="2917"/>
      <c r="N10" s="2917"/>
      <c r="O10" s="2917"/>
      <c r="P10" s="3576"/>
      <c r="Q10" s="1994" t="str">
        <f t="shared" si="6"/>
        <v>土地使用年限（年）</v>
      </c>
      <c r="R10" s="1609" t="s">
        <v>25</v>
      </c>
      <c r="S10" s="1610">
        <f t="shared" si="0"/>
        <v>100</v>
      </c>
      <c r="T10" s="1609" t="s">
        <v>25</v>
      </c>
      <c r="U10" s="1610">
        <f t="shared" si="1"/>
        <v>100</v>
      </c>
      <c r="V10" s="1609" t="s">
        <v>25</v>
      </c>
      <c r="W10" s="1610">
        <f t="shared" si="2"/>
        <v>102</v>
      </c>
      <c r="X10" s="1611"/>
      <c r="Y10" s="3505"/>
      <c r="Z10" s="1622" t="str">
        <f t="shared" si="7"/>
        <v>土地使用年限（年）</v>
      </c>
      <c r="AA10" s="1612">
        <f t="shared" si="3"/>
        <v>1</v>
      </c>
      <c r="AB10" s="1612">
        <f t="shared" si="4"/>
        <v>1</v>
      </c>
      <c r="AC10" s="1612">
        <f t="shared" si="5"/>
        <v>0.98039215686274506</v>
      </c>
    </row>
    <row r="11" spans="1:29" ht="15">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8"/>
      <c r="M11" s="2915"/>
      <c r="N11" s="2915"/>
      <c r="O11" s="2915"/>
      <c r="P11" s="3576"/>
      <c r="Q11" s="1994" t="str">
        <f t="shared" si="6"/>
        <v>容积率</v>
      </c>
      <c r="R11" s="1609" t="s">
        <v>25</v>
      </c>
      <c r="S11" s="1610">
        <f t="shared" si="0"/>
        <v>100</v>
      </c>
      <c r="T11" s="1609" t="s">
        <v>25</v>
      </c>
      <c r="U11" s="1610">
        <f t="shared" si="1"/>
        <v>100</v>
      </c>
      <c r="V11" s="1609" t="s">
        <v>25</v>
      </c>
      <c r="W11" s="1610">
        <f t="shared" si="2"/>
        <v>100</v>
      </c>
      <c r="X11" s="1611"/>
      <c r="Y11" s="3505"/>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576"/>
      <c r="Q12" s="1994">
        <f t="shared" si="6"/>
        <v>111</v>
      </c>
      <c r="R12" s="1609" t="s">
        <v>25</v>
      </c>
      <c r="S12" s="1610">
        <f t="shared" si="0"/>
        <v>100</v>
      </c>
      <c r="T12" s="1609" t="s">
        <v>25</v>
      </c>
      <c r="U12" s="1610">
        <f t="shared" si="1"/>
        <v>100</v>
      </c>
      <c r="V12" s="1609" t="s">
        <v>25</v>
      </c>
      <c r="W12" s="1610">
        <f t="shared" si="2"/>
        <v>100</v>
      </c>
      <c r="X12" s="1611"/>
      <c r="Y12" s="350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576"/>
      <c r="Q13" s="1994">
        <f t="shared" si="6"/>
        <v>111</v>
      </c>
      <c r="R13" s="1609" t="s">
        <v>25</v>
      </c>
      <c r="S13" s="1610">
        <f t="shared" si="0"/>
        <v>100</v>
      </c>
      <c r="T13" s="1609" t="s">
        <v>25</v>
      </c>
      <c r="U13" s="1610">
        <f t="shared" si="1"/>
        <v>100</v>
      </c>
      <c r="V13" s="1609" t="s">
        <v>25</v>
      </c>
      <c r="W13" s="1610">
        <f t="shared" si="2"/>
        <v>100</v>
      </c>
      <c r="X13" s="1611"/>
      <c r="Y13" s="3505"/>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576"/>
      <c r="Q14" s="1994">
        <f t="shared" si="6"/>
        <v>111</v>
      </c>
      <c r="R14" s="1609" t="s">
        <v>25</v>
      </c>
      <c r="S14" s="1610">
        <f t="shared" si="0"/>
        <v>100</v>
      </c>
      <c r="T14" s="1609" t="s">
        <v>25</v>
      </c>
      <c r="U14" s="1610">
        <f t="shared" si="1"/>
        <v>100</v>
      </c>
      <c r="V14" s="1609" t="s">
        <v>25</v>
      </c>
      <c r="W14" s="1610">
        <f t="shared" si="2"/>
        <v>100</v>
      </c>
      <c r="X14" s="1611"/>
      <c r="Y14" s="3505"/>
      <c r="Z14" s="1622">
        <f t="shared" si="7"/>
        <v>111</v>
      </c>
      <c r="AA14" s="1612">
        <f t="shared" si="3"/>
        <v>1</v>
      </c>
      <c r="AB14" s="1612">
        <f t="shared" si="4"/>
        <v>1</v>
      </c>
      <c r="AC14" s="1612">
        <f t="shared" si="5"/>
        <v>1</v>
      </c>
    </row>
    <row r="15" spans="1:29" ht="15">
      <c r="A15" s="1646" t="s">
        <v>2029</v>
      </c>
      <c r="B15" s="1647" t="s">
        <v>2115</v>
      </c>
      <c r="C15" s="1648" t="str">
        <f>估价对象房地状况!C4</f>
        <v>较好</v>
      </c>
      <c r="D15" s="1649">
        <v>100</v>
      </c>
      <c r="E15" s="1650"/>
      <c r="F15" s="1651">
        <f>SUMIF(76:76,E16,77:77)-SUMIF(76:76,C16,77:77)+100</f>
        <v>103</v>
      </c>
      <c r="G15" s="1652"/>
      <c r="H15" s="1649">
        <f>SUMIF(76:76,G16,77:77)-SUMIF(76:76,C16,77:77)+100</f>
        <v>103</v>
      </c>
      <c r="I15" s="1650"/>
      <c r="J15" s="1649">
        <f>SUMIF(76:76,I16,77:77)-SUMIF(76:76,C16,77:77)+100</f>
        <v>97</v>
      </c>
      <c r="K15" s="2391">
        <v>3</v>
      </c>
      <c r="L15" s="2919"/>
      <c r="M15" s="2915"/>
      <c r="N15" s="2915"/>
      <c r="O15" s="2915"/>
      <c r="P15" s="3605" t="s">
        <v>2030</v>
      </c>
      <c r="Q15" s="2000" t="str">
        <f t="shared" si="6"/>
        <v>商业繁华度</v>
      </c>
      <c r="R15" s="1654" t="s">
        <v>25</v>
      </c>
      <c r="S15" s="1655">
        <f t="shared" si="0"/>
        <v>103</v>
      </c>
      <c r="T15" s="1654" t="s">
        <v>25</v>
      </c>
      <c r="U15" s="1655">
        <f t="shared" si="1"/>
        <v>103</v>
      </c>
      <c r="V15" s="1654" t="s">
        <v>25</v>
      </c>
      <c r="W15" s="1655">
        <f t="shared" si="2"/>
        <v>97</v>
      </c>
      <c r="X15" s="2003"/>
      <c r="Y15" s="3607" t="s">
        <v>2030</v>
      </c>
      <c r="Z15" s="2007" t="str">
        <f t="shared" si="7"/>
        <v>商业繁华度</v>
      </c>
      <c r="AA15" s="1998">
        <f t="shared" si="3"/>
        <v>0.970873786407767</v>
      </c>
      <c r="AB15" s="1998">
        <f t="shared" si="4"/>
        <v>0.970873786407767</v>
      </c>
      <c r="AC15" s="1998">
        <f t="shared" si="5"/>
        <v>1.0309278350515463</v>
      </c>
    </row>
    <row r="16" spans="1:29" ht="15">
      <c r="A16" s="1631"/>
      <c r="B16" s="1658"/>
      <c r="C16" s="1659" t="s">
        <v>30</v>
      </c>
      <c r="D16" s="1660"/>
      <c r="E16" s="1659" t="s">
        <v>29</v>
      </c>
      <c r="F16" s="1662"/>
      <c r="G16" s="1659" t="s">
        <v>29</v>
      </c>
      <c r="H16" s="1664"/>
      <c r="I16" s="1659" t="s">
        <v>31</v>
      </c>
      <c r="J16" s="1660"/>
      <c r="K16" s="2392"/>
      <c r="L16" s="2919"/>
      <c r="M16" s="2915"/>
      <c r="N16" s="2915"/>
      <c r="O16" s="2915"/>
      <c r="P16" s="3606"/>
      <c r="Q16" s="2000"/>
      <c r="R16" s="1654"/>
      <c r="S16" s="1655"/>
      <c r="T16" s="1654"/>
      <c r="U16" s="1655"/>
      <c r="V16" s="1654"/>
      <c r="W16" s="1655"/>
      <c r="X16" s="2003"/>
      <c r="Y16" s="3608"/>
      <c r="Z16" s="2007"/>
      <c r="AA16" s="1998">
        <v>1</v>
      </c>
      <c r="AB16" s="1998">
        <v>1</v>
      </c>
      <c r="AC16" s="1998">
        <v>1</v>
      </c>
    </row>
    <row r="17" spans="1:29" ht="1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2391">
        <v>2</v>
      </c>
      <c r="L17" s="2919"/>
      <c r="M17" s="2915"/>
      <c r="N17" s="2915"/>
      <c r="O17" s="2915"/>
      <c r="P17" s="3606"/>
      <c r="Q17" s="2000" t="str">
        <f>B17</f>
        <v>交通便捷度</v>
      </c>
      <c r="R17" s="1654" t="s">
        <v>25</v>
      </c>
      <c r="S17" s="1655">
        <f>F17</f>
        <v>100</v>
      </c>
      <c r="T17" s="1654" t="s">
        <v>25</v>
      </c>
      <c r="U17" s="1655">
        <f>H17</f>
        <v>100</v>
      </c>
      <c r="V17" s="1654" t="s">
        <v>25</v>
      </c>
      <c r="W17" s="1655">
        <f>J17</f>
        <v>100</v>
      </c>
      <c r="X17" s="2003"/>
      <c r="Y17" s="3608"/>
      <c r="Z17" s="2007" t="str">
        <f>Q17</f>
        <v>交通便捷度</v>
      </c>
      <c r="AA17" s="1998">
        <f t="shared" si="3"/>
        <v>1</v>
      </c>
      <c r="AB17" s="1998">
        <f t="shared" si="4"/>
        <v>1</v>
      </c>
      <c r="AC17" s="1998">
        <f t="shared" si="5"/>
        <v>1</v>
      </c>
    </row>
    <row r="18" spans="1:29" ht="15">
      <c r="A18" s="1631"/>
      <c r="B18" s="1672"/>
      <c r="C18" s="1673" t="s">
        <v>30</v>
      </c>
      <c r="D18" s="1664"/>
      <c r="E18" s="1674" t="s">
        <v>30</v>
      </c>
      <c r="F18" s="1669"/>
      <c r="G18" s="1675" t="s">
        <v>30</v>
      </c>
      <c r="H18" s="1660"/>
      <c r="I18" s="1674" t="s">
        <v>30</v>
      </c>
      <c r="J18" s="1660"/>
      <c r="K18" s="2392"/>
      <c r="L18" s="2919"/>
      <c r="M18" s="2915"/>
      <c r="N18" s="2915"/>
      <c r="O18" s="2915"/>
      <c r="P18" s="3606"/>
      <c r="Q18" s="2000"/>
      <c r="R18" s="1654"/>
      <c r="S18" s="1655"/>
      <c r="T18" s="1654"/>
      <c r="U18" s="1655"/>
      <c r="V18" s="1654"/>
      <c r="W18" s="1655"/>
      <c r="X18" s="2003"/>
      <c r="Y18" s="3608"/>
      <c r="Z18" s="2007"/>
      <c r="AA18" s="1998">
        <v>1</v>
      </c>
      <c r="AB18" s="1998">
        <v>1</v>
      </c>
      <c r="AC18" s="1998">
        <v>1</v>
      </c>
    </row>
    <row r="19" spans="1:29" ht="15">
      <c r="A19" s="1631"/>
      <c r="B19" s="1666" t="s">
        <v>2116</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2391">
        <v>2</v>
      </c>
      <c r="L19" s="2919"/>
      <c r="M19" s="2915"/>
      <c r="N19" s="2915"/>
      <c r="O19" s="2915"/>
      <c r="P19" s="3606"/>
      <c r="Q19" s="2000" t="str">
        <f>B19</f>
        <v>公共配套设施</v>
      </c>
      <c r="R19" s="1654" t="s">
        <v>25</v>
      </c>
      <c r="S19" s="1655">
        <f>F19</f>
        <v>100</v>
      </c>
      <c r="T19" s="1654" t="s">
        <v>25</v>
      </c>
      <c r="U19" s="1655">
        <f>H19</f>
        <v>100</v>
      </c>
      <c r="V19" s="1654" t="s">
        <v>25</v>
      </c>
      <c r="W19" s="1655">
        <f>J19</f>
        <v>100</v>
      </c>
      <c r="X19" s="2003"/>
      <c r="Y19" s="3608"/>
      <c r="Z19" s="2007" t="str">
        <f>Q19</f>
        <v>公共配套设施</v>
      </c>
      <c r="AA19" s="1998">
        <f t="shared" si="3"/>
        <v>1</v>
      </c>
      <c r="AB19" s="1998">
        <f t="shared" si="4"/>
        <v>1</v>
      </c>
      <c r="AC19" s="1998">
        <f t="shared" si="5"/>
        <v>1</v>
      </c>
    </row>
    <row r="20" spans="1:29" ht="15">
      <c r="A20" s="1631"/>
      <c r="B20" s="1672"/>
      <c r="C20" s="1659" t="s">
        <v>30</v>
      </c>
      <c r="D20" s="1660"/>
      <c r="E20" s="1661" t="s">
        <v>30</v>
      </c>
      <c r="F20" s="1662"/>
      <c r="G20" s="1663" t="s">
        <v>30</v>
      </c>
      <c r="H20" s="1660"/>
      <c r="I20" s="1661" t="s">
        <v>30</v>
      </c>
      <c r="J20" s="1660"/>
      <c r="K20" s="2392"/>
      <c r="L20" s="2919"/>
      <c r="M20" s="2915"/>
      <c r="N20" s="2915"/>
      <c r="O20" s="2915"/>
      <c r="P20" s="3606"/>
      <c r="Q20" s="2000"/>
      <c r="R20" s="1654"/>
      <c r="S20" s="1655"/>
      <c r="T20" s="1654"/>
      <c r="U20" s="1655"/>
      <c r="V20" s="1654"/>
      <c r="W20" s="1655"/>
      <c r="X20" s="2003"/>
      <c r="Y20" s="3608"/>
      <c r="Z20" s="2007"/>
      <c r="AA20" s="1998">
        <v>1</v>
      </c>
      <c r="AB20" s="1998">
        <v>1</v>
      </c>
      <c r="AC20" s="1998">
        <v>1</v>
      </c>
    </row>
    <row r="21" spans="1:29" ht="15">
      <c r="A21" s="1631"/>
      <c r="B21" s="1679" t="s">
        <v>2117</v>
      </c>
      <c r="C21" s="1667" t="str">
        <f>估价对象房地状况!C8</f>
        <v>六通</v>
      </c>
      <c r="D21" s="1671">
        <v>100</v>
      </c>
      <c r="E21" s="1676"/>
      <c r="F21" s="1677">
        <f>SUMIF(82:82,E22,83:83)-SUMIF(82:82,C22,83:83)+100</f>
        <v>100</v>
      </c>
      <c r="G21" s="1678"/>
      <c r="H21" s="1664">
        <f>SUMIF(82:82,G22,83:83)-SUMIF(82:82,C22,83:83)+100</f>
        <v>100</v>
      </c>
      <c r="I21" s="1676"/>
      <c r="J21" s="1664">
        <f>SUMIF(82:82,I22,83:83)-SUMIF(82:82,C22,83:83)+100</f>
        <v>100</v>
      </c>
      <c r="K21" s="2391">
        <v>2</v>
      </c>
      <c r="L21" s="2919"/>
      <c r="M21" s="2915"/>
      <c r="N21" s="2915"/>
      <c r="O21" s="2915"/>
      <c r="P21" s="3606"/>
      <c r="Q21" s="2000" t="str">
        <f>B21</f>
        <v>基础设施水平</v>
      </c>
      <c r="R21" s="1654" t="s">
        <v>25</v>
      </c>
      <c r="S21" s="1655">
        <f>F21</f>
        <v>100</v>
      </c>
      <c r="T21" s="1654" t="s">
        <v>25</v>
      </c>
      <c r="U21" s="1655">
        <f>H21</f>
        <v>100</v>
      </c>
      <c r="V21" s="1654" t="s">
        <v>25</v>
      </c>
      <c r="W21" s="1655">
        <f>J21</f>
        <v>100</v>
      </c>
      <c r="X21" s="2003"/>
      <c r="Y21" s="3608"/>
      <c r="Z21" s="2007" t="str">
        <f>Q21</f>
        <v>基础设施水平</v>
      </c>
      <c r="AA21" s="1998">
        <f t="shared" ref="AA21" si="8">D21/F21</f>
        <v>1</v>
      </c>
      <c r="AB21" s="1998">
        <f t="shared" ref="AB21" si="9">D21/H21</f>
        <v>1</v>
      </c>
      <c r="AC21" s="1998">
        <f t="shared" ref="AC21" si="10">D21/J21</f>
        <v>1</v>
      </c>
    </row>
    <row r="22" spans="1:29" ht="15">
      <c r="A22" s="1631"/>
      <c r="B22" s="1679"/>
      <c r="C22" s="1673" t="s">
        <v>3058</v>
      </c>
      <c r="D22" s="1660"/>
      <c r="E22" s="1659" t="s">
        <v>3058</v>
      </c>
      <c r="F22" s="1662"/>
      <c r="G22" s="1659" t="s">
        <v>3058</v>
      </c>
      <c r="H22" s="1660"/>
      <c r="I22" s="1659" t="s">
        <v>3058</v>
      </c>
      <c r="J22" s="1660"/>
      <c r="K22" s="2393"/>
      <c r="L22" s="2919"/>
      <c r="M22" s="2915"/>
      <c r="N22" s="2915"/>
      <c r="O22" s="2915"/>
      <c r="P22" s="3606"/>
      <c r="Q22" s="2000"/>
      <c r="R22" s="1654"/>
      <c r="S22" s="1655"/>
      <c r="T22" s="1654"/>
      <c r="U22" s="1655"/>
      <c r="V22" s="1654"/>
      <c r="W22" s="1655"/>
      <c r="X22" s="2003"/>
      <c r="Y22" s="3608"/>
      <c r="Z22" s="2007"/>
      <c r="AA22" s="1998">
        <v>1</v>
      </c>
      <c r="AB22" s="1998">
        <v>1</v>
      </c>
      <c r="AC22" s="1998">
        <v>1</v>
      </c>
    </row>
    <row r="23" spans="1:29" ht="15">
      <c r="A23" s="1631"/>
      <c r="B23" s="1666" t="s">
        <v>1468</v>
      </c>
      <c r="C23" s="2394"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2391">
        <v>2</v>
      </c>
      <c r="L23" s="2919"/>
      <c r="M23" s="2915"/>
      <c r="N23" s="2915"/>
      <c r="O23" s="2915"/>
      <c r="P23" s="3606"/>
      <c r="Q23" s="2000" t="str">
        <f>B23</f>
        <v>自然及人文环境</v>
      </c>
      <c r="R23" s="1654" t="s">
        <v>25</v>
      </c>
      <c r="S23" s="1655">
        <f>F23</f>
        <v>100</v>
      </c>
      <c r="T23" s="1654" t="s">
        <v>25</v>
      </c>
      <c r="U23" s="1655">
        <f>H23</f>
        <v>100</v>
      </c>
      <c r="V23" s="1654" t="s">
        <v>25</v>
      </c>
      <c r="W23" s="1655">
        <f>J23</f>
        <v>100</v>
      </c>
      <c r="X23" s="2003"/>
      <c r="Y23" s="3608"/>
      <c r="Z23" s="2007" t="str">
        <f>Q23</f>
        <v>自然及人文环境</v>
      </c>
      <c r="AA23" s="1998">
        <f t="shared" si="3"/>
        <v>1</v>
      </c>
      <c r="AB23" s="1998">
        <f t="shared" si="4"/>
        <v>1</v>
      </c>
      <c r="AC23" s="1998">
        <f t="shared" si="5"/>
        <v>1</v>
      </c>
    </row>
    <row r="24" spans="1:29" ht="15">
      <c r="A24" s="1631"/>
      <c r="B24" s="1672"/>
      <c r="C24" s="1659" t="s">
        <v>31</v>
      </c>
      <c r="D24" s="1660"/>
      <c r="E24" s="1661" t="s">
        <v>31</v>
      </c>
      <c r="F24" s="1662"/>
      <c r="G24" s="1663" t="s">
        <v>31</v>
      </c>
      <c r="H24" s="1660"/>
      <c r="I24" s="1661" t="s">
        <v>31</v>
      </c>
      <c r="J24" s="1660"/>
      <c r="K24" s="2392"/>
      <c r="L24" s="2919"/>
      <c r="M24" s="2915"/>
      <c r="N24" s="2915"/>
      <c r="O24" s="2915"/>
      <c r="P24" s="3606"/>
      <c r="Q24" s="2000"/>
      <c r="R24" s="1654"/>
      <c r="S24" s="1655"/>
      <c r="T24" s="1654"/>
      <c r="U24" s="1655"/>
      <c r="V24" s="1654"/>
      <c r="W24" s="1655"/>
      <c r="X24" s="2003"/>
      <c r="Y24" s="3608"/>
      <c r="Z24" s="2007"/>
      <c r="AA24" s="1998">
        <v>1</v>
      </c>
      <c r="AB24" s="1998">
        <v>1</v>
      </c>
      <c r="AC24" s="1998">
        <v>1</v>
      </c>
    </row>
    <row r="25" spans="1:29" ht="15">
      <c r="A25" s="1631"/>
      <c r="B25" s="1624" t="s">
        <v>2118</v>
      </c>
      <c r="C25" s="1920" t="s">
        <v>3066</v>
      </c>
      <c r="D25" s="1640">
        <v>100</v>
      </c>
      <c r="E25" s="1920" t="s">
        <v>3066</v>
      </c>
      <c r="F25" s="1683">
        <f>SUMIF(86:86,E25,87:87)-SUMIF(86:86,C25,87:87)+100</f>
        <v>100</v>
      </c>
      <c r="G25" s="1920" t="s">
        <v>3066</v>
      </c>
      <c r="H25" s="1640">
        <f>SUMIF(86:86,G25,87:87)-SUMIF(86:86,C25,87:87)+100</f>
        <v>100</v>
      </c>
      <c r="I25" s="1920" t="s">
        <v>3066</v>
      </c>
      <c r="J25" s="1640">
        <f>SUMIF(86:86,I25,87:87)-SUMIF(86:86,C25,87:87)+100</f>
        <v>100</v>
      </c>
      <c r="K25" s="1921">
        <v>2</v>
      </c>
      <c r="L25" s="2919"/>
      <c r="M25" s="2915"/>
      <c r="N25" s="2915"/>
      <c r="O25" s="2915"/>
      <c r="P25" s="3606"/>
      <c r="Q25" s="2000" t="str">
        <f t="shared" ref="Q25:Q46" si="11">B25</f>
        <v>临街状况</v>
      </c>
      <c r="R25" s="1654" t="s">
        <v>25</v>
      </c>
      <c r="S25" s="1655">
        <f>F25</f>
        <v>100</v>
      </c>
      <c r="T25" s="1654" t="s">
        <v>25</v>
      </c>
      <c r="U25" s="1655">
        <f>H25</f>
        <v>100</v>
      </c>
      <c r="V25" s="1654" t="s">
        <v>25</v>
      </c>
      <c r="W25" s="1655">
        <f>J25</f>
        <v>100</v>
      </c>
      <c r="X25" s="2003"/>
      <c r="Y25" s="3608"/>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06"/>
      <c r="Q26" s="2000" t="str">
        <f t="shared" si="11"/>
        <v>平面位置/可视性</v>
      </c>
      <c r="R26" s="1654" t="s">
        <v>25</v>
      </c>
      <c r="S26" s="1655">
        <f>F26</f>
        <v>100</v>
      </c>
      <c r="T26" s="1654" t="s">
        <v>25</v>
      </c>
      <c r="U26" s="1655">
        <f>H26</f>
        <v>100</v>
      </c>
      <c r="V26" s="1654" t="s">
        <v>25</v>
      </c>
      <c r="W26" s="1655">
        <f>J26</f>
        <v>100</v>
      </c>
      <c r="X26" s="2003"/>
      <c r="Y26" s="3608"/>
      <c r="Z26" s="2007" t="str">
        <f>Q26</f>
        <v>平面位置/可视性</v>
      </c>
      <c r="AA26" s="1998">
        <f t="shared" si="3"/>
        <v>1</v>
      </c>
      <c r="AB26" s="1998">
        <f t="shared" si="4"/>
        <v>1</v>
      </c>
      <c r="AC26" s="1998">
        <f t="shared" si="5"/>
        <v>1</v>
      </c>
    </row>
    <row r="27" spans="1:29" s="1613" customFormat="1" ht="15">
      <c r="A27" s="1634"/>
      <c r="B27" s="1666" t="s">
        <v>2120</v>
      </c>
      <c r="C27" s="2395" t="s">
        <v>3070</v>
      </c>
      <c r="D27" s="1685">
        <v>100</v>
      </c>
      <c r="E27" s="2395" t="s">
        <v>3068</v>
      </c>
      <c r="F27" s="1687">
        <f>SUMIF(90:90,E27,91:91)-SUMIF(90:90,C27,91:91)+100</f>
        <v>102</v>
      </c>
      <c r="G27" s="2395" t="s">
        <v>3068</v>
      </c>
      <c r="H27" s="1685">
        <f>SUMIF(90:90,G27,91:91)-SUMIF(90:90,C27,91:91)+100</f>
        <v>102</v>
      </c>
      <c r="I27" s="2395" t="s">
        <v>31</v>
      </c>
      <c r="J27" s="1685">
        <f>SUMIF(90:90,I27,91:91)-SUMIF(90:90,C27,91:91)+100</f>
        <v>98</v>
      </c>
      <c r="K27" s="1921">
        <v>2</v>
      </c>
      <c r="L27" s="2914"/>
      <c r="M27" s="2887"/>
      <c r="N27" s="2887"/>
      <c r="O27" s="2887"/>
      <c r="P27" s="3606"/>
      <c r="Q27" s="1994" t="str">
        <f t="shared" si="11"/>
        <v>人流量</v>
      </c>
      <c r="R27" s="1609" t="s">
        <v>25</v>
      </c>
      <c r="S27" s="1610">
        <f>F27</f>
        <v>102</v>
      </c>
      <c r="T27" s="1609" t="s">
        <v>25</v>
      </c>
      <c r="U27" s="1610">
        <f>H27</f>
        <v>102</v>
      </c>
      <c r="V27" s="1609" t="s">
        <v>25</v>
      </c>
      <c r="W27" s="1610">
        <f>J27</f>
        <v>98</v>
      </c>
      <c r="X27" s="1611"/>
      <c r="Y27" s="3608"/>
      <c r="Z27" s="1622" t="str">
        <f>Q27</f>
        <v>人流量</v>
      </c>
      <c r="AA27" s="1998">
        <f>D27/F27</f>
        <v>0.98039215686274506</v>
      </c>
      <c r="AB27" s="1998">
        <f>D27/H27</f>
        <v>0.98039215686274506</v>
      </c>
      <c r="AC27" s="1998">
        <f>D27/J27</f>
        <v>1.0204081632653061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60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8"/>
      <c r="Z28" s="2007" t="str">
        <f t="shared" ref="Z28:Z46" si="15">Q28</f>
        <v>楼层</v>
      </c>
      <c r="AA28" s="1998">
        <f t="shared" si="3"/>
        <v>1</v>
      </c>
      <c r="AB28" s="1998">
        <f t="shared" si="4"/>
        <v>1</v>
      </c>
      <c r="AC28" s="1998">
        <f t="shared" si="5"/>
        <v>1</v>
      </c>
    </row>
    <row r="29" spans="1:29" ht="15">
      <c r="A29" s="1631"/>
      <c r="B29" s="3340" t="s">
        <v>3097</v>
      </c>
      <c r="C29" s="3341" t="s">
        <v>3098</v>
      </c>
      <c r="D29" s="1640">
        <v>100</v>
      </c>
      <c r="E29" s="3341" t="s">
        <v>3100</v>
      </c>
      <c r="F29" s="1683">
        <f>SUMIF(94:94,E29,95:95)-SUMIF(94:94,C29,95:95)+100</f>
        <v>98</v>
      </c>
      <c r="G29" s="3341" t="s">
        <v>3100</v>
      </c>
      <c r="H29" s="1640">
        <f>SUMIF(94:94,G29,95:95)-SUMIF(94:94,C29,95:95)+100</f>
        <v>98</v>
      </c>
      <c r="I29" s="3341" t="s">
        <v>3099</v>
      </c>
      <c r="J29" s="1640">
        <f>SUMIF(94:94,I29,95:95)-SUMIF(94:94,C29,95:95)+100</f>
        <v>99</v>
      </c>
      <c r="K29" s="1918"/>
      <c r="L29" s="2919"/>
      <c r="M29" s="2915"/>
      <c r="N29" s="2915"/>
      <c r="O29" s="2915"/>
      <c r="P29" s="3606"/>
      <c r="Q29" s="2000" t="str">
        <f t="shared" si="11"/>
        <v>道路等级</v>
      </c>
      <c r="R29" s="1654" t="s">
        <v>25</v>
      </c>
      <c r="S29" s="1655">
        <f t="shared" si="12"/>
        <v>98</v>
      </c>
      <c r="T29" s="1654" t="s">
        <v>25</v>
      </c>
      <c r="U29" s="1655">
        <f t="shared" si="13"/>
        <v>98</v>
      </c>
      <c r="V29" s="1654" t="s">
        <v>25</v>
      </c>
      <c r="W29" s="1655">
        <f t="shared" si="14"/>
        <v>99</v>
      </c>
      <c r="X29" s="2003"/>
      <c r="Y29" s="3608"/>
      <c r="Z29" s="2007" t="str">
        <f t="shared" si="15"/>
        <v>道路等级</v>
      </c>
      <c r="AA29" s="1998">
        <f t="shared" si="3"/>
        <v>1.0204081632653061</v>
      </c>
      <c r="AB29" s="1998">
        <f t="shared" si="4"/>
        <v>1.0204081632653061</v>
      </c>
      <c r="AC29" s="1998">
        <f t="shared" si="5"/>
        <v>1.0101010101010102</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06"/>
      <c r="Q30" s="2000">
        <f t="shared" si="11"/>
        <v>111</v>
      </c>
      <c r="R30" s="1654" t="s">
        <v>25</v>
      </c>
      <c r="S30" s="1655">
        <f t="shared" si="12"/>
        <v>100</v>
      </c>
      <c r="T30" s="1654" t="s">
        <v>25</v>
      </c>
      <c r="U30" s="1655">
        <f t="shared" si="13"/>
        <v>100</v>
      </c>
      <c r="V30" s="1654" t="s">
        <v>25</v>
      </c>
      <c r="W30" s="1655">
        <f t="shared" si="14"/>
        <v>100</v>
      </c>
      <c r="X30" s="2003"/>
      <c r="Y30" s="3608"/>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06"/>
      <c r="Q31" s="2000">
        <f t="shared" si="11"/>
        <v>111</v>
      </c>
      <c r="R31" s="1654" t="s">
        <v>25</v>
      </c>
      <c r="S31" s="1655">
        <f t="shared" si="12"/>
        <v>100</v>
      </c>
      <c r="T31" s="1654" t="s">
        <v>25</v>
      </c>
      <c r="U31" s="1655">
        <f t="shared" si="13"/>
        <v>100</v>
      </c>
      <c r="V31" s="1654" t="s">
        <v>25</v>
      </c>
      <c r="W31" s="1655">
        <f t="shared" si="14"/>
        <v>100</v>
      </c>
      <c r="X31" s="2003"/>
      <c r="Y31" s="3608"/>
      <c r="Z31" s="2007">
        <f t="shared" si="15"/>
        <v>111</v>
      </c>
      <c r="AA31" s="1998">
        <f t="shared" si="3"/>
        <v>1</v>
      </c>
      <c r="AB31" s="1998">
        <f t="shared" si="4"/>
        <v>1</v>
      </c>
      <c r="AC31" s="1998">
        <f t="shared" si="5"/>
        <v>1</v>
      </c>
    </row>
    <row r="32" spans="1:29" ht="15">
      <c r="A32" s="1646" t="s">
        <v>2034</v>
      </c>
      <c r="B32" s="1616" t="s">
        <v>2122</v>
      </c>
      <c r="C32" s="1690" t="s">
        <v>3080</v>
      </c>
      <c r="D32" s="1691">
        <v>100</v>
      </c>
      <c r="E32" s="1690" t="s">
        <v>3080</v>
      </c>
      <c r="F32" s="1683">
        <f>SUMIF(100:100,E32,101:101)-SUMIF(100:100,C32,101:101)+100</f>
        <v>100</v>
      </c>
      <c r="G32" s="1690" t="s">
        <v>3080</v>
      </c>
      <c r="H32" s="1640">
        <f>SUMIF(100:100,G32,101:101)-SUMIF(100:100,C32,101:101)+100</f>
        <v>100</v>
      </c>
      <c r="I32" s="1690" t="s">
        <v>3080</v>
      </c>
      <c r="J32" s="1691">
        <f>SUMIF(100:100,I32,101:101)-SUMIF(100:100,C32,101:101)+100</f>
        <v>100</v>
      </c>
      <c r="K32" s="1921">
        <v>3</v>
      </c>
      <c r="L32" s="2919"/>
      <c r="M32" s="2915"/>
      <c r="N32" s="2915"/>
      <c r="O32" s="2915"/>
      <c r="P32" s="3609" t="s">
        <v>2036</v>
      </c>
      <c r="Q32" s="2000" t="str">
        <f t="shared" si="11"/>
        <v>商业类型</v>
      </c>
      <c r="R32" s="1654" t="s">
        <v>25</v>
      </c>
      <c r="S32" s="1655">
        <f t="shared" si="12"/>
        <v>100</v>
      </c>
      <c r="T32" s="1654" t="s">
        <v>25</v>
      </c>
      <c r="U32" s="1655">
        <f t="shared" si="13"/>
        <v>100</v>
      </c>
      <c r="V32" s="1654" t="s">
        <v>25</v>
      </c>
      <c r="W32" s="1655">
        <f t="shared" si="14"/>
        <v>100</v>
      </c>
      <c r="X32" s="2003"/>
      <c r="Y32" s="3612" t="s">
        <v>2036</v>
      </c>
      <c r="Z32" s="2007" t="str">
        <f t="shared" si="15"/>
        <v>商业类型</v>
      </c>
      <c r="AA32" s="1998">
        <f t="shared" si="3"/>
        <v>1</v>
      </c>
      <c r="AB32" s="1998">
        <f t="shared" si="4"/>
        <v>1</v>
      </c>
      <c r="AC32" s="1998">
        <f t="shared" si="5"/>
        <v>1</v>
      </c>
    </row>
    <row r="33" spans="1:29" s="1700" customFormat="1" ht="15">
      <c r="A33" s="1693"/>
      <c r="B33" s="1624" t="s">
        <v>2037</v>
      </c>
      <c r="C33" s="1694">
        <f>信息!B3</f>
        <v>139.96</v>
      </c>
      <c r="D33" s="1626">
        <v>100</v>
      </c>
      <c r="E33" s="1633">
        <v>41.6</v>
      </c>
      <c r="F33" s="1628">
        <f>LOOKUP(E33,103:103,104:104)-LOOKUP(C33,103:103,104:104)+100</f>
        <v>102</v>
      </c>
      <c r="G33" s="1632">
        <v>66.12</v>
      </c>
      <c r="H33" s="1626">
        <f>LOOKUP(G33,103:103,104:104)-LOOKUP(C33,103:103,104:104)+100</f>
        <v>101</v>
      </c>
      <c r="I33" s="1632">
        <v>120</v>
      </c>
      <c r="J33" s="1626">
        <f>LOOKUP(I33,103:103,104:104)-LOOKUP(C33,103:103,104:104)+100</f>
        <v>100</v>
      </c>
      <c r="K33" s="1918"/>
      <c r="L33" s="2918"/>
      <c r="M33" s="1988"/>
      <c r="N33" s="1988"/>
      <c r="O33" s="1988"/>
      <c r="P33" s="3610"/>
      <c r="Q33" s="1695" t="str">
        <f t="shared" si="11"/>
        <v>项目建筑规模</v>
      </c>
      <c r="R33" s="1696" t="s">
        <v>25</v>
      </c>
      <c r="S33" s="1697">
        <f t="shared" si="12"/>
        <v>102</v>
      </c>
      <c r="T33" s="1696" t="s">
        <v>25</v>
      </c>
      <c r="U33" s="1697">
        <f t="shared" si="13"/>
        <v>101</v>
      </c>
      <c r="V33" s="1696" t="s">
        <v>25</v>
      </c>
      <c r="W33" s="1697">
        <f t="shared" si="14"/>
        <v>100</v>
      </c>
      <c r="X33" s="1698"/>
      <c r="Y33" s="3612"/>
      <c r="Z33" s="1699" t="str">
        <f t="shared" si="15"/>
        <v>项目建筑规模</v>
      </c>
      <c r="AA33" s="1998">
        <f t="shared" si="3"/>
        <v>0.98039215686274506</v>
      </c>
      <c r="AB33" s="1998">
        <f t="shared" si="4"/>
        <v>0.99009900990099009</v>
      </c>
      <c r="AC33" s="1998">
        <f t="shared" si="5"/>
        <v>1</v>
      </c>
    </row>
    <row r="34" spans="1:29" ht="15">
      <c r="A34" s="1701"/>
      <c r="B34" s="1624" t="s">
        <v>2038</v>
      </c>
      <c r="C34" s="1702" t="s">
        <v>3029</v>
      </c>
      <c r="D34" s="1640">
        <v>100</v>
      </c>
      <c r="E34" s="1702" t="s">
        <v>3029</v>
      </c>
      <c r="F34" s="1683">
        <f>SUMIF(105:105,E34,106:106)-SUMIF(105:105,C34,106:106)+100</f>
        <v>100</v>
      </c>
      <c r="G34" s="1702" t="s">
        <v>3029</v>
      </c>
      <c r="H34" s="1640">
        <f>SUMIF(105:105,G34,106:106)-SUMIF(105:105,C34,106:106)+100</f>
        <v>100</v>
      </c>
      <c r="I34" s="1702" t="s">
        <v>3029</v>
      </c>
      <c r="J34" s="1640">
        <f>SUMIF(105:105,I34,106:106)-SUMIF(105:105,C34,106:106)+100</f>
        <v>100</v>
      </c>
      <c r="K34" s="1921">
        <v>2</v>
      </c>
      <c r="L34" s="2919"/>
      <c r="M34" s="2915"/>
      <c r="N34" s="2915"/>
      <c r="O34" s="2915"/>
      <c r="P34" s="3610"/>
      <c r="Q34" s="2000" t="str">
        <f t="shared" si="11"/>
        <v>建筑结构</v>
      </c>
      <c r="R34" s="1654" t="s">
        <v>25</v>
      </c>
      <c r="S34" s="1655">
        <f t="shared" si="12"/>
        <v>100</v>
      </c>
      <c r="T34" s="1654" t="s">
        <v>25</v>
      </c>
      <c r="U34" s="1655">
        <f t="shared" si="13"/>
        <v>100</v>
      </c>
      <c r="V34" s="1654" t="s">
        <v>25</v>
      </c>
      <c r="W34" s="1655">
        <f t="shared" si="14"/>
        <v>100</v>
      </c>
      <c r="X34" s="2003"/>
      <c r="Y34" s="3612"/>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610"/>
      <c r="Q35" s="2000" t="str">
        <f t="shared" si="11"/>
        <v>公共部分装修</v>
      </c>
      <c r="R35" s="1654" t="s">
        <v>25</v>
      </c>
      <c r="S35" s="1655">
        <f t="shared" si="12"/>
        <v>100</v>
      </c>
      <c r="T35" s="1654" t="s">
        <v>25</v>
      </c>
      <c r="U35" s="1655">
        <f t="shared" si="13"/>
        <v>100</v>
      </c>
      <c r="V35" s="1654" t="s">
        <v>25</v>
      </c>
      <c r="W35" s="1655">
        <f t="shared" si="14"/>
        <v>100</v>
      </c>
      <c r="X35" s="2003"/>
      <c r="Y35" s="3612"/>
      <c r="Z35" s="2007" t="str">
        <f t="shared" si="15"/>
        <v>公共部分装修</v>
      </c>
      <c r="AA35" s="1998">
        <f t="shared" si="3"/>
        <v>1</v>
      </c>
      <c r="AB35" s="1998">
        <f t="shared" si="4"/>
        <v>1</v>
      </c>
      <c r="AC35" s="1998">
        <f t="shared" si="5"/>
        <v>1</v>
      </c>
    </row>
    <row r="36" spans="1:29" ht="15">
      <c r="A36" s="1701"/>
      <c r="B36" s="1624" t="s">
        <v>2124</v>
      </c>
      <c r="C36" s="1705">
        <v>0.83</v>
      </c>
      <c r="D36" s="1640">
        <v>100</v>
      </c>
      <c r="E36" s="1705">
        <v>0.85</v>
      </c>
      <c r="F36" s="1683">
        <f>LOOKUP(E36,110:110,111:111)-LOOKUP(C36,110:110,111:111)+100</f>
        <v>100</v>
      </c>
      <c r="G36" s="1705">
        <v>0.85</v>
      </c>
      <c r="H36" s="1683">
        <f>LOOKUP(G36,110:110,111:111)-LOOKUP(C36,110:110,111:111)+100</f>
        <v>100</v>
      </c>
      <c r="I36" s="1705">
        <v>0.92</v>
      </c>
      <c r="J36" s="1640">
        <f>LOOKUP(I36,110:110,111:111)-LOOKUP(C36,110:110,111:111)+100</f>
        <v>102</v>
      </c>
      <c r="K36" s="1921">
        <v>2</v>
      </c>
      <c r="L36" s="2919"/>
      <c r="M36" s="2915"/>
      <c r="N36" s="2915"/>
      <c r="O36" s="2915"/>
      <c r="P36" s="3610"/>
      <c r="Q36" s="2000" t="str">
        <f t="shared" si="11"/>
        <v>成新度</v>
      </c>
      <c r="R36" s="1654" t="s">
        <v>25</v>
      </c>
      <c r="S36" s="1655">
        <f t="shared" si="12"/>
        <v>100</v>
      </c>
      <c r="T36" s="1654" t="s">
        <v>25</v>
      </c>
      <c r="U36" s="1655">
        <f t="shared" si="13"/>
        <v>100</v>
      </c>
      <c r="V36" s="1654" t="s">
        <v>25</v>
      </c>
      <c r="W36" s="1655">
        <f t="shared" si="14"/>
        <v>102</v>
      </c>
      <c r="X36" s="2003"/>
      <c r="Y36" s="3612"/>
      <c r="Z36" s="2007" t="str">
        <f t="shared" si="15"/>
        <v>成新度</v>
      </c>
      <c r="AA36" s="1998">
        <f t="shared" si="3"/>
        <v>1</v>
      </c>
      <c r="AB36" s="1998">
        <f t="shared" si="4"/>
        <v>1</v>
      </c>
      <c r="AC36" s="1998">
        <f t="shared" si="5"/>
        <v>0.98039215686274506</v>
      </c>
    </row>
    <row r="37" spans="1:29" s="1613" customFormat="1" ht="15">
      <c r="A37" s="1704"/>
      <c r="B37" s="1624" t="s">
        <v>2125</v>
      </c>
      <c r="C37" s="1684" t="s">
        <v>3058</v>
      </c>
      <c r="D37" s="1626">
        <v>100</v>
      </c>
      <c r="E37" s="1684" t="s">
        <v>3058</v>
      </c>
      <c r="F37" s="1683">
        <f>SUMIF(112:112,E37,113:113)-SUMIF(112:112,C37,113:113)+100</f>
        <v>100</v>
      </c>
      <c r="G37" s="1684" t="s">
        <v>3058</v>
      </c>
      <c r="H37" s="1640">
        <f>SUMIF(112:112,G37,113:113)-SUMIF(112:112,C37,113:113)+100</f>
        <v>100</v>
      </c>
      <c r="I37" s="1684" t="s">
        <v>3058</v>
      </c>
      <c r="J37" s="1640">
        <f>SUMIF(112:112,I37,113:113)-SUMIF(112:112,C37,113:113)+100</f>
        <v>100</v>
      </c>
      <c r="K37" s="1921">
        <v>2</v>
      </c>
      <c r="L37" s="2914"/>
      <c r="M37" s="2887"/>
      <c r="N37" s="2887"/>
      <c r="O37" s="2887"/>
      <c r="P37" s="3610"/>
      <c r="Q37" s="1994" t="str">
        <f t="shared" si="11"/>
        <v>市政基础设施</v>
      </c>
      <c r="R37" s="1609" t="s">
        <v>25</v>
      </c>
      <c r="S37" s="1610">
        <f t="shared" si="12"/>
        <v>100</v>
      </c>
      <c r="T37" s="1609" t="s">
        <v>25</v>
      </c>
      <c r="U37" s="1610">
        <f t="shared" si="13"/>
        <v>100</v>
      </c>
      <c r="V37" s="1609" t="s">
        <v>25</v>
      </c>
      <c r="W37" s="1610">
        <f t="shared" si="14"/>
        <v>100</v>
      </c>
      <c r="X37" s="1611"/>
      <c r="Y37" s="3612"/>
      <c r="Z37" s="1622" t="str">
        <f t="shared" si="15"/>
        <v>市政基础设施</v>
      </c>
      <c r="AA37" s="1612">
        <f t="shared" si="3"/>
        <v>1</v>
      </c>
      <c r="AB37" s="1612">
        <f t="shared" si="4"/>
        <v>1</v>
      </c>
      <c r="AC37" s="1612">
        <f t="shared" si="5"/>
        <v>1</v>
      </c>
    </row>
    <row r="38" spans="1:29" ht="15">
      <c r="A38" s="1701"/>
      <c r="B38" s="1624" t="s">
        <v>2126</v>
      </c>
      <c r="C38" s="1684" t="s">
        <v>3086</v>
      </c>
      <c r="D38" s="1640">
        <v>100</v>
      </c>
      <c r="E38" s="1684" t="s">
        <v>3086</v>
      </c>
      <c r="F38" s="1683">
        <f>SUMIF(114:114,E38,115:115)-SUMIF(114:114,C38,115:115)+100</f>
        <v>100</v>
      </c>
      <c r="G38" s="1684" t="s">
        <v>3086</v>
      </c>
      <c r="H38" s="1640">
        <f>SUMIF(114:114,G38,115:115)-SUMIF(114:114,C38,115:115)+100</f>
        <v>100</v>
      </c>
      <c r="I38" s="1684" t="s">
        <v>3086</v>
      </c>
      <c r="J38" s="1640">
        <f>SUMIF(114:114,I38,115:115)-SUMIF(114:114,C38,115:115)+100</f>
        <v>100</v>
      </c>
      <c r="K38" s="1921">
        <v>2</v>
      </c>
      <c r="L38" s="2919"/>
      <c r="M38" s="2915"/>
      <c r="N38" s="2915"/>
      <c r="O38" s="2915"/>
      <c r="P38" s="3610" t="s">
        <v>2036</v>
      </c>
      <c r="Q38" s="2000" t="str">
        <f t="shared" si="11"/>
        <v>业态</v>
      </c>
      <c r="R38" s="1654" t="s">
        <v>25</v>
      </c>
      <c r="S38" s="1655">
        <f t="shared" si="12"/>
        <v>100</v>
      </c>
      <c r="T38" s="1654" t="s">
        <v>25</v>
      </c>
      <c r="U38" s="1655">
        <f t="shared" si="13"/>
        <v>100</v>
      </c>
      <c r="V38" s="1654" t="s">
        <v>25</v>
      </c>
      <c r="W38" s="1655">
        <f t="shared" si="14"/>
        <v>100</v>
      </c>
      <c r="X38" s="2003"/>
      <c r="Y38" s="3612" t="s">
        <v>2036</v>
      </c>
      <c r="Z38" s="2007" t="str">
        <f t="shared" si="15"/>
        <v>业态</v>
      </c>
      <c r="AA38" s="1998">
        <f t="shared" si="3"/>
        <v>1</v>
      </c>
      <c r="AB38" s="1998">
        <f t="shared" si="4"/>
        <v>1</v>
      </c>
      <c r="AC38" s="1998">
        <f t="shared" si="5"/>
        <v>1</v>
      </c>
    </row>
    <row r="39" spans="1:29" ht="15">
      <c r="A39" s="1701"/>
      <c r="B39" s="1624" t="s">
        <v>2127</v>
      </c>
      <c r="C39" s="1684" t="s">
        <v>3089</v>
      </c>
      <c r="D39" s="1640">
        <v>100</v>
      </c>
      <c r="E39" s="1684" t="s">
        <v>3091</v>
      </c>
      <c r="F39" s="1683">
        <f>SUMIF(116:116,E39,117:117)-SUMIF(116:116,C39,117:117)+100</f>
        <v>95</v>
      </c>
      <c r="G39" s="1684" t="s">
        <v>3091</v>
      </c>
      <c r="H39" s="1640">
        <f>SUMIF(116:116,G39,117:117)-SUMIF(116:116,C39,117:117)+100</f>
        <v>95</v>
      </c>
      <c r="I39" s="1684" t="s">
        <v>3091</v>
      </c>
      <c r="J39" s="1640">
        <f>SUMIF(116:116,I39,117:117)-SUMIF(116:116,C39,117:117)+100</f>
        <v>95</v>
      </c>
      <c r="K39" s="1921">
        <v>5</v>
      </c>
      <c r="L39" s="2919"/>
      <c r="M39" s="2915"/>
      <c r="N39" s="2915"/>
      <c r="O39" s="2915"/>
      <c r="P39" s="3610"/>
      <c r="Q39" s="2000" t="str">
        <f t="shared" si="11"/>
        <v>层高</v>
      </c>
      <c r="R39" s="1654" t="s">
        <v>25</v>
      </c>
      <c r="S39" s="1655">
        <f t="shared" si="12"/>
        <v>95</v>
      </c>
      <c r="T39" s="1654" t="s">
        <v>25</v>
      </c>
      <c r="U39" s="1655">
        <f t="shared" si="13"/>
        <v>95</v>
      </c>
      <c r="V39" s="1654" t="s">
        <v>25</v>
      </c>
      <c r="W39" s="1655">
        <f t="shared" si="14"/>
        <v>95</v>
      </c>
      <c r="X39" s="2003"/>
      <c r="Y39" s="3612"/>
      <c r="Z39" s="2007" t="str">
        <f t="shared" si="15"/>
        <v>层高</v>
      </c>
      <c r="AA39" s="1998">
        <f t="shared" si="3"/>
        <v>1.0526315789473684</v>
      </c>
      <c r="AB39" s="1998">
        <f t="shared" si="4"/>
        <v>1.0526315789473684</v>
      </c>
      <c r="AC39" s="1998">
        <f t="shared" si="5"/>
        <v>1.0526315789473684</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610"/>
      <c r="Q40" s="2000" t="str">
        <f t="shared" si="11"/>
        <v>单套建筑面积</v>
      </c>
      <c r="R40" s="1654" t="s">
        <v>25</v>
      </c>
      <c r="S40" s="1655">
        <f t="shared" si="12"/>
        <v>100</v>
      </c>
      <c r="T40" s="1654" t="s">
        <v>25</v>
      </c>
      <c r="U40" s="1655">
        <f t="shared" si="13"/>
        <v>100</v>
      </c>
      <c r="V40" s="1654" t="s">
        <v>25</v>
      </c>
      <c r="W40" s="1655">
        <f t="shared" si="14"/>
        <v>100</v>
      </c>
      <c r="X40" s="2003"/>
      <c r="Y40" s="3612"/>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610"/>
      <c r="Q41" s="1695" t="str">
        <f t="shared" si="11"/>
        <v>进深比</v>
      </c>
      <c r="R41" s="1696" t="s">
        <v>25</v>
      </c>
      <c r="S41" s="1697">
        <f t="shared" si="12"/>
        <v>100</v>
      </c>
      <c r="T41" s="1696" t="s">
        <v>25</v>
      </c>
      <c r="U41" s="1697">
        <f t="shared" si="13"/>
        <v>100</v>
      </c>
      <c r="V41" s="1696" t="s">
        <v>25</v>
      </c>
      <c r="W41" s="1697">
        <f t="shared" si="14"/>
        <v>100</v>
      </c>
      <c r="X41" s="1698"/>
      <c r="Y41" s="3612"/>
      <c r="Z41" s="1699" t="str">
        <f t="shared" si="15"/>
        <v>进深比</v>
      </c>
      <c r="AA41" s="1998">
        <f t="shared" si="3"/>
        <v>1</v>
      </c>
      <c r="AB41" s="1998">
        <f t="shared" si="4"/>
        <v>1</v>
      </c>
      <c r="AC41" s="1998">
        <f t="shared" si="5"/>
        <v>1</v>
      </c>
    </row>
    <row r="42" spans="1:29" ht="15">
      <c r="A42" s="1701"/>
      <c r="B42" s="1624" t="s">
        <v>2130</v>
      </c>
      <c r="C42" s="1684" t="s">
        <v>3093</v>
      </c>
      <c r="D42" s="1640">
        <v>100</v>
      </c>
      <c r="E42" s="1684" t="s">
        <v>3093</v>
      </c>
      <c r="F42" s="1683">
        <f>SUMIF(122:122,E42,123:123)-SUMIF(122:122,C42,123:123)+100</f>
        <v>100</v>
      </c>
      <c r="G42" s="1684" t="s">
        <v>3093</v>
      </c>
      <c r="H42" s="1640">
        <f>SUMIF(122:122,G42,123:123)-SUMIF(122:122,C42,123:123)+100</f>
        <v>100</v>
      </c>
      <c r="I42" s="1684" t="s">
        <v>3093</v>
      </c>
      <c r="J42" s="1640">
        <f>SUMIF(122:122,I42,123:123)-SUMIF(122:122,C42,123:123)+100</f>
        <v>100</v>
      </c>
      <c r="K42" s="1921">
        <v>2</v>
      </c>
      <c r="L42" s="2919"/>
      <c r="M42" s="2915"/>
      <c r="N42" s="2915"/>
      <c r="O42" s="2915"/>
      <c r="P42" s="3610"/>
      <c r="Q42" s="2000" t="str">
        <f t="shared" si="11"/>
        <v>内部装修</v>
      </c>
      <c r="R42" s="1654" t="s">
        <v>25</v>
      </c>
      <c r="S42" s="1655">
        <f t="shared" si="12"/>
        <v>100</v>
      </c>
      <c r="T42" s="1654" t="s">
        <v>25</v>
      </c>
      <c r="U42" s="1655">
        <f t="shared" si="13"/>
        <v>100</v>
      </c>
      <c r="V42" s="1654" t="s">
        <v>25</v>
      </c>
      <c r="W42" s="1655">
        <f t="shared" si="14"/>
        <v>100</v>
      </c>
      <c r="X42" s="2003"/>
      <c r="Y42" s="3612"/>
      <c r="Z42" s="2007" t="str">
        <f t="shared" si="15"/>
        <v>内部装修</v>
      </c>
      <c r="AA42" s="1998">
        <f t="shared" si="3"/>
        <v>1</v>
      </c>
      <c r="AB42" s="1998">
        <f t="shared" si="4"/>
        <v>1</v>
      </c>
      <c r="AC42" s="1998">
        <f t="shared" si="5"/>
        <v>1</v>
      </c>
    </row>
    <row r="43" spans="1:29" ht="15">
      <c r="A43" s="1701"/>
      <c r="B43" s="1624" t="s">
        <v>2047</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2</v>
      </c>
      <c r="L43" s="2919"/>
      <c r="M43" s="2915"/>
      <c r="N43" s="2915"/>
      <c r="O43" s="2915"/>
      <c r="P43" s="3610"/>
      <c r="Q43" s="2000" t="str">
        <f t="shared" si="11"/>
        <v>内部装修维护情况</v>
      </c>
      <c r="R43" s="1654" t="s">
        <v>25</v>
      </c>
      <c r="S43" s="1655">
        <f t="shared" si="12"/>
        <v>100</v>
      </c>
      <c r="T43" s="1654" t="s">
        <v>25</v>
      </c>
      <c r="U43" s="1655">
        <f t="shared" si="13"/>
        <v>100</v>
      </c>
      <c r="V43" s="1654" t="s">
        <v>25</v>
      </c>
      <c r="W43" s="1655">
        <f t="shared" si="14"/>
        <v>100</v>
      </c>
      <c r="X43" s="2003"/>
      <c r="Y43" s="3612"/>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610"/>
      <c r="Q44" s="1994">
        <f t="shared" si="11"/>
        <v>111</v>
      </c>
      <c r="R44" s="1609" t="s">
        <v>25</v>
      </c>
      <c r="S44" s="1610">
        <f t="shared" si="12"/>
        <v>100</v>
      </c>
      <c r="T44" s="1609" t="s">
        <v>25</v>
      </c>
      <c r="U44" s="1610">
        <f t="shared" si="13"/>
        <v>100</v>
      </c>
      <c r="V44" s="1609" t="s">
        <v>25</v>
      </c>
      <c r="W44" s="1610">
        <f t="shared" si="14"/>
        <v>100</v>
      </c>
      <c r="X44" s="1611"/>
      <c r="Y44" s="3612"/>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610"/>
      <c r="Q45" s="2000">
        <f t="shared" si="11"/>
        <v>111</v>
      </c>
      <c r="R45" s="1654" t="s">
        <v>25</v>
      </c>
      <c r="S45" s="1655">
        <f t="shared" si="12"/>
        <v>100</v>
      </c>
      <c r="T45" s="1654" t="s">
        <v>25</v>
      </c>
      <c r="U45" s="1655">
        <f t="shared" si="13"/>
        <v>100</v>
      </c>
      <c r="V45" s="1654" t="s">
        <v>25</v>
      </c>
      <c r="W45" s="1655">
        <f t="shared" si="14"/>
        <v>100</v>
      </c>
      <c r="X45" s="2003"/>
      <c r="Y45" s="3612"/>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11"/>
      <c r="Q46" s="2000">
        <f t="shared" si="11"/>
        <v>111</v>
      </c>
      <c r="R46" s="1654" t="s">
        <v>25</v>
      </c>
      <c r="S46" s="1655">
        <f t="shared" si="12"/>
        <v>100</v>
      </c>
      <c r="T46" s="1654" t="s">
        <v>25</v>
      </c>
      <c r="U46" s="1655">
        <f t="shared" si="13"/>
        <v>100</v>
      </c>
      <c r="V46" s="1654" t="s">
        <v>25</v>
      </c>
      <c r="W46" s="1655">
        <f t="shared" si="14"/>
        <v>100</v>
      </c>
      <c r="X46" s="2003"/>
      <c r="Y46" s="3613"/>
      <c r="Z46" s="2007">
        <f t="shared" si="15"/>
        <v>111</v>
      </c>
      <c r="AA46" s="1998">
        <f t="shared" si="3"/>
        <v>1</v>
      </c>
      <c r="AB46" s="1998">
        <f t="shared" si="4"/>
        <v>1</v>
      </c>
      <c r="AC46" s="1998">
        <f t="shared" si="5"/>
        <v>1</v>
      </c>
    </row>
    <row r="47" spans="1:29" ht="15">
      <c r="A47" s="1710" t="s">
        <v>2048</v>
      </c>
      <c r="B47" s="1711"/>
      <c r="C47" s="1712" t="s">
        <v>1</v>
      </c>
      <c r="D47" s="1713"/>
      <c r="E47" s="1714">
        <v>14400</v>
      </c>
      <c r="F47" s="1715"/>
      <c r="G47" s="1716">
        <v>12900</v>
      </c>
      <c r="H47" s="1717"/>
      <c r="I47" s="1714">
        <v>11000</v>
      </c>
      <c r="J47" s="1717"/>
      <c r="K47" s="1942"/>
      <c r="L47" s="2920"/>
      <c r="N47" s="2915"/>
      <c r="P47" s="3614" t="str">
        <f>A47</f>
        <v>成交单价（元/平方米）</v>
      </c>
      <c r="Q47" s="3614"/>
      <c r="R47" s="3615">
        <f>E47</f>
        <v>14400</v>
      </c>
      <c r="S47" s="3615"/>
      <c r="T47" s="3615">
        <f>G47</f>
        <v>12900</v>
      </c>
      <c r="U47" s="3615"/>
      <c r="V47" s="3615">
        <f>I47</f>
        <v>11000</v>
      </c>
      <c r="W47" s="3615"/>
      <c r="X47" s="1720"/>
      <c r="Y47" s="2002"/>
      <c r="Z47" s="1720"/>
      <c r="AA47" s="1720"/>
      <c r="AB47" s="1720"/>
      <c r="AC47" s="1720"/>
    </row>
    <row r="48" spans="1:29" ht="15.75" thickBot="1">
      <c r="A48" s="1722" t="s">
        <v>2131</v>
      </c>
      <c r="B48" s="1723"/>
      <c r="C48" s="1724">
        <f>R49</f>
        <v>13106</v>
      </c>
      <c r="D48" s="1725" t="s">
        <v>2499</v>
      </c>
      <c r="E48" s="1726">
        <f>R48</f>
        <v>14434</v>
      </c>
      <c r="F48" s="1727"/>
      <c r="G48" s="1724">
        <f>T48</f>
        <v>13058</v>
      </c>
      <c r="H48" s="1727"/>
      <c r="I48" s="1726">
        <f>V48</f>
        <v>11826</v>
      </c>
      <c r="J48" s="1727"/>
      <c r="K48" s="2429">
        <f>F48+H48+J48</f>
        <v>0</v>
      </c>
      <c r="L48" s="2920"/>
      <c r="N48" s="2915"/>
      <c r="P48" s="3614" t="str">
        <f>A48</f>
        <v>比较价值（元/平方米）</v>
      </c>
      <c r="Q48" s="3614"/>
      <c r="R48" s="3615">
        <f>IF(E1="售价",ROUND(PRODUCT(R47,AA7:AA46),0),ROUND(PRODUCT(R47,AA7:AA46),1))</f>
        <v>14434</v>
      </c>
      <c r="S48" s="3615"/>
      <c r="T48" s="3615">
        <f>IF(E1="售价",ROUND(PRODUCT(T47,AB7:AB46),0),ROUND(PRODUCT(T47,AB7:AB46),1))</f>
        <v>13058</v>
      </c>
      <c r="U48" s="3615"/>
      <c r="V48" s="3615">
        <f>IF(E1="售价",ROUND(PRODUCT(V47,AC7:AC46),0),ROUND(PRODUCT(V47,AC7:AC46),1))</f>
        <v>11826</v>
      </c>
      <c r="W48" s="3615"/>
      <c r="X48" s="1720"/>
      <c r="Y48" s="1720"/>
      <c r="Z48" s="1720"/>
      <c r="AA48" s="1720"/>
      <c r="AB48" s="1720"/>
      <c r="AC48" s="1720"/>
    </row>
    <row r="49" spans="1:29" ht="15.75" thickBot="1">
      <c r="A49" s="1728" t="s">
        <v>2132</v>
      </c>
      <c r="B49" s="1729"/>
      <c r="C49" s="1731">
        <f>R49</f>
        <v>13106</v>
      </c>
      <c r="D49" s="1731"/>
      <c r="E49" s="1731"/>
      <c r="F49" s="1731"/>
      <c r="G49" s="1731"/>
      <c r="H49" s="1731"/>
      <c r="I49" s="1731"/>
      <c r="J49" s="1731"/>
      <c r="K49" s="1947"/>
      <c r="L49" s="2920"/>
      <c r="N49" s="2915"/>
      <c r="P49" s="3616" t="str">
        <f>A49</f>
        <v>估价对象XX用房的比较价值（楼面单价，元/平方米）</v>
      </c>
      <c r="Q49" s="3617"/>
      <c r="R49" s="3618">
        <f>IF(E1="售价",ROUND(IF(D48="简单平均",AVERAGE(R48:V48),R48*F48+T48*H48+V48*J48),0),ROUND(IF(D48="简单平均",AVERAGE(R48:V48),R48*F48+T48*H48+V48*J48),1))</f>
        <v>13106</v>
      </c>
      <c r="S49" s="3618"/>
      <c r="T49" s="3618"/>
      <c r="U49" s="3618"/>
      <c r="V49" s="3618"/>
      <c r="W49" s="3618"/>
      <c r="X49" s="1720"/>
      <c r="Y49" s="1720"/>
      <c r="Z49" s="1720"/>
      <c r="AA49" s="1720"/>
      <c r="AB49" s="1720"/>
      <c r="AC49" s="1720"/>
    </row>
    <row r="50" spans="1:29">
      <c r="C50" s="1595">
        <v>2012</v>
      </c>
      <c r="G50" s="2924"/>
      <c r="I50" s="1595">
        <v>2017</v>
      </c>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f>IF(E47&lt;E48,E48/E47-1,E47/E48-1)</f>
        <v>2.3611111111110361E-3</v>
      </c>
      <c r="F52" s="1738" t="str">
        <f>IF(OR(E52&gt;=0.3,E52&lt;=-0.3),"超过30%","")</f>
        <v/>
      </c>
      <c r="G52" s="1737">
        <f>IF(G47&lt;G48,G48/G47-1,G47/G48-1)</f>
        <v>1.224806201550388E-2</v>
      </c>
      <c r="H52" s="1738" t="str">
        <f>IF(OR(G52&gt;=0.3,G52&lt;=-0.3),"超过30%","")</f>
        <v/>
      </c>
      <c r="I52" s="1737">
        <f>IF(I47&lt;I48,I48/I47-1,I47/I48-1)</f>
        <v>7.5090909090909097E-2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f>IF(E48&lt;G48,G48/E48-1,E48/G48-1)</f>
        <v>0.10537601470363001</v>
      </c>
      <c r="F53" s="1738" t="str">
        <f>IF(OR(E53&gt;=0.2,E53&lt;=-0.2),"超过20%","")</f>
        <v/>
      </c>
      <c r="G53" s="1737">
        <f>IF(G48&lt;I48,I48/G48-1,G48/I48-1)</f>
        <v>0.10417723659732792</v>
      </c>
      <c r="H53" s="1738" t="str">
        <f>IF(OR(G53&gt;=0.2,G53&lt;=-0.2),"超过20%","")</f>
        <v/>
      </c>
      <c r="I53" s="1737">
        <f>IF(I48&lt;E48,E48/I48-1,I48/E48-1)</f>
        <v>0.22053103331642143</v>
      </c>
      <c r="J53" s="1738" t="str">
        <f>IF(OR(I53&gt;=0.2,I53&lt;=-0.2),"超过20%","")</f>
        <v>超过20%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f>IF(E47&lt;G47,G47/E47-1,E47/G47-1)</f>
        <v>0.11627906976744184</v>
      </c>
      <c r="F54" s="1738" t="str">
        <f>IF(OR(E54&gt;=0.3,E54&lt;=-0.3),"超过30%","")</f>
        <v/>
      </c>
      <c r="G54" s="1737">
        <f>IF(G47&lt;I47,I47/G47-1,G47/I47-1)</f>
        <v>0.17272727272727262</v>
      </c>
      <c r="H54" s="1738" t="str">
        <f>IF(OR(G54&gt;=0.3,G54&lt;=-0.3),"超过30%","")</f>
        <v/>
      </c>
      <c r="I54" s="1737">
        <f>IF(I47&lt;E47,E47/I47-1,I47/E47-1)</f>
        <v>0.30909090909090908</v>
      </c>
      <c r="J54" s="1738" t="str">
        <f>IF(OR(I54&gt;=0.3,I54&lt;=-0.3),"超过30%","")</f>
        <v>超过30%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2059</v>
      </c>
      <c r="B63" s="1776" t="s">
        <v>2024</v>
      </c>
      <c r="C63" s="1777" t="str">
        <f>C9</f>
        <v>商业</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98</v>
      </c>
      <c r="H66" s="1791">
        <f>G66-$K10</f>
        <v>96</v>
      </c>
      <c r="I66" s="1791">
        <f>H66-$K10</f>
        <v>94</v>
      </c>
      <c r="J66" s="1791"/>
      <c r="K66" s="1791"/>
      <c r="L66" s="1791"/>
      <c r="M66" s="1792"/>
      <c r="N66" s="2934"/>
      <c r="O66" s="2934"/>
      <c r="P66" s="1781"/>
      <c r="Q66" s="1750"/>
    </row>
    <row r="67" spans="1:17" ht="15.75" thickTop="1">
      <c r="A67" s="1782"/>
      <c r="B67" s="1793" t="s">
        <v>2028</v>
      </c>
      <c r="C67" s="1794" t="str">
        <f>C68&amp;"（含）"&amp;"-"&amp;D68</f>
        <v>0（含）-1</v>
      </c>
      <c r="D67" s="1794" t="str">
        <f t="shared" ref="D67:L67" si="17">D68&amp;"（含）"&amp;"-"&amp;E68</f>
        <v>1（含）-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v>0</v>
      </c>
      <c r="D68" s="1796">
        <v>1</v>
      </c>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3"/>
      <c r="O76" s="2933"/>
      <c r="P76" s="1781"/>
      <c r="Q76" s="1750"/>
    </row>
    <row r="77" spans="1:17" ht="15.75" thickBot="1">
      <c r="A77" s="1782"/>
      <c r="B77" s="1790"/>
      <c r="C77" s="1791">
        <v>100</v>
      </c>
      <c r="D77" s="1791">
        <f>C77-$K15</f>
        <v>97</v>
      </c>
      <c r="E77" s="1791">
        <f>D77-$K15</f>
        <v>94</v>
      </c>
      <c r="F77" s="1791">
        <f>E77-$K15</f>
        <v>91</v>
      </c>
      <c r="G77" s="1791">
        <f>F77-$K15</f>
        <v>88</v>
      </c>
      <c r="H77" s="1791"/>
      <c r="I77" s="1791"/>
      <c r="J77" s="1791"/>
      <c r="K77" s="1791"/>
      <c r="L77" s="1791"/>
      <c r="M77" s="1792"/>
      <c r="N77" s="2934"/>
      <c r="O77" s="2934"/>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3"/>
      <c r="O78" s="2933"/>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4"/>
      <c r="O79" s="2934"/>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3"/>
      <c r="O80" s="2933"/>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4"/>
      <c r="O81" s="2934"/>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4"/>
      <c r="O82" s="2934"/>
      <c r="P82" s="1781"/>
      <c r="Q82" s="1750"/>
    </row>
    <row r="83" spans="1:17" ht="15.75" thickBot="1">
      <c r="A83" s="1782"/>
      <c r="B83" s="1793"/>
      <c r="C83" s="1791">
        <v>100</v>
      </c>
      <c r="D83" s="1791">
        <f>C83-$K21</f>
        <v>98</v>
      </c>
      <c r="E83" s="1791">
        <f>D83-$K21</f>
        <v>96</v>
      </c>
      <c r="F83" s="1791">
        <f>E83-$K21</f>
        <v>94</v>
      </c>
      <c r="G83" s="1791">
        <f>F83-$K21</f>
        <v>92</v>
      </c>
      <c r="H83" s="1817"/>
      <c r="I83" s="1817"/>
      <c r="J83" s="1817"/>
      <c r="K83" s="1817"/>
      <c r="L83" s="1817"/>
      <c r="M83" s="1664"/>
      <c r="N83" s="2934"/>
      <c r="O83" s="2934"/>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3"/>
      <c r="O84" s="2933"/>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4"/>
      <c r="O85" s="2934"/>
      <c r="P85" s="1781"/>
      <c r="Q85" s="1750"/>
    </row>
    <row r="86" spans="1:17" s="1613" customFormat="1" ht="15.75" thickTop="1">
      <c r="A86" s="1818"/>
      <c r="B86" s="1787" t="s">
        <v>2137</v>
      </c>
      <c r="C86" s="3337" t="s">
        <v>3064</v>
      </c>
      <c r="D86" s="3337" t="s">
        <v>3065</v>
      </c>
      <c r="E86" s="3337" t="s">
        <v>3067</v>
      </c>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98</v>
      </c>
      <c r="E87" s="1791">
        <f t="shared" si="19"/>
        <v>96</v>
      </c>
      <c r="F87" s="1791">
        <f t="shared" si="19"/>
        <v>94</v>
      </c>
      <c r="G87" s="1791">
        <f t="shared" si="19"/>
        <v>92</v>
      </c>
      <c r="H87" s="1791">
        <f t="shared" si="19"/>
        <v>90</v>
      </c>
      <c r="I87" s="1791">
        <f t="shared" si="19"/>
        <v>88</v>
      </c>
      <c r="J87" s="1791">
        <f t="shared" si="19"/>
        <v>86</v>
      </c>
      <c r="K87" s="1791">
        <f t="shared" si="19"/>
        <v>84</v>
      </c>
      <c r="L87" s="1791">
        <f t="shared" si="19"/>
        <v>82</v>
      </c>
      <c r="M87" s="1791">
        <f t="shared" si="19"/>
        <v>80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3337" t="s">
        <v>3069</v>
      </c>
      <c r="D90" s="3337" t="s">
        <v>3071</v>
      </c>
      <c r="E90" s="3337" t="s">
        <v>3072</v>
      </c>
      <c r="F90" s="3337" t="s">
        <v>3073</v>
      </c>
      <c r="G90" s="3337" t="s">
        <v>3074</v>
      </c>
      <c r="H90" s="443"/>
      <c r="I90" s="443"/>
      <c r="J90" s="443"/>
      <c r="K90" s="443"/>
      <c r="L90" s="443"/>
      <c r="M90" s="1799"/>
      <c r="N90" s="2935"/>
      <c r="O90" s="2935"/>
      <c r="P90" s="1801"/>
      <c r="Q90" s="1802"/>
    </row>
    <row r="91" spans="1:17" s="1700" customFormat="1" ht="15.75" thickBot="1">
      <c r="A91" s="1798"/>
      <c r="B91" s="1790"/>
      <c r="C91" s="1820">
        <v>100</v>
      </c>
      <c r="D91" s="1791">
        <f>C91-$K27</f>
        <v>98</v>
      </c>
      <c r="E91" s="1791">
        <f t="shared" ref="E91:M91" si="20">D91-$K27</f>
        <v>96</v>
      </c>
      <c r="F91" s="1791">
        <f t="shared" si="20"/>
        <v>94</v>
      </c>
      <c r="G91" s="1791">
        <f t="shared" si="20"/>
        <v>92</v>
      </c>
      <c r="H91" s="1791">
        <f t="shared" si="20"/>
        <v>90</v>
      </c>
      <c r="I91" s="1791">
        <f t="shared" si="20"/>
        <v>88</v>
      </c>
      <c r="J91" s="1791">
        <f t="shared" si="20"/>
        <v>86</v>
      </c>
      <c r="K91" s="1791">
        <f t="shared" si="20"/>
        <v>84</v>
      </c>
      <c r="L91" s="1791">
        <f t="shared" si="20"/>
        <v>82</v>
      </c>
      <c r="M91" s="1791">
        <f t="shared" si="20"/>
        <v>80</v>
      </c>
      <c r="N91" s="2935"/>
      <c r="O91" s="2935"/>
      <c r="P91" s="1801"/>
      <c r="Q91" s="1802"/>
    </row>
    <row r="92" spans="1:17" ht="15.75" thickTop="1">
      <c r="A92" s="1782"/>
      <c r="B92" s="1787" t="str">
        <f>B28</f>
        <v>楼层</v>
      </c>
      <c r="C92" s="468" t="s">
        <v>3075</v>
      </c>
      <c r="D92" s="468" t="s">
        <v>3076</v>
      </c>
      <c r="E92" s="468" t="s">
        <v>3077</v>
      </c>
      <c r="F92" s="468"/>
      <c r="G92" s="468"/>
      <c r="H92" s="468"/>
      <c r="I92" s="468"/>
      <c r="J92" s="468"/>
      <c r="K92" s="468"/>
      <c r="L92" s="468"/>
      <c r="M92" s="1819"/>
      <c r="N92" s="2933"/>
      <c r="O92" s="2933"/>
      <c r="P92" s="1781"/>
      <c r="Q92" s="1750"/>
    </row>
    <row r="93" spans="1:17" ht="15.75" thickBot="1">
      <c r="A93" s="1782"/>
      <c r="B93" s="1790"/>
      <c r="C93" s="1784">
        <v>100</v>
      </c>
      <c r="D93" s="1784">
        <v>70</v>
      </c>
      <c r="E93" s="1784">
        <v>60</v>
      </c>
      <c r="F93" s="1784"/>
      <c r="G93" s="1784"/>
      <c r="H93" s="1784"/>
      <c r="I93" s="1784"/>
      <c r="J93" s="1784"/>
      <c r="K93" s="1784"/>
      <c r="L93" s="1784"/>
      <c r="M93" s="1785"/>
      <c r="N93" s="2934"/>
      <c r="O93" s="2934"/>
      <c r="P93" s="1781"/>
      <c r="Q93" s="1750"/>
    </row>
    <row r="94" spans="1:17" ht="15.75" thickTop="1">
      <c r="A94" s="1782"/>
      <c r="B94" s="1787" t="str">
        <f>B29</f>
        <v>道路等级</v>
      </c>
      <c r="C94" s="3337" t="s">
        <v>3098</v>
      </c>
      <c r="D94" s="3337" t="s">
        <v>3099</v>
      </c>
      <c r="E94" s="3337" t="s">
        <v>3100</v>
      </c>
      <c r="F94" s="468"/>
      <c r="G94" s="1506"/>
      <c r="H94" s="1506"/>
      <c r="I94" s="1506"/>
      <c r="J94" s="1506"/>
      <c r="K94" s="473"/>
      <c r="L94" s="473"/>
      <c r="M94" s="1822"/>
      <c r="N94" s="2933"/>
      <c r="O94" s="2933"/>
      <c r="P94" s="1781"/>
      <c r="Q94" s="1750"/>
    </row>
    <row r="95" spans="1:17" ht="15.75" thickBot="1">
      <c r="A95" s="1782"/>
      <c r="B95" s="1790"/>
      <c r="C95" s="1803">
        <v>100</v>
      </c>
      <c r="D95" s="1784">
        <v>99</v>
      </c>
      <c r="E95" s="1784">
        <v>98</v>
      </c>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2034</v>
      </c>
      <c r="B100" s="1776" t="s">
        <v>2138</v>
      </c>
      <c r="C100" s="3338" t="s">
        <v>3078</v>
      </c>
      <c r="D100" s="3338" t="s">
        <v>3079</v>
      </c>
      <c r="E100" s="3338" t="s">
        <v>3081</v>
      </c>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97</v>
      </c>
      <c r="E101" s="1791">
        <f t="shared" si="21"/>
        <v>94</v>
      </c>
      <c r="F101" s="1791">
        <f t="shared" si="21"/>
        <v>91</v>
      </c>
      <c r="G101" s="1791">
        <f t="shared" si="21"/>
        <v>88</v>
      </c>
      <c r="H101" s="1791">
        <f t="shared" si="21"/>
        <v>85</v>
      </c>
      <c r="I101" s="1791">
        <f t="shared" si="21"/>
        <v>82</v>
      </c>
      <c r="J101" s="1791">
        <f t="shared" si="21"/>
        <v>79</v>
      </c>
      <c r="K101" s="1791">
        <f t="shared" si="21"/>
        <v>76</v>
      </c>
      <c r="L101" s="1791">
        <f t="shared" si="21"/>
        <v>73</v>
      </c>
      <c r="M101" s="1792">
        <f t="shared" si="21"/>
        <v>70</v>
      </c>
      <c r="N101" s="2934"/>
      <c r="O101" s="2934"/>
      <c r="P101" s="1781"/>
      <c r="Q101" s="1750"/>
    </row>
    <row r="102" spans="1:17" ht="15.75" thickTop="1">
      <c r="A102" s="1782"/>
      <c r="B102" s="1787" t="s">
        <v>2084</v>
      </c>
      <c r="C102" s="579" t="str">
        <f>C103&amp;"(含)"&amp;"-"&amp;D103</f>
        <v>0(含)-50</v>
      </c>
      <c r="D102" s="579" t="str">
        <f t="shared" ref="D102:L102" si="22">D103&amp;"(含)"&amp;"-"&amp;E103</f>
        <v>50(含)-100</v>
      </c>
      <c r="E102" s="579" t="str">
        <f t="shared" si="22"/>
        <v>100(含)-200</v>
      </c>
      <c r="F102" s="579" t="str">
        <f t="shared" si="22"/>
        <v>200(含)-300</v>
      </c>
      <c r="G102" s="579" t="str">
        <f t="shared" si="22"/>
        <v>300(含)-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v>0</v>
      </c>
      <c r="D103" s="1830">
        <v>50</v>
      </c>
      <c r="E103" s="1830">
        <v>100</v>
      </c>
      <c r="F103" s="1830">
        <v>200</v>
      </c>
      <c r="G103" s="1830">
        <v>300</v>
      </c>
      <c r="H103" s="1830"/>
      <c r="I103" s="1830"/>
      <c r="J103" s="485"/>
      <c r="K103" s="485"/>
      <c r="L103" s="485"/>
      <c r="M103" s="1831"/>
      <c r="N103" s="2935"/>
      <c r="O103" s="2935"/>
      <c r="P103" s="1801"/>
      <c r="Q103" s="1802"/>
    </row>
    <row r="104" spans="1:17" s="1700" customFormat="1" ht="15.75" thickBot="1">
      <c r="A104" s="1798"/>
      <c r="B104" s="1790"/>
      <c r="C104" s="1803">
        <v>100</v>
      </c>
      <c r="D104" s="1784">
        <v>99</v>
      </c>
      <c r="E104" s="1784">
        <v>98</v>
      </c>
      <c r="F104" s="1784">
        <v>97</v>
      </c>
      <c r="G104" s="1784">
        <v>96</v>
      </c>
      <c r="H104" s="1784"/>
      <c r="I104" s="1784"/>
      <c r="J104" s="1784"/>
      <c r="K104" s="1784"/>
      <c r="L104" s="1784"/>
      <c r="M104" s="1785"/>
      <c r="N104" s="2934"/>
      <c r="O104" s="2934"/>
      <c r="P104" s="1801"/>
      <c r="Q104" s="1802"/>
    </row>
    <row r="105" spans="1:17" ht="15" thickTop="1">
      <c r="A105" s="1832"/>
      <c r="B105" s="1787" t="s">
        <v>2085</v>
      </c>
      <c r="C105" s="3337" t="s">
        <v>3082</v>
      </c>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4"/>
      <c r="O106" s="2934"/>
      <c r="P106" s="1781"/>
      <c r="Q106" s="1750"/>
    </row>
    <row r="107" spans="1:17" ht="15" thickTop="1">
      <c r="A107" s="1832"/>
      <c r="B107" s="1787" t="s">
        <v>2087</v>
      </c>
      <c r="C107" s="3337" t="s">
        <v>3083</v>
      </c>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102</v>
      </c>
      <c r="E111" s="1791">
        <f t="shared" ref="E111:M111" si="25">D111+$K36</f>
        <v>104</v>
      </c>
      <c r="F111" s="1791">
        <f t="shared" si="25"/>
        <v>106</v>
      </c>
      <c r="G111" s="1791">
        <f t="shared" si="25"/>
        <v>108</v>
      </c>
      <c r="H111" s="1791">
        <f t="shared" si="25"/>
        <v>110</v>
      </c>
      <c r="I111" s="1791">
        <f t="shared" si="25"/>
        <v>112</v>
      </c>
      <c r="J111" s="1791">
        <f t="shared" si="25"/>
        <v>114</v>
      </c>
      <c r="K111" s="1791">
        <f t="shared" si="25"/>
        <v>116</v>
      </c>
      <c r="L111" s="1791">
        <f t="shared" si="25"/>
        <v>118</v>
      </c>
      <c r="M111" s="1791">
        <f t="shared" si="25"/>
        <v>120</v>
      </c>
      <c r="N111" s="2934"/>
      <c r="O111" s="2934"/>
      <c r="P111" s="1781"/>
      <c r="Q111" s="1750"/>
    </row>
    <row r="112" spans="1:17" s="1700" customFormat="1" ht="15" thickTop="1">
      <c r="A112" s="1828"/>
      <c r="B112" s="1787" t="s">
        <v>2090</v>
      </c>
      <c r="C112" s="3337" t="s">
        <v>3084</v>
      </c>
      <c r="D112" s="3337" t="s">
        <v>3085</v>
      </c>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98</v>
      </c>
      <c r="E113" s="1791">
        <f t="shared" ref="E113:M113" si="26">D113-$K37</f>
        <v>96</v>
      </c>
      <c r="F113" s="1791">
        <f t="shared" si="26"/>
        <v>94</v>
      </c>
      <c r="G113" s="1791">
        <f t="shared" si="26"/>
        <v>92</v>
      </c>
      <c r="H113" s="1791">
        <f t="shared" si="26"/>
        <v>90</v>
      </c>
      <c r="I113" s="1791">
        <f t="shared" si="26"/>
        <v>88</v>
      </c>
      <c r="J113" s="1791">
        <f t="shared" si="26"/>
        <v>86</v>
      </c>
      <c r="K113" s="1791">
        <f t="shared" si="26"/>
        <v>84</v>
      </c>
      <c r="L113" s="1791">
        <f t="shared" si="26"/>
        <v>82</v>
      </c>
      <c r="M113" s="1791">
        <f t="shared" si="26"/>
        <v>80</v>
      </c>
      <c r="N113" s="2935"/>
      <c r="O113" s="2935"/>
      <c r="P113" s="1801"/>
      <c r="Q113" s="1802"/>
    </row>
    <row r="114" spans="1:17" ht="15" thickTop="1">
      <c r="A114" s="1832"/>
      <c r="B114" s="1787" t="s">
        <v>2139</v>
      </c>
      <c r="C114" s="3337" t="s">
        <v>3087</v>
      </c>
      <c r="D114" s="3337" t="s">
        <v>3088</v>
      </c>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98</v>
      </c>
      <c r="E115" s="1791">
        <f t="shared" si="27"/>
        <v>96</v>
      </c>
      <c r="F115" s="1791">
        <f t="shared" si="27"/>
        <v>94</v>
      </c>
      <c r="G115" s="1791">
        <f t="shared" si="27"/>
        <v>92</v>
      </c>
      <c r="H115" s="1791">
        <f t="shared" si="27"/>
        <v>90</v>
      </c>
      <c r="I115" s="1791">
        <f t="shared" si="27"/>
        <v>88</v>
      </c>
      <c r="J115" s="1791">
        <f t="shared" si="27"/>
        <v>86</v>
      </c>
      <c r="K115" s="1791">
        <f t="shared" si="27"/>
        <v>84</v>
      </c>
      <c r="L115" s="1791">
        <f t="shared" si="27"/>
        <v>82</v>
      </c>
      <c r="M115" s="1792">
        <f t="shared" si="27"/>
        <v>80</v>
      </c>
      <c r="N115" s="2934"/>
      <c r="O115" s="2934"/>
      <c r="P115" s="1781"/>
      <c r="Q115" s="1750"/>
    </row>
    <row r="116" spans="1:17" ht="15" thickTop="1">
      <c r="A116" s="1832"/>
      <c r="B116" s="1787" t="s">
        <v>2140</v>
      </c>
      <c r="C116" s="3337" t="s">
        <v>3090</v>
      </c>
      <c r="D116" s="3337" t="s">
        <v>3092</v>
      </c>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95</v>
      </c>
      <c r="E117" s="1791">
        <f>D117-$K39</f>
        <v>90</v>
      </c>
      <c r="F117" s="1791">
        <f>E117-$K39</f>
        <v>85</v>
      </c>
      <c r="G117" s="1791">
        <f>F117-$K39</f>
        <v>80</v>
      </c>
      <c r="H117" s="1791"/>
      <c r="I117" s="1791"/>
      <c r="J117" s="1791"/>
      <c r="K117" s="1791"/>
      <c r="L117" s="1791"/>
      <c r="M117" s="1792"/>
      <c r="N117" s="2934"/>
      <c r="O117" s="2934"/>
      <c r="P117" s="1781"/>
      <c r="Q117" s="1750"/>
    </row>
    <row r="118" spans="1:17" ht="15" thickTop="1">
      <c r="A118" s="1832"/>
      <c r="B118" s="1787" t="s">
        <v>2141</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2092</v>
      </c>
      <c r="C122" s="3337" t="s">
        <v>3083</v>
      </c>
      <c r="D122" s="3337" t="s">
        <v>3094</v>
      </c>
      <c r="E122" s="3337" t="s">
        <v>3095</v>
      </c>
      <c r="F122" s="3339" t="s">
        <v>3096</v>
      </c>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4"/>
      <c r="O123" s="2934"/>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3"/>
      <c r="O124" s="2933"/>
      <c r="P124" s="1801"/>
      <c r="Q124" s="1750"/>
    </row>
    <row r="125" spans="1:17" ht="15.75" thickBot="1">
      <c r="A125" s="1782"/>
      <c r="B125" s="1790"/>
      <c r="C125" s="1791">
        <v>100</v>
      </c>
      <c r="D125" s="1791">
        <f>C125-$K43</f>
        <v>98</v>
      </c>
      <c r="E125" s="1791">
        <f>D125-$K43</f>
        <v>96</v>
      </c>
      <c r="F125" s="1791">
        <f>E125-$K43</f>
        <v>94</v>
      </c>
      <c r="G125" s="1791">
        <f>F125-$K43</f>
        <v>92</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C4341-06B1-4B71-8F27-35DD3EF397C1}">
  <dimension ref="A1"/>
  <sheetViews>
    <sheetView tabSelected="1" topLeftCell="A109" workbookViewId="0">
      <selection activeCell="N139" sqref="N139"/>
    </sheetView>
  </sheetViews>
  <sheetFormatPr defaultRowHeight="13.5"/>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500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6023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1282061.0000000002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1500*D10</f>
        <v>1244115.0000000002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37946</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829.41000000000008</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165882</v>
      </c>
      <c r="D19" s="1104">
        <f>IF(B1="仅计算典型户型",'数据-取费表'!E5,'数据-取费表'!B5)</f>
        <v>829.41000000000008</v>
      </c>
      <c r="E19" s="111">
        <f>'数据-取费表'!E15</f>
        <v>200</v>
      </c>
      <c r="F19" s="112"/>
      <c r="G19" s="1446"/>
    </row>
    <row r="20" spans="1:123" s="91" customFormat="1" ht="13.5" customHeight="1">
      <c r="A20" s="120" t="s">
        <v>1702</v>
      </c>
      <c r="B20" s="89" t="s">
        <v>1703</v>
      </c>
      <c r="C20" s="99">
        <f>ROUND((C5+C19)*F20,0)</f>
        <v>28959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125398</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109955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14227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1216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221535</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221535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1974275</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2766082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2488230</v>
      </c>
      <c r="D34" s="1096"/>
      <c r="E34" s="115"/>
      <c r="F34" s="1107" t="str">
        <f>IF('数据-取费表'!B26=0,"",'数据-取费表'!E20)</f>
        <v/>
      </c>
      <c r="G34" s="95"/>
    </row>
    <row r="35" spans="1:123" ht="13.5" customHeight="1">
      <c r="A35" s="92" t="s">
        <v>1685</v>
      </c>
      <c r="B35" s="93" t="s">
        <v>1734</v>
      </c>
      <c r="C35" s="115">
        <f>ROUND(C34*F35,0)</f>
        <v>74647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165882</v>
      </c>
      <c r="D37" s="1096">
        <f>IF(B1="仅计算典型户型",'数据-取费表'!E5,'数据-取费表'!B5)</f>
        <v>829.41000000000008</v>
      </c>
      <c r="E37" s="115">
        <f>'数据-取费表'!E23</f>
        <v>200</v>
      </c>
      <c r="F37" s="1108"/>
      <c r="G37" s="124" t="s">
        <v>1739</v>
      </c>
    </row>
    <row r="38" spans="1:123" ht="13.5" customHeight="1">
      <c r="A38" s="92" t="s">
        <v>1740</v>
      </c>
      <c r="B38" s="93" t="s">
        <v>1741</v>
      </c>
      <c r="C38" s="115">
        <f>ROUND(C34*F38,0)</f>
        <v>37323</v>
      </c>
      <c r="D38" s="115"/>
      <c r="E38" s="115"/>
      <c r="F38" s="1108">
        <f>'数据-取费表'!E24</f>
        <v>1.4999999999999999E-2</v>
      </c>
      <c r="G38" s="95" t="s">
        <v>1735</v>
      </c>
    </row>
    <row r="39" spans="1:123" s="91" customFormat="1" ht="13.5" customHeight="1">
      <c r="A39" s="120" t="s">
        <v>1700</v>
      </c>
      <c r="B39" s="89" t="s">
        <v>1703</v>
      </c>
      <c r="C39" s="99">
        <f>ROUND(C33*F20,0)</f>
        <v>55322</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118499</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116175</v>
      </c>
      <c r="D42" s="104"/>
      <c r="E42" s="104"/>
      <c r="F42" s="105"/>
      <c r="G42" s="3619" t="s">
        <v>1745</v>
      </c>
    </row>
    <row r="43" spans="1:123" ht="13.5" customHeight="1">
      <c r="A43" s="92" t="s">
        <v>1685</v>
      </c>
      <c r="B43" s="93" t="s">
        <v>1714</v>
      </c>
      <c r="C43" s="104">
        <f ca="1">ROUND(IF('数据-取费表'!B24&lt;=1,C39*F22*'数据-取费表'!B23/2,C39*(POWER((1+F22),'数据-取费表'!B23/2)-1)),0)</f>
        <v>2324</v>
      </c>
      <c r="D43" s="104"/>
      <c r="E43" s="104"/>
      <c r="F43" s="105"/>
      <c r="G43" s="3620"/>
    </row>
    <row r="44" spans="1:123" ht="13.5" customHeight="1">
      <c r="A44" s="92" t="s">
        <v>1687</v>
      </c>
      <c r="B44" s="93" t="s">
        <v>1716</v>
      </c>
      <c r="C44" s="104">
        <f ca="1">ROUND(IF('数据-取费表'!B24&lt;=1,C40*F22*'数据-取费表'!B23/2,C40*(POWER((1+F22),'数据-取费表'!B23/2)-1)),4)</f>
        <v>8.0000000000000004E-4</v>
      </c>
      <c r="D44" s="104"/>
      <c r="E44" s="104"/>
      <c r="F44" s="105"/>
      <c r="G44" s="3621"/>
    </row>
    <row r="45" spans="1:123" s="91" customFormat="1" ht="13.5" customHeight="1">
      <c r="A45" s="120" t="s">
        <v>1709</v>
      </c>
      <c r="B45" s="110" t="s">
        <v>1721</v>
      </c>
      <c r="C45" s="111">
        <f>C46</f>
        <v>423211</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423211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3640522</v>
      </c>
      <c r="D49" s="99"/>
      <c r="E49" s="99"/>
      <c r="F49" s="126"/>
      <c r="G49" s="100" t="s">
        <v>1753</v>
      </c>
    </row>
    <row r="50" spans="1:123" s="122" customFormat="1" ht="24">
      <c r="A50" s="952" t="s">
        <v>1754</v>
      </c>
      <c r="B50" s="89" t="s">
        <v>1755</v>
      </c>
      <c r="C50" s="99"/>
      <c r="D50" s="99"/>
      <c r="E50" s="99"/>
      <c r="F50" s="126">
        <f>IF('数据-取费表'!B26=0,'数据-取费表'!E20,1)</f>
        <v>0.83</v>
      </c>
      <c r="G50" s="113" t="s">
        <v>1756</v>
      </c>
    </row>
    <row r="51" spans="1:123" ht="16.5" customHeight="1">
      <c r="A51" s="952" t="s">
        <v>1757</v>
      </c>
      <c r="B51" s="89" t="s">
        <v>1758</v>
      </c>
      <c r="C51" s="99">
        <f ca="1">ROUND(C49*F50,0)</f>
        <v>3021633</v>
      </c>
      <c r="D51" s="99"/>
      <c r="E51" s="99"/>
      <c r="F51" s="126"/>
      <c r="G51" s="100" t="s">
        <v>1759</v>
      </c>
    </row>
    <row r="52" spans="1:123" s="88" customFormat="1" ht="16.5" thickBot="1">
      <c r="A52" s="127" t="s">
        <v>1760</v>
      </c>
      <c r="B52" s="128"/>
      <c r="C52" s="129">
        <f ca="1">C31+C51</f>
        <v>4995908</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0.60499999999999998</v>
      </c>
    </row>
    <row r="57" spans="1:123">
      <c r="B57" s="135" t="s">
        <v>1763</v>
      </c>
      <c r="C57" s="137">
        <f ca="1">1-C56</f>
        <v>0.39500000000000002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347</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24770</v>
      </c>
      <c r="C3" s="1329" t="s">
        <v>1050</v>
      </c>
      <c r="D3" s="882"/>
      <c r="E3" s="882"/>
      <c r="F3" s="882"/>
      <c r="G3" s="882"/>
      <c r="H3" s="882"/>
      <c r="I3" s="882"/>
      <c r="J3" s="882"/>
      <c r="K3" s="882"/>
    </row>
    <row r="4" spans="1:33" s="143" customFormat="1" ht="16.5" customHeight="1">
      <c r="A4" s="140" t="s">
        <v>1051</v>
      </c>
      <c r="B4" s="141"/>
      <c r="C4" s="1052">
        <f>SUM(C8:K8)</f>
        <v>4898600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139.96</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4898600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419880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12596</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4759</v>
      </c>
      <c r="D14" s="164">
        <f>IF(C1="仅计算典型户型",'数据-取费表'!E5,'数据-取费表'!B5)</f>
        <v>139.96</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6298</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443533</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139.96</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139.96</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443533</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8871</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16655</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70359</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70359</v>
      </c>
      <c r="D30" s="193"/>
      <c r="E30" s="206"/>
      <c r="F30" s="203"/>
      <c r="G30" s="147"/>
      <c r="H30" s="170"/>
      <c r="I30" s="170"/>
      <c r="J30" s="170"/>
      <c r="K30" s="171"/>
    </row>
    <row r="31" spans="1:33" s="182" customFormat="1" ht="13.5" customHeight="1" thickBot="1">
      <c r="A31" s="1331" t="s">
        <v>1107</v>
      </c>
      <c r="B31" s="177" t="s">
        <v>1108</v>
      </c>
      <c r="C31" s="207">
        <f>ROUND(C4*F31/(1+'数据-取费表'!F30),0)</f>
        <v>256593</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3466781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3" zoomScale="80" zoomScaleNormal="60" zoomScaleSheetLayoutView="80" workbookViewId="0">
      <selection activeCell="C43" sqref="C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3032</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89</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6339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78259</v>
      </c>
      <c r="D5" s="1561" t="s">
        <v>2482</v>
      </c>
      <c r="E5" s="885"/>
      <c r="F5" s="1014"/>
      <c r="G5" s="909"/>
      <c r="H5" s="232">
        <v>1</v>
      </c>
      <c r="I5" s="233" t="s">
        <v>1772</v>
      </c>
      <c r="J5" s="234">
        <f ca="1">J6+J10+J12</f>
        <v>0</v>
      </c>
      <c r="K5" s="1448" t="s">
        <v>1773</v>
      </c>
      <c r="L5" s="885"/>
      <c r="M5" s="1014"/>
    </row>
    <row r="6" spans="1:37" ht="18" customHeight="1">
      <c r="A6" s="1015" t="s">
        <v>1774</v>
      </c>
      <c r="B6" s="1370" t="s">
        <v>1775</v>
      </c>
      <c r="C6" s="234">
        <f>ROUND(F6*F8*F7*(1-F9),0)</f>
        <v>78161</v>
      </c>
      <c r="D6" s="36" t="s">
        <v>2460</v>
      </c>
      <c r="E6" s="235" t="s">
        <v>1776</v>
      </c>
      <c r="F6" s="236">
        <f>'数据-取费表'!B30</f>
        <v>1.8</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139.96</v>
      </c>
      <c r="G7" s="3330">
        <f>F6*(1-F9)</f>
        <v>1.53</v>
      </c>
      <c r="H7" s="237"/>
      <c r="I7" s="238"/>
      <c r="J7" s="239"/>
      <c r="K7" s="240"/>
      <c r="L7" s="235" t="s">
        <v>1777</v>
      </c>
      <c r="M7" s="236">
        <f>IF('数据-取费表'!B42="",IF(D1="仅计算典型户型",'数据-取费表'!E5,'数据-取费表'!B5),'数据-取费表'!B42)</f>
        <v>139.96</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98</v>
      </c>
      <c r="D10" s="1450" t="s">
        <v>2465</v>
      </c>
      <c r="E10" s="246" t="s">
        <v>1783</v>
      </c>
      <c r="F10" s="1451" t="s">
        <v>1784</v>
      </c>
      <c r="G10" s="909"/>
      <c r="H10" s="1015" t="s">
        <v>1781</v>
      </c>
      <c r="I10" s="1449" t="s">
        <v>1782</v>
      </c>
      <c r="J10" s="1016">
        <f ca="1">ROUND(IF(M10="押一",J6/12*M11,IF(M10="押二",J6/12*2*M11,IF(M10="押三",J6/12*3*M11,J11*M11))),0)</f>
        <v>0</v>
      </c>
      <c r="K10" s="36" t="s">
        <v>2465</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509888</v>
      </c>
      <c r="D13" s="1023" t="s">
        <v>1791</v>
      </c>
      <c r="E13" s="1023" t="s">
        <v>1792</v>
      </c>
      <c r="F13" s="1024">
        <f>'数据-取费表'!E20</f>
        <v>0.83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419880</v>
      </c>
      <c r="D14" s="1256" t="s">
        <v>1795</v>
      </c>
      <c r="E14" s="1257"/>
      <c r="F14" s="757"/>
      <c r="G14" s="910"/>
      <c r="H14" s="253" t="s">
        <v>1774</v>
      </c>
      <c r="I14" s="235" t="s">
        <v>1796</v>
      </c>
      <c r="J14" s="13">
        <f ca="1">C29</f>
        <v>614323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12596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t="e">
        <f ca="1">ROUND(J17+J22+J23+J24,0)</f>
        <v>#VALUE!</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27992</v>
      </c>
      <c r="D17" s="235" t="s">
        <v>1809</v>
      </c>
      <c r="E17" s="235" t="s">
        <v>1810</v>
      </c>
      <c r="F17" s="15">
        <f>'数据-取费表'!E23</f>
        <v>200</v>
      </c>
      <c r="G17" s="910"/>
      <c r="H17" s="253" t="s">
        <v>1811</v>
      </c>
      <c r="I17" s="235" t="s">
        <v>1812</v>
      </c>
      <c r="J17" s="2744" t="e">
        <f>ROUND(IF(AND(项目基本情况!B7="自然人",项目基本情况!B6="北京市"),J6*M17/(1+'数据-取费表'!F30),J18+J19+J20),0)</f>
        <v>#VALUE!</v>
      </c>
      <c r="K17" s="1256" t="s">
        <v>1813</v>
      </c>
      <c r="L17" s="1259" t="s">
        <v>1814</v>
      </c>
      <c r="M17" s="274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6298</v>
      </c>
      <c r="D18" s="235" t="s">
        <v>1799</v>
      </c>
      <c r="E18" s="235" t="s">
        <v>1800</v>
      </c>
      <c r="F18" s="258">
        <f>'数据-取费表'!E24</f>
        <v>1.4999999999999999E-2</v>
      </c>
      <c r="G18" s="909"/>
      <c r="H18" s="253" t="s">
        <v>1817</v>
      </c>
      <c r="I18" s="235" t="s">
        <v>1818</v>
      </c>
      <c r="J18" s="13" t="str">
        <f>IF(项目基本情况!B7="自然人","——",ROUND(J6*M18/(1+'数据-取费表'!F30),0))</f>
        <v>——</v>
      </c>
      <c r="K18" s="1259" t="s">
        <v>2483</v>
      </c>
      <c r="L18" s="235" t="s">
        <v>1800</v>
      </c>
      <c r="M18" s="258">
        <f>'数据-取费表'!E29</f>
        <v>5.5000000000000007E-2</v>
      </c>
    </row>
    <row r="19" spans="1:37" s="257" customFormat="1" ht="18" customHeight="1">
      <c r="A19" s="253" t="s">
        <v>1811</v>
      </c>
      <c r="B19" s="235" t="s">
        <v>1819</v>
      </c>
      <c r="C19" s="13">
        <f>SUM(C14:C18)</f>
        <v>466766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9335</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3</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6143</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19996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t="e">
        <f ca="1">J5-J16</f>
        <v>#VALUE!</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71415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614323</v>
      </c>
      <c r="D29" s="1034"/>
      <c r="E29" s="1032"/>
      <c r="F29" s="1035"/>
      <c r="G29" s="652"/>
      <c r="H29" s="271" t="s">
        <v>24</v>
      </c>
      <c r="I29" s="272" t="s">
        <v>1869</v>
      </c>
      <c r="J29" s="273">
        <f ca="1">ROUND(J26/(1+F40)^F41,0)</f>
        <v>0</v>
      </c>
      <c r="K29" s="274" t="s">
        <v>1870</v>
      </c>
      <c r="L29" s="275"/>
      <c r="M29" s="276">
        <f>IF(D1="仅计算典型户型",'数据-取费表'!E5,'数据-取费表'!B5)</f>
        <v>139.96</v>
      </c>
    </row>
    <row r="30" spans="1:37" ht="18" customHeight="1" thickTop="1">
      <c r="A30" s="1021" t="s">
        <v>14</v>
      </c>
      <c r="B30" s="1022" t="s">
        <v>1871</v>
      </c>
      <c r="C30" s="243">
        <f ca="1">ROUND(C31+C36+C37+C38,0)</f>
        <v>16425</v>
      </c>
      <c r="D30" s="1028" t="s">
        <v>1872</v>
      </c>
      <c r="E30" s="1029"/>
      <c r="F30" s="1030"/>
      <c r="G30" s="652"/>
      <c r="H30" s="889"/>
      <c r="I30" s="890"/>
      <c r="J30" s="891"/>
      <c r="K30" s="892"/>
      <c r="L30" s="893"/>
      <c r="M30" s="894"/>
    </row>
    <row r="31" spans="1:37" ht="18" customHeight="1">
      <c r="A31" s="253" t="s">
        <v>1774</v>
      </c>
      <c r="B31" s="235" t="s">
        <v>1812</v>
      </c>
      <c r="C31" s="2744">
        <f>C32+C33</f>
        <v>8989</v>
      </c>
      <c r="D31" s="1256" t="s">
        <v>1873</v>
      </c>
      <c r="E31" s="1259" t="s">
        <v>1874</v>
      </c>
      <c r="F31" s="2743">
        <v>0.115</v>
      </c>
      <c r="G31" s="652"/>
      <c r="H31" s="889"/>
      <c r="I31" s="890"/>
      <c r="J31" s="891"/>
      <c r="K31" s="892"/>
      <c r="L31" s="893"/>
      <c r="M31" s="894"/>
    </row>
    <row r="32" spans="1:37" ht="18" customHeight="1">
      <c r="A32" s="253" t="s">
        <v>1793</v>
      </c>
      <c r="B32" s="235" t="s">
        <v>1875</v>
      </c>
      <c r="C32" s="13">
        <f>ROUND(C6*F32,0)</f>
        <v>4299</v>
      </c>
      <c r="D32" s="3326" t="s">
        <v>3049</v>
      </c>
      <c r="E32" s="235" t="s">
        <v>1825</v>
      </c>
      <c r="F32" s="267">
        <f>'数据-取费表'!E29</f>
        <v>5.5000000000000007E-2</v>
      </c>
      <c r="G32" s="652"/>
      <c r="H32" s="895"/>
      <c r="I32" s="896"/>
      <c r="J32" s="897"/>
      <c r="K32" s="898"/>
      <c r="L32" s="899"/>
      <c r="M32" s="900"/>
    </row>
    <row r="33" spans="1:18" ht="18" customHeight="1">
      <c r="A33" s="253" t="s">
        <v>1797</v>
      </c>
      <c r="B33" s="235" t="s">
        <v>1821</v>
      </c>
      <c r="C33" s="13">
        <f>ROUND(C6*F33,0)</f>
        <v>4690</v>
      </c>
      <c r="D33" s="1364" t="s">
        <v>2631</v>
      </c>
      <c r="E33" s="235" t="s">
        <v>1800</v>
      </c>
      <c r="F33" s="258">
        <v>0.06</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3</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2570</v>
      </c>
      <c r="H35" s="889"/>
      <c r="I35" s="282" t="s">
        <v>1879</v>
      </c>
      <c r="J35" s="283">
        <f>'数据-取费表'!B18</f>
        <v>0</v>
      </c>
      <c r="K35" s="902"/>
      <c r="L35" s="901"/>
      <c r="M35" s="901"/>
    </row>
    <row r="36" spans="1:18" ht="18" customHeight="1">
      <c r="A36" s="1018" t="s">
        <v>1781</v>
      </c>
      <c r="B36" s="235" t="s">
        <v>1880</v>
      </c>
      <c r="C36" s="13">
        <f ca="1">ROUND(C29*F36,0)</f>
        <v>6143</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510</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783</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61834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850728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3028</v>
      </c>
      <c r="F41" s="270">
        <f>IF('数据-取费表'!B29="租赁期内按合同租金",'数据-取费表'!B35,IF(E41="收益年期(n)",'数据-取费表'!B34,'数据-取费表'!B13))</f>
        <v>26.4</v>
      </c>
      <c r="H41" s="908"/>
      <c r="I41" s="135" t="s">
        <v>1762</v>
      </c>
      <c r="J41" s="136">
        <f ca="1">ROUND(C13/C40,3)</f>
        <v>0.59899999999999998</v>
      </c>
      <c r="K41" s="905"/>
      <c r="L41" s="908"/>
      <c r="M41" s="908"/>
      <c r="Q41" s="656"/>
    </row>
    <row r="42" spans="1:18" s="652" customFormat="1" ht="18" customHeight="1">
      <c r="A42" s="241"/>
      <c r="B42" s="242"/>
      <c r="C42" s="243"/>
      <c r="D42" s="264"/>
      <c r="E42" s="235" t="s">
        <v>1866</v>
      </c>
      <c r="F42" s="245">
        <f>'数据-取费表'!B32</f>
        <v>0</v>
      </c>
      <c r="H42" s="908"/>
      <c r="I42" s="135" t="s">
        <v>1763</v>
      </c>
      <c r="J42" s="137">
        <f ca="1">1-J41</f>
        <v>0.40100000000000002</v>
      </c>
      <c r="K42" s="905"/>
      <c r="L42" s="908"/>
      <c r="M42" s="908"/>
      <c r="Q42" s="656"/>
    </row>
    <row r="43" spans="1:18" s="652" customFormat="1" ht="18" customHeight="1" thickBot="1">
      <c r="A43" s="271" t="s">
        <v>24</v>
      </c>
      <c r="B43" s="272" t="s">
        <v>1891</v>
      </c>
      <c r="C43" s="273">
        <f ca="1">ROUND(C40/F43,0)</f>
        <v>6078</v>
      </c>
      <c r="D43" s="274" t="s">
        <v>1892</v>
      </c>
      <c r="E43" s="275" t="s">
        <v>1893</v>
      </c>
      <c r="F43" s="276">
        <f>IF(D1="仅计算典型户型",'数据-取费表'!E5,'数据-取费表'!B5)</f>
        <v>139.96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850728</v>
      </c>
      <c r="R45" s="1008" t="s">
        <v>1900</v>
      </c>
    </row>
    <row r="46" spans="1:18" s="652" customFormat="1" ht="18" customHeight="1" thickBot="1">
      <c r="A46" s="649"/>
      <c r="D46" s="649"/>
      <c r="E46" s="649"/>
      <c r="F46" s="649"/>
      <c r="K46" s="653"/>
      <c r="O46" s="1005" t="s">
        <v>768</v>
      </c>
      <c r="P46" s="1006" t="s">
        <v>1901</v>
      </c>
      <c r="Q46" s="1007">
        <f ca="1">J61</f>
        <v>36414</v>
      </c>
      <c r="R46" s="1008" t="s">
        <v>1902</v>
      </c>
    </row>
    <row r="47" spans="1:18" s="652" customFormat="1" ht="21.75" thickBot="1">
      <c r="A47" s="1455" t="s">
        <v>1903</v>
      </c>
      <c r="C47" s="950" t="e">
        <f ca="1">IF(C2="元",C69-C40,ROUND((C69-C40)/10000,0))</f>
        <v>#VALUE!</v>
      </c>
      <c r="D47" s="1456" t="str">
        <f>C2</f>
        <v>万元</v>
      </c>
      <c r="E47" s="649"/>
      <c r="F47" s="649"/>
      <c r="I47" s="1457" t="s">
        <v>1904</v>
      </c>
      <c r="J47" s="981"/>
      <c r="K47" s="982"/>
      <c r="L47" s="995">
        <f ca="1">IF(M48="住宅",0,IF(L49&gt;J52,L61,J61))</f>
        <v>36414</v>
      </c>
      <c r="O47" s="1009" t="s">
        <v>769</v>
      </c>
      <c r="P47" s="1006" t="s">
        <v>1905</v>
      </c>
      <c r="Q47" s="1007">
        <f ca="1">C29</f>
        <v>614323</v>
      </c>
      <c r="R47" s="1008" t="s">
        <v>1900</v>
      </c>
    </row>
    <row r="48" spans="1:18" s="652" customFormat="1" ht="15.75" thickBot="1">
      <c r="A48" s="228" t="s">
        <v>1906</v>
      </c>
      <c r="B48" s="229" t="s">
        <v>1907</v>
      </c>
      <c r="C48" s="229" t="s">
        <v>1908</v>
      </c>
      <c r="D48" s="229" t="s">
        <v>1909</v>
      </c>
      <c r="E48" s="944" t="s">
        <v>1910</v>
      </c>
      <c r="F48" s="945"/>
      <c r="I48" s="1458" t="s">
        <v>1911</v>
      </c>
      <c r="J48" s="1459" t="s">
        <v>3029</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3030</v>
      </c>
      <c r="K49" s="1463" t="s">
        <v>1916</v>
      </c>
      <c r="L49" s="821">
        <f>'数据-取费表'!B13</f>
        <v>26.4</v>
      </c>
      <c r="O49" s="1009" t="s">
        <v>771</v>
      </c>
      <c r="P49" s="1006" t="s">
        <v>1917</v>
      </c>
      <c r="Q49" s="1010">
        <f>J53</f>
        <v>7.4999999999999997E-2</v>
      </c>
      <c r="R49" s="1008"/>
    </row>
    <row r="50" spans="1:18" s="652" customFormat="1" ht="15.75" thickBot="1">
      <c r="A50" s="260" t="s">
        <v>1774</v>
      </c>
      <c r="B50" s="1370" t="s">
        <v>1918</v>
      </c>
      <c r="C50" s="234">
        <f>ROUND(F50*F52*F51*(1-F53),0)</f>
        <v>0</v>
      </c>
      <c r="D50" s="42" t="s">
        <v>2461</v>
      </c>
      <c r="E50" s="1464" t="s">
        <v>1919</v>
      </c>
      <c r="F50" s="946"/>
      <c r="I50" s="1461" t="s">
        <v>1920</v>
      </c>
      <c r="J50" s="821">
        <f>'数据-取费表'!B27</f>
        <v>2012</v>
      </c>
      <c r="K50" s="1465" t="s">
        <v>1921</v>
      </c>
      <c r="L50" s="984"/>
      <c r="O50" s="1009" t="s">
        <v>772</v>
      </c>
      <c r="P50" s="1006" t="s">
        <v>1922</v>
      </c>
      <c r="Q50" s="1007">
        <f>J54</f>
        <v>26.4</v>
      </c>
      <c r="R50" s="1008" t="s">
        <v>1923</v>
      </c>
    </row>
    <row r="51" spans="1:18" s="652" customFormat="1" ht="15.75" thickBot="1">
      <c r="A51" s="237"/>
      <c r="B51" s="238"/>
      <c r="C51" s="239"/>
      <c r="D51" s="240"/>
      <c r="E51" s="255" t="s">
        <v>1777</v>
      </c>
      <c r="F51" s="943">
        <f>F7</f>
        <v>139.96</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89</v>
      </c>
      <c r="R51" s="1008" t="s">
        <v>774</v>
      </c>
    </row>
    <row r="52" spans="1:18" s="652" customFormat="1" ht="16.5" thickBot="1">
      <c r="A52" s="237"/>
      <c r="B52" s="238"/>
      <c r="C52" s="239"/>
      <c r="D52" s="240"/>
      <c r="E52" s="235" t="s">
        <v>1779</v>
      </c>
      <c r="F52" s="236">
        <f>F8</f>
        <v>365</v>
      </c>
      <c r="I52" s="1466" t="s">
        <v>1926</v>
      </c>
      <c r="J52" s="986">
        <f>IF(J50="",J51,J50+J51-YEAR('数据-取费表'!B2))</f>
        <v>50</v>
      </c>
      <c r="K52" s="1467" t="s">
        <v>1927</v>
      </c>
      <c r="L52" s="987">
        <f ca="1">ROUND(-PV('数据-取费表'!B15,J52,(C40-C13*J35)),0)</f>
        <v>15530827</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2466</v>
      </c>
      <c r="E54" s="246" t="s">
        <v>1783</v>
      </c>
      <c r="F54" s="1451"/>
      <c r="I54" s="1557" t="s">
        <v>2468</v>
      </c>
      <c r="J54" s="989">
        <f>IF(M48="住宅",IF(E1="——",MAX(J52,L49),MAX(J52,L49-'数据-取费表'!B26)),IF(E1="——",MIN(J52,L49),MIN(J52,L49-'数据-取费表'!B26)))</f>
        <v>26.4</v>
      </c>
      <c r="K54" s="3622" t="s">
        <v>2459</v>
      </c>
      <c r="L54" s="3623"/>
      <c r="O54" s="1005" t="s">
        <v>767</v>
      </c>
      <c r="P54" s="1006" t="s">
        <v>1899</v>
      </c>
      <c r="Q54" s="1007">
        <f ca="1">C40+J29</f>
        <v>850728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0.39300000000000002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509888</v>
      </c>
      <c r="D57" s="941"/>
      <c r="E57" s="942"/>
      <c r="F57" s="949"/>
      <c r="I57" s="1475" t="s">
        <v>1936</v>
      </c>
      <c r="J57" s="993" t="s">
        <v>3031</v>
      </c>
      <c r="K57" s="1461" t="s">
        <v>1937</v>
      </c>
      <c r="L57" s="821" t="str">
        <f>IF(L49&lt;J52,"——",L49-J52)</f>
        <v>——</v>
      </c>
      <c r="O57" s="1009" t="s">
        <v>770</v>
      </c>
      <c r="P57" s="1006" t="s">
        <v>1938</v>
      </c>
      <c r="Q57" s="1010">
        <f>L53</f>
        <v>0</v>
      </c>
      <c r="R57" s="1008"/>
    </row>
    <row r="58" spans="1:18" s="652" customFormat="1" ht="29.25" thickBot="1">
      <c r="A58" s="948"/>
      <c r="B58" s="235" t="s">
        <v>1868</v>
      </c>
      <c r="C58" s="104">
        <f ca="1">C29</f>
        <v>614323</v>
      </c>
      <c r="D58" s="941"/>
      <c r="E58" s="942"/>
      <c r="F58" s="949"/>
      <c r="I58" s="1476" t="s">
        <v>1939</v>
      </c>
      <c r="J58" s="992">
        <f>IF(OR(M48="住宅",J52&lt;L49,J57="是"),"——",J52-L49)</f>
        <v>23.6</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t="e">
        <f ca="1">ROUND(C60+C65+C66+C67,0)</f>
        <v>#VALUE!</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t="e">
        <f>ROUND(IF(AND(项目基本情况!B7="自然人",项目基本情况!B6="北京市"),C50*F60/(1+'数据-取费表'!F30),C61+C62+C63),0)</f>
        <v>#VALUE!</v>
      </c>
      <c r="D60" s="1256" t="s">
        <v>1873</v>
      </c>
      <c r="E60" s="1259" t="s">
        <v>1874</v>
      </c>
      <c r="F60" s="2743">
        <f>IF(项目基本情况!B7="企业","——",IF('数据-取费表'!B10="住宅",IF(F50*F51*F52/12/(1+'数据-取费表'!F30)&gt;100000,4%,2.5%),IF(F50*F51*F52/12/(1+'数据-取费表'!F30)&gt;100000,12%,7%)))</f>
        <v>7.0000000000000007E-2</v>
      </c>
      <c r="I60" s="1476" t="s">
        <v>1946</v>
      </c>
      <c r="J60" s="992">
        <f ca="1">IF(OR(M48="住宅",J52&lt;L49,J57="是"),"——",ROUND(C29*J59,0))</f>
        <v>245729</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85</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36414</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0.06</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3</v>
      </c>
      <c r="I63" s="1479" t="s">
        <v>1954</v>
      </c>
      <c r="J63" s="1251" t="s">
        <v>1955</v>
      </c>
      <c r="K63" s="1251" t="s">
        <v>1956</v>
      </c>
      <c r="L63" s="1251" t="s">
        <v>1957</v>
      </c>
      <c r="M63" s="1250" t="s">
        <v>1958</v>
      </c>
      <c r="O63" s="1005" t="s">
        <v>767</v>
      </c>
      <c r="P63" s="1006" t="s">
        <v>1899</v>
      </c>
      <c r="Q63" s="1007">
        <f ca="1">C40+J29</f>
        <v>850728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6143</v>
      </c>
      <c r="D65" s="1259" t="s">
        <v>1881</v>
      </c>
      <c r="E65" s="235" t="s">
        <v>1825</v>
      </c>
      <c r="F65" s="265">
        <f t="shared" si="0"/>
        <v>0.01</v>
      </c>
      <c r="I65" s="1479" t="s">
        <v>1961</v>
      </c>
      <c r="J65" s="1251">
        <v>50</v>
      </c>
      <c r="K65" s="1251">
        <v>35</v>
      </c>
      <c r="L65" s="1251">
        <v>60</v>
      </c>
      <c r="M65" s="1250">
        <v>0</v>
      </c>
      <c r="O65" s="1009" t="s">
        <v>769</v>
      </c>
      <c r="P65" s="1006" t="s">
        <v>1935</v>
      </c>
      <c r="Q65" s="1011">
        <f ca="1">L52</f>
        <v>15530827</v>
      </c>
      <c r="R65" s="1012" t="s">
        <v>1962</v>
      </c>
    </row>
    <row r="66" spans="1:18" s="652" customFormat="1" ht="20.25" thickBot="1">
      <c r="A66" s="253" t="s">
        <v>20</v>
      </c>
      <c r="B66" s="235" t="s">
        <v>1840</v>
      </c>
      <c r="C66" s="13">
        <f ca="1">ROUND(C57*F66,0)</f>
        <v>510</v>
      </c>
      <c r="D66" s="1259" t="s">
        <v>1841</v>
      </c>
      <c r="E66" s="235" t="s">
        <v>1842</v>
      </c>
      <c r="F66" s="266">
        <f t="shared" si="0"/>
        <v>1E-3</v>
      </c>
      <c r="I66" s="1479" t="s">
        <v>1963</v>
      </c>
      <c r="J66" s="1251">
        <v>40</v>
      </c>
      <c r="K66" s="1251">
        <v>30</v>
      </c>
      <c r="L66" s="1251">
        <v>50</v>
      </c>
      <c r="M66" s="1249">
        <v>0.02</v>
      </c>
      <c r="O66" s="1009" t="s">
        <v>770</v>
      </c>
      <c r="P66" s="1013" t="s">
        <v>1964</v>
      </c>
      <c r="Q66" s="1007">
        <f ca="1">ROUND(Q67-Q68*Q69,0)</f>
        <v>61834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61834</v>
      </c>
      <c r="R67" s="1008" t="s">
        <v>1900</v>
      </c>
    </row>
    <row r="68" spans="1:18" ht="15.75" thickBot="1">
      <c r="A68" s="248" t="s">
        <v>22</v>
      </c>
      <c r="B68" s="41" t="s">
        <v>1850</v>
      </c>
      <c r="C68" s="250" t="e">
        <f ca="1">C49-C59</f>
        <v>#VALUE!</v>
      </c>
      <c r="D68" s="1256" t="s">
        <v>1851</v>
      </c>
      <c r="E68" s="1258"/>
      <c r="F68" s="268"/>
      <c r="H68" s="652"/>
      <c r="I68" s="652"/>
      <c r="J68" s="652"/>
      <c r="K68" s="652"/>
      <c r="L68" s="652"/>
      <c r="M68" s="652"/>
      <c r="O68" s="1009" t="s">
        <v>776</v>
      </c>
      <c r="P68" s="1013" t="s">
        <v>1966</v>
      </c>
      <c r="Q68" s="1007">
        <f ca="1">C13</f>
        <v>509888</v>
      </c>
      <c r="R68" s="1008" t="s">
        <v>1900</v>
      </c>
    </row>
    <row r="69" spans="1:18" ht="15.75" thickBot="1">
      <c r="A69" s="232" t="s">
        <v>23</v>
      </c>
      <c r="B69" s="233" t="s">
        <v>1888</v>
      </c>
      <c r="C69" s="234" t="e">
        <f ca="1">ROUND(C68*(1-((1+F71)/(1+F69))^F70)/(F69-F71),0)</f>
        <v>#VALUE!</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26.4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t="e">
        <f ca="1">ROUND(C69/F72,0)</f>
        <v>#VALUE!</v>
      </c>
      <c r="D72" s="274" t="s">
        <v>1892</v>
      </c>
      <c r="E72" s="275" t="s">
        <v>1893</v>
      </c>
      <c r="F72" s="276">
        <f>F43</f>
        <v>139.96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85</v>
      </c>
      <c r="R73" s="1008" t="s">
        <v>774</v>
      </c>
    </row>
    <row r="74" spans="1:18">
      <c r="A74" s="652"/>
      <c r="B74" s="656"/>
      <c r="C74" s="656"/>
      <c r="D74" s="652"/>
      <c r="E74" s="652"/>
      <c r="F74" s="652"/>
    </row>
    <row r="75" spans="1:18">
      <c r="A75" s="652"/>
      <c r="B75" s="656"/>
      <c r="C75" s="656"/>
      <c r="D75" s="652"/>
      <c r="E75" s="652"/>
      <c r="F75" s="652"/>
    </row>
  </sheetData>
  <sheetProtection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N23" sqref="N23"/>
    </sheetView>
  </sheetViews>
  <sheetFormatPr defaultColWidth="9" defaultRowHeight="12.75"/>
  <cols>
    <col min="1" max="1" width="12.375" style="32" customWidth="1"/>
    <col min="2" max="2" width="9.25" style="16" customWidth="1"/>
    <col min="3" max="3" width="8.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547</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6595</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7" t="s">
        <v>1973</v>
      </c>
      <c r="D4" s="3628"/>
      <c r="E4" s="3628"/>
      <c r="F4" s="3628"/>
      <c r="G4" s="3628"/>
      <c r="H4" s="3628"/>
      <c r="I4" s="3628"/>
      <c r="J4" s="3628"/>
      <c r="K4" s="3628"/>
      <c r="L4" s="3628"/>
      <c r="M4" s="3628"/>
      <c r="N4" s="3628"/>
      <c r="O4" s="3628"/>
      <c r="P4" s="3628"/>
      <c r="Q4" s="3628"/>
      <c r="R4" s="3628"/>
      <c r="S4" s="3629"/>
      <c r="T4" s="575" t="s">
        <v>1974</v>
      </c>
      <c r="U4" s="957"/>
      <c r="V4" s="957"/>
      <c r="X4" s="957"/>
      <c r="Y4" s="957"/>
    </row>
    <row r="5" spans="1:44" s="587" customFormat="1" ht="38.25">
      <c r="A5" s="961"/>
      <c r="B5" s="583" t="s">
        <v>1975</v>
      </c>
      <c r="C5" s="584" t="str">
        <f t="shared" ref="C5:L5" si="0">C6&amp;"(含)"&amp;"-"&amp;D6</f>
        <v>0(含)-50</v>
      </c>
      <c r="D5" s="585" t="str">
        <f t="shared" si="0"/>
        <v>50(含)-100</v>
      </c>
      <c r="E5" s="585" t="str">
        <f t="shared" si="0"/>
        <v>100(含)-200</v>
      </c>
      <c r="F5" s="585" t="str">
        <f t="shared" si="0"/>
        <v>200(含)-300</v>
      </c>
      <c r="G5" s="585" t="str">
        <f t="shared" si="0"/>
        <v>300(含)-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50</v>
      </c>
      <c r="E6" s="590">
        <v>100</v>
      </c>
      <c r="F6" s="590">
        <v>200</v>
      </c>
      <c r="G6" s="590">
        <v>300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100</v>
      </c>
      <c r="D7" s="842">
        <v>99</v>
      </c>
      <c r="E7" s="842">
        <v>98</v>
      </c>
      <c r="F7" s="842">
        <v>97</v>
      </c>
      <c r="G7" s="842">
        <v>96</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3327" t="s">
        <v>3050</v>
      </c>
      <c r="C16" s="3328" t="s">
        <v>3051</v>
      </c>
      <c r="D16" s="3329" t="s">
        <v>3053</v>
      </c>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v>100</v>
      </c>
      <c r="D17" s="867">
        <f>'比较法-商业'!D117</f>
        <v>95</v>
      </c>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t="s">
        <v>3035</v>
      </c>
      <c r="D20" s="966" t="s">
        <v>3036</v>
      </c>
      <c r="E20" s="966" t="s">
        <v>3037</v>
      </c>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v>100</v>
      </c>
      <c r="D21" s="978">
        <v>70</v>
      </c>
      <c r="E21" s="978">
        <v>60</v>
      </c>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547</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f ca="1">ROUND(B23*10000/B25,0)</f>
        <v>6595</v>
      </c>
      <c r="C24" s="822"/>
      <c r="D24" s="37"/>
      <c r="E24" s="37"/>
      <c r="F24" s="37"/>
      <c r="G24" s="37"/>
      <c r="H24" s="37"/>
      <c r="I24" s="37"/>
      <c r="J24" s="37"/>
      <c r="K24" s="37"/>
      <c r="L24" s="37"/>
      <c r="M24" s="37"/>
      <c r="N24" s="37"/>
      <c r="O24" s="37"/>
      <c r="P24" s="37"/>
      <c r="Q24" s="37"/>
      <c r="R24" s="645"/>
      <c r="S24" s="13" t="s">
        <v>1986</v>
      </c>
      <c r="T24" s="1260" t="s">
        <v>1987</v>
      </c>
      <c r="U24" s="2173" t="s">
        <v>1988</v>
      </c>
      <c r="V24" s="2905"/>
      <c r="W24" s="2906" t="s">
        <v>1989</v>
      </c>
      <c r="X24" s="2173" t="s">
        <v>1990</v>
      </c>
      <c r="Y24" s="2905"/>
      <c r="Z24" s="2907" t="s">
        <v>1989</v>
      </c>
    </row>
    <row r="25" spans="1:45">
      <c r="A25" s="250" t="s">
        <v>1991</v>
      </c>
      <c r="B25" s="13">
        <f>SUM(B27:B10000)</f>
        <v>829.41000000000008</v>
      </c>
      <c r="C25" s="3624" t="s">
        <v>45</v>
      </c>
      <c r="D25" s="3625"/>
      <c r="E25" s="3625"/>
      <c r="F25" s="3625"/>
      <c r="G25" s="3625"/>
      <c r="H25" s="3625"/>
      <c r="I25" s="3625"/>
      <c r="J25" s="3625"/>
      <c r="K25" s="3625"/>
      <c r="L25" s="3625"/>
      <c r="M25" s="3625"/>
      <c r="N25" s="3625"/>
      <c r="O25" s="3625"/>
      <c r="P25" s="3625"/>
      <c r="Q25" s="3626"/>
      <c r="R25" s="597">
        <f ca="1">IF(C23="万元",ROUND(T25*10000/B25,0),ROUND(S25/B25,0))</f>
        <v>6595</v>
      </c>
      <c r="S25" s="13">
        <f ca="1">SUM(S27:S10000)</f>
        <v>5460459</v>
      </c>
      <c r="T25" s="13">
        <f ca="1">SUM(T27:T10000)</f>
        <v>547</v>
      </c>
      <c r="U25" s="17">
        <f>SUM(U27:U10000)</f>
        <v>0</v>
      </c>
      <c r="V25" s="17">
        <f>SUM(V27:V10000)</f>
        <v>0</v>
      </c>
      <c r="W25" s="2909"/>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层高</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139.96</v>
      </c>
      <c r="C27" s="859">
        <v>1</v>
      </c>
      <c r="D27" s="601"/>
      <c r="E27" s="859">
        <v>1</v>
      </c>
      <c r="F27" s="601"/>
      <c r="G27" s="859">
        <v>1</v>
      </c>
      <c r="H27" s="601"/>
      <c r="I27" s="859">
        <v>1</v>
      </c>
      <c r="J27" s="601"/>
      <c r="K27" s="859">
        <v>1</v>
      </c>
      <c r="L27" s="601" t="s">
        <v>3043</v>
      </c>
      <c r="M27" s="859">
        <v>1</v>
      </c>
      <c r="N27" s="601"/>
      <c r="O27" s="859">
        <v>1</v>
      </c>
      <c r="P27" s="601" t="s">
        <v>3038</v>
      </c>
      <c r="Q27" s="859">
        <v>1</v>
      </c>
      <c r="R27" s="865">
        <f ca="1">'结果表 (1修多)'!G20</f>
        <v>10399</v>
      </c>
      <c r="S27" s="600">
        <f ca="1">ROUND(R27*B27,0)</f>
        <v>1455444</v>
      </c>
      <c r="T27" s="600">
        <f ca="1">ROUND(R27*B27/10000,0)</f>
        <v>146</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f>信息!B2</f>
        <v>689.45</v>
      </c>
      <c r="C28" s="13">
        <f t="shared" ref="C28:C91" si="14">IF(B28="",1,(LOOKUP(B28,$6:$6,$7:$7)-LOOKUP($B$27,$6:$6,$7:$7)+100)/100)</f>
        <v>0.98</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t="s">
        <v>3052</v>
      </c>
      <c r="M28" s="13">
        <f t="shared" ref="M28:M91" si="19">(SUMIF($16:$16,L28,$17:$17)-SUMIF($16:$16,$L$27,$17:$17)+100)/100</f>
        <v>0.95</v>
      </c>
      <c r="N28" s="601"/>
      <c r="O28" s="13">
        <f t="shared" ref="O28:O91" si="20">(SUMIF($18:$18,N28,$19:$19)-SUMIF($18:$18,$N$27,$19:$19)+100)/100</f>
        <v>1</v>
      </c>
      <c r="P28" s="601" t="s">
        <v>3039</v>
      </c>
      <c r="Q28" s="13">
        <f t="shared" ref="Q28:Q91" si="21">(SUMIF($20:$20,P28,$21:$21)-SUMIF($20:$20,$P$27,$21:$21)+100)/100</f>
        <v>0.6</v>
      </c>
      <c r="R28" s="597">
        <f ca="1">IF(B28="",0,ROUND($R$27*C28*E28*G28*I28*K28*M28*O28*Q28,0))</f>
        <v>5809</v>
      </c>
      <c r="S28" s="250">
        <f ca="1">ROUND(R28*B28,0)</f>
        <v>4005015</v>
      </c>
      <c r="T28" s="859">
        <f ca="1">ROUND(R28*B28/10000,0)</f>
        <v>401</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0</v>
      </c>
      <c r="N29" s="601"/>
      <c r="O29" s="13">
        <f t="shared" si="20"/>
        <v>1</v>
      </c>
      <c r="P29" s="601"/>
      <c r="Q29" s="13">
        <f t="shared" si="21"/>
        <v>0</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0</v>
      </c>
      <c r="N30" s="601"/>
      <c r="O30" s="13">
        <f t="shared" si="20"/>
        <v>1</v>
      </c>
      <c r="P30" s="601"/>
      <c r="Q30" s="13">
        <f t="shared" si="21"/>
        <v>0</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0</v>
      </c>
      <c r="N31" s="601"/>
      <c r="O31" s="13">
        <f t="shared" si="20"/>
        <v>1</v>
      </c>
      <c r="P31" s="601"/>
      <c r="Q31" s="13">
        <f t="shared" si="21"/>
        <v>0</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0</v>
      </c>
      <c r="N32" s="601"/>
      <c r="O32" s="13">
        <f t="shared" si="20"/>
        <v>1</v>
      </c>
      <c r="P32" s="601"/>
      <c r="Q32" s="13">
        <f t="shared" si="21"/>
        <v>0</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0</v>
      </c>
      <c r="N33" s="601"/>
      <c r="O33" s="13">
        <f t="shared" si="20"/>
        <v>1</v>
      </c>
      <c r="P33" s="601"/>
      <c r="Q33" s="13">
        <f t="shared" si="21"/>
        <v>0</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0</v>
      </c>
      <c r="N34" s="601"/>
      <c r="O34" s="13">
        <f t="shared" si="20"/>
        <v>1</v>
      </c>
      <c r="P34" s="601"/>
      <c r="Q34" s="13">
        <f t="shared" si="21"/>
        <v>0</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0</v>
      </c>
      <c r="N35" s="601"/>
      <c r="O35" s="13">
        <f t="shared" si="20"/>
        <v>1</v>
      </c>
      <c r="P35" s="601"/>
      <c r="Q35" s="13">
        <f t="shared" si="21"/>
        <v>0</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0</v>
      </c>
      <c r="N36" s="601"/>
      <c r="O36" s="13">
        <f t="shared" si="20"/>
        <v>1</v>
      </c>
      <c r="P36" s="601"/>
      <c r="Q36" s="13">
        <f t="shared" si="21"/>
        <v>0</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0</v>
      </c>
      <c r="N37" s="601"/>
      <c r="O37" s="13">
        <f t="shared" si="20"/>
        <v>1</v>
      </c>
      <c r="P37" s="601"/>
      <c r="Q37" s="13">
        <f t="shared" si="21"/>
        <v>0</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0</v>
      </c>
      <c r="N38" s="601"/>
      <c r="O38" s="13">
        <f t="shared" si="20"/>
        <v>1</v>
      </c>
      <c r="P38" s="601"/>
      <c r="Q38" s="13">
        <f t="shared" si="21"/>
        <v>0</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0</v>
      </c>
      <c r="N39" s="601"/>
      <c r="O39" s="13">
        <f t="shared" si="20"/>
        <v>1</v>
      </c>
      <c r="P39" s="601"/>
      <c r="Q39" s="13">
        <f t="shared" si="21"/>
        <v>0</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0</v>
      </c>
      <c r="N40" s="601"/>
      <c r="O40" s="13">
        <f t="shared" si="20"/>
        <v>1</v>
      </c>
      <c r="P40" s="601"/>
      <c r="Q40" s="13">
        <f t="shared" si="21"/>
        <v>0</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0</v>
      </c>
      <c r="N41" s="601"/>
      <c r="O41" s="13">
        <f t="shared" si="20"/>
        <v>1</v>
      </c>
      <c r="P41" s="601"/>
      <c r="Q41" s="13">
        <f t="shared" si="21"/>
        <v>0</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0</v>
      </c>
      <c r="N42" s="601"/>
      <c r="O42" s="13">
        <f t="shared" si="20"/>
        <v>1</v>
      </c>
      <c r="P42" s="601"/>
      <c r="Q42" s="13">
        <f t="shared" si="21"/>
        <v>0</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0</v>
      </c>
      <c r="N43" s="601"/>
      <c r="O43" s="13">
        <f t="shared" si="20"/>
        <v>1</v>
      </c>
      <c r="P43" s="601"/>
      <c r="Q43" s="13">
        <f t="shared" si="21"/>
        <v>0</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0</v>
      </c>
      <c r="N44" s="601"/>
      <c r="O44" s="13">
        <f t="shared" si="20"/>
        <v>1</v>
      </c>
      <c r="P44" s="601"/>
      <c r="Q44" s="13">
        <f t="shared" si="21"/>
        <v>0</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0</v>
      </c>
      <c r="N45" s="601"/>
      <c r="O45" s="13">
        <f t="shared" si="20"/>
        <v>1</v>
      </c>
      <c r="P45" s="601"/>
      <c r="Q45" s="13">
        <f t="shared" si="21"/>
        <v>0</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0</v>
      </c>
      <c r="N46" s="601"/>
      <c r="O46" s="13">
        <f t="shared" si="20"/>
        <v>1</v>
      </c>
      <c r="P46" s="601"/>
      <c r="Q46" s="13">
        <f t="shared" si="21"/>
        <v>0</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0</v>
      </c>
      <c r="N47" s="601"/>
      <c r="O47" s="13">
        <f t="shared" si="20"/>
        <v>1</v>
      </c>
      <c r="P47" s="601"/>
      <c r="Q47" s="13">
        <f t="shared" si="21"/>
        <v>0</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0</v>
      </c>
      <c r="N48" s="601"/>
      <c r="O48" s="13">
        <f t="shared" si="20"/>
        <v>1</v>
      </c>
      <c r="P48" s="601"/>
      <c r="Q48" s="13">
        <f t="shared" si="21"/>
        <v>0</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0</v>
      </c>
      <c r="N49" s="601"/>
      <c r="O49" s="13">
        <f t="shared" si="20"/>
        <v>1</v>
      </c>
      <c r="P49" s="601"/>
      <c r="Q49" s="13">
        <f t="shared" si="21"/>
        <v>0</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0</v>
      </c>
      <c r="N50" s="601"/>
      <c r="O50" s="13">
        <f t="shared" si="20"/>
        <v>1</v>
      </c>
      <c r="P50" s="601"/>
      <c r="Q50" s="13">
        <f t="shared" si="21"/>
        <v>0</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0</v>
      </c>
      <c r="N51" s="601"/>
      <c r="O51" s="13">
        <f t="shared" si="20"/>
        <v>1</v>
      </c>
      <c r="P51" s="601"/>
      <c r="Q51" s="13">
        <f t="shared" si="21"/>
        <v>0</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0</v>
      </c>
      <c r="N52" s="601"/>
      <c r="O52" s="13">
        <f t="shared" si="20"/>
        <v>1</v>
      </c>
      <c r="P52" s="601"/>
      <c r="Q52" s="13">
        <f t="shared" si="21"/>
        <v>0</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0</v>
      </c>
      <c r="N53" s="601"/>
      <c r="O53" s="13">
        <f t="shared" si="20"/>
        <v>1</v>
      </c>
      <c r="P53" s="601"/>
      <c r="Q53" s="13">
        <f t="shared" si="21"/>
        <v>0</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0</v>
      </c>
      <c r="N54" s="601"/>
      <c r="O54" s="13">
        <f t="shared" si="20"/>
        <v>1</v>
      </c>
      <c r="P54" s="601"/>
      <c r="Q54" s="13">
        <f t="shared" si="21"/>
        <v>0</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0</v>
      </c>
      <c r="N55" s="601"/>
      <c r="O55" s="13">
        <f t="shared" si="20"/>
        <v>1</v>
      </c>
      <c r="P55" s="601"/>
      <c r="Q55" s="13">
        <f t="shared" si="21"/>
        <v>0</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0</v>
      </c>
      <c r="N56" s="601"/>
      <c r="O56" s="13">
        <f t="shared" si="20"/>
        <v>1</v>
      </c>
      <c r="P56" s="601"/>
      <c r="Q56" s="13">
        <f t="shared" si="21"/>
        <v>0</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0</v>
      </c>
      <c r="N57" s="601"/>
      <c r="O57" s="13">
        <f t="shared" si="20"/>
        <v>1</v>
      </c>
      <c r="P57" s="601"/>
      <c r="Q57" s="13">
        <f t="shared" si="21"/>
        <v>0</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0</v>
      </c>
      <c r="N58" s="601"/>
      <c r="O58" s="13">
        <f t="shared" si="20"/>
        <v>1</v>
      </c>
      <c r="P58" s="601"/>
      <c r="Q58" s="13">
        <f t="shared" si="21"/>
        <v>0</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0</v>
      </c>
      <c r="N59" s="601"/>
      <c r="O59" s="13">
        <f t="shared" si="20"/>
        <v>1</v>
      </c>
      <c r="P59" s="601"/>
      <c r="Q59" s="13">
        <f t="shared" si="21"/>
        <v>0</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0</v>
      </c>
      <c r="N60" s="601"/>
      <c r="O60" s="13">
        <f t="shared" si="20"/>
        <v>1</v>
      </c>
      <c r="P60" s="601"/>
      <c r="Q60" s="13">
        <f t="shared" si="21"/>
        <v>0</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0</v>
      </c>
      <c r="N61" s="601"/>
      <c r="O61" s="13">
        <f t="shared" si="20"/>
        <v>1</v>
      </c>
      <c r="P61" s="601"/>
      <c r="Q61" s="13">
        <f t="shared" si="21"/>
        <v>0</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0</v>
      </c>
      <c r="N62" s="601"/>
      <c r="O62" s="13">
        <f t="shared" si="20"/>
        <v>1</v>
      </c>
      <c r="P62" s="601"/>
      <c r="Q62" s="13">
        <f t="shared" si="21"/>
        <v>0</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0</v>
      </c>
      <c r="N63" s="601"/>
      <c r="O63" s="13">
        <f t="shared" si="20"/>
        <v>1</v>
      </c>
      <c r="P63" s="601"/>
      <c r="Q63" s="13">
        <f t="shared" si="21"/>
        <v>0</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0</v>
      </c>
      <c r="N64" s="601"/>
      <c r="O64" s="13">
        <f t="shared" si="20"/>
        <v>1</v>
      </c>
      <c r="P64" s="601"/>
      <c r="Q64" s="13">
        <f t="shared" si="21"/>
        <v>0</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0</v>
      </c>
      <c r="N65" s="601"/>
      <c r="O65" s="13">
        <f t="shared" si="20"/>
        <v>1</v>
      </c>
      <c r="P65" s="601"/>
      <c r="Q65" s="13">
        <f t="shared" si="21"/>
        <v>0</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0</v>
      </c>
      <c r="N66" s="601"/>
      <c r="O66" s="13">
        <f t="shared" si="20"/>
        <v>1</v>
      </c>
      <c r="P66" s="601"/>
      <c r="Q66" s="13">
        <f t="shared" si="21"/>
        <v>0</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0</v>
      </c>
      <c r="N67" s="601"/>
      <c r="O67" s="13">
        <f t="shared" si="20"/>
        <v>1</v>
      </c>
      <c r="P67" s="601"/>
      <c r="Q67" s="13">
        <f t="shared" si="21"/>
        <v>0</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0</v>
      </c>
      <c r="N68" s="601"/>
      <c r="O68" s="13">
        <f t="shared" si="20"/>
        <v>1</v>
      </c>
      <c r="P68" s="601"/>
      <c r="Q68" s="13">
        <f t="shared" si="21"/>
        <v>0</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0</v>
      </c>
      <c r="N69" s="601"/>
      <c r="O69" s="13">
        <f t="shared" si="20"/>
        <v>1</v>
      </c>
      <c r="P69" s="601"/>
      <c r="Q69" s="13">
        <f t="shared" si="21"/>
        <v>0</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0</v>
      </c>
      <c r="N70" s="601"/>
      <c r="O70" s="13">
        <f t="shared" si="20"/>
        <v>1</v>
      </c>
      <c r="P70" s="601"/>
      <c r="Q70" s="13">
        <f t="shared" si="21"/>
        <v>0</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0</v>
      </c>
      <c r="N71" s="601"/>
      <c r="O71" s="13">
        <f t="shared" si="20"/>
        <v>1</v>
      </c>
      <c r="P71" s="601"/>
      <c r="Q71" s="13">
        <f t="shared" si="21"/>
        <v>0</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0</v>
      </c>
      <c r="N72" s="601"/>
      <c r="O72" s="13">
        <f t="shared" si="20"/>
        <v>1</v>
      </c>
      <c r="P72" s="601"/>
      <c r="Q72" s="13">
        <f t="shared" si="21"/>
        <v>0</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0</v>
      </c>
      <c r="N73" s="601"/>
      <c r="O73" s="13">
        <f t="shared" si="20"/>
        <v>1</v>
      </c>
      <c r="P73" s="601"/>
      <c r="Q73" s="13">
        <f t="shared" si="21"/>
        <v>0</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0</v>
      </c>
      <c r="N74" s="601"/>
      <c r="O74" s="13">
        <f t="shared" si="20"/>
        <v>1</v>
      </c>
      <c r="P74" s="601"/>
      <c r="Q74" s="13">
        <f t="shared" si="21"/>
        <v>0</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0</v>
      </c>
      <c r="N75" s="601"/>
      <c r="O75" s="13">
        <f t="shared" si="20"/>
        <v>1</v>
      </c>
      <c r="P75" s="601"/>
      <c r="Q75" s="13">
        <f t="shared" si="21"/>
        <v>0</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0</v>
      </c>
      <c r="N76" s="601"/>
      <c r="O76" s="13">
        <f t="shared" si="20"/>
        <v>1</v>
      </c>
      <c r="P76" s="601"/>
      <c r="Q76" s="13">
        <f t="shared" si="21"/>
        <v>0</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0</v>
      </c>
      <c r="N77" s="601"/>
      <c r="O77" s="13">
        <f t="shared" si="20"/>
        <v>1</v>
      </c>
      <c r="P77" s="601"/>
      <c r="Q77" s="13">
        <f t="shared" si="21"/>
        <v>0</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0</v>
      </c>
      <c r="N78" s="601"/>
      <c r="O78" s="13">
        <f t="shared" si="20"/>
        <v>1</v>
      </c>
      <c r="P78" s="601"/>
      <c r="Q78" s="13">
        <f t="shared" si="21"/>
        <v>0</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0</v>
      </c>
      <c r="N79" s="601"/>
      <c r="O79" s="13">
        <f t="shared" si="20"/>
        <v>1</v>
      </c>
      <c r="P79" s="601"/>
      <c r="Q79" s="13">
        <f t="shared" si="21"/>
        <v>0</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0</v>
      </c>
      <c r="N80" s="601"/>
      <c r="O80" s="13">
        <f t="shared" si="20"/>
        <v>1</v>
      </c>
      <c r="P80" s="601"/>
      <c r="Q80" s="13">
        <f t="shared" si="21"/>
        <v>0</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0</v>
      </c>
      <c r="N81" s="601"/>
      <c r="O81" s="13">
        <f t="shared" si="20"/>
        <v>1</v>
      </c>
      <c r="P81" s="601"/>
      <c r="Q81" s="13">
        <f t="shared" si="21"/>
        <v>0</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0</v>
      </c>
      <c r="N82" s="601"/>
      <c r="O82" s="13">
        <f t="shared" si="20"/>
        <v>1</v>
      </c>
      <c r="P82" s="601"/>
      <c r="Q82" s="13">
        <f t="shared" si="21"/>
        <v>0</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0</v>
      </c>
      <c r="N83" s="601"/>
      <c r="O83" s="13">
        <f t="shared" si="20"/>
        <v>1</v>
      </c>
      <c r="P83" s="601"/>
      <c r="Q83" s="13">
        <f t="shared" si="21"/>
        <v>0</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0</v>
      </c>
      <c r="N84" s="601"/>
      <c r="O84" s="13">
        <f t="shared" si="20"/>
        <v>1</v>
      </c>
      <c r="P84" s="601"/>
      <c r="Q84" s="13">
        <f t="shared" si="21"/>
        <v>0</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0</v>
      </c>
      <c r="N85" s="601"/>
      <c r="O85" s="13">
        <f t="shared" si="20"/>
        <v>1</v>
      </c>
      <c r="P85" s="601"/>
      <c r="Q85" s="13">
        <f t="shared" si="21"/>
        <v>0</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0</v>
      </c>
      <c r="N86" s="601"/>
      <c r="O86" s="13">
        <f t="shared" si="20"/>
        <v>1</v>
      </c>
      <c r="P86" s="601"/>
      <c r="Q86" s="13">
        <f t="shared" si="21"/>
        <v>0</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0</v>
      </c>
      <c r="N87" s="601"/>
      <c r="O87" s="13">
        <f t="shared" si="20"/>
        <v>1</v>
      </c>
      <c r="P87" s="601"/>
      <c r="Q87" s="13">
        <f t="shared" si="21"/>
        <v>0</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0</v>
      </c>
      <c r="N88" s="601"/>
      <c r="O88" s="13">
        <f t="shared" si="20"/>
        <v>1</v>
      </c>
      <c r="P88" s="601"/>
      <c r="Q88" s="13">
        <f t="shared" si="21"/>
        <v>0</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0</v>
      </c>
      <c r="N89" s="601"/>
      <c r="O89" s="13">
        <f t="shared" si="20"/>
        <v>1</v>
      </c>
      <c r="P89" s="601"/>
      <c r="Q89" s="13">
        <f t="shared" si="21"/>
        <v>0</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0</v>
      </c>
      <c r="N90" s="601"/>
      <c r="O90" s="13">
        <f t="shared" si="20"/>
        <v>1</v>
      </c>
      <c r="P90" s="601"/>
      <c r="Q90" s="13">
        <f t="shared" si="21"/>
        <v>0</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0</v>
      </c>
      <c r="N91" s="601"/>
      <c r="O91" s="13">
        <f t="shared" si="20"/>
        <v>1</v>
      </c>
      <c r="P91" s="601"/>
      <c r="Q91" s="13">
        <f t="shared" si="21"/>
        <v>0</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0</v>
      </c>
      <c r="N92" s="601"/>
      <c r="O92" s="13">
        <f t="shared" ref="O92:O155" si="35">(SUMIF($18:$18,N92,$19:$19)-SUMIF($18:$18,$N$27,$19:$19)+100)/100</f>
        <v>1</v>
      </c>
      <c r="P92" s="601"/>
      <c r="Q92" s="13">
        <f t="shared" ref="Q92:Q155" si="36">(SUMIF($20:$20,P92,$21:$21)-SUMIF($20:$20,$P$27,$21:$21)+100)/100</f>
        <v>0</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0</v>
      </c>
      <c r="N93" s="601"/>
      <c r="O93" s="13">
        <f t="shared" si="35"/>
        <v>1</v>
      </c>
      <c r="P93" s="601"/>
      <c r="Q93" s="13">
        <f t="shared" si="36"/>
        <v>0</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0</v>
      </c>
      <c r="N94" s="601"/>
      <c r="O94" s="13">
        <f t="shared" si="35"/>
        <v>1</v>
      </c>
      <c r="P94" s="601"/>
      <c r="Q94" s="13">
        <f t="shared" si="36"/>
        <v>0</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0</v>
      </c>
      <c r="N95" s="601"/>
      <c r="O95" s="13">
        <f t="shared" si="35"/>
        <v>1</v>
      </c>
      <c r="P95" s="601"/>
      <c r="Q95" s="13">
        <f t="shared" si="36"/>
        <v>0</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0</v>
      </c>
      <c r="N96" s="601"/>
      <c r="O96" s="13">
        <f t="shared" si="35"/>
        <v>1</v>
      </c>
      <c r="P96" s="601"/>
      <c r="Q96" s="13">
        <f t="shared" si="36"/>
        <v>0</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0</v>
      </c>
      <c r="N97" s="601"/>
      <c r="O97" s="13">
        <f t="shared" si="35"/>
        <v>1</v>
      </c>
      <c r="P97" s="601"/>
      <c r="Q97" s="13">
        <f t="shared" si="36"/>
        <v>0</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0</v>
      </c>
      <c r="N98" s="601"/>
      <c r="O98" s="13">
        <f t="shared" si="35"/>
        <v>1</v>
      </c>
      <c r="P98" s="601"/>
      <c r="Q98" s="13">
        <f t="shared" si="36"/>
        <v>0</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0</v>
      </c>
      <c r="N99" s="601"/>
      <c r="O99" s="13">
        <f t="shared" si="35"/>
        <v>1</v>
      </c>
      <c r="P99" s="601"/>
      <c r="Q99" s="13">
        <f t="shared" si="36"/>
        <v>0</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0</v>
      </c>
      <c r="N100" s="601"/>
      <c r="O100" s="13">
        <f t="shared" si="35"/>
        <v>1</v>
      </c>
      <c r="P100" s="601"/>
      <c r="Q100" s="13">
        <f t="shared" si="36"/>
        <v>0</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0</v>
      </c>
      <c r="N101" s="601"/>
      <c r="O101" s="13">
        <f t="shared" si="35"/>
        <v>1</v>
      </c>
      <c r="P101" s="601"/>
      <c r="Q101" s="13">
        <f t="shared" si="36"/>
        <v>0</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0</v>
      </c>
      <c r="N102" s="601"/>
      <c r="O102" s="13">
        <f t="shared" si="35"/>
        <v>1</v>
      </c>
      <c r="P102" s="601"/>
      <c r="Q102" s="13">
        <f t="shared" si="36"/>
        <v>0</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0</v>
      </c>
      <c r="N103" s="601"/>
      <c r="O103" s="13">
        <f t="shared" si="35"/>
        <v>1</v>
      </c>
      <c r="P103" s="601"/>
      <c r="Q103" s="13">
        <f t="shared" si="36"/>
        <v>0</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0</v>
      </c>
      <c r="N104" s="601"/>
      <c r="O104" s="13">
        <f t="shared" si="35"/>
        <v>1</v>
      </c>
      <c r="P104" s="601"/>
      <c r="Q104" s="13">
        <f t="shared" si="36"/>
        <v>0</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0</v>
      </c>
      <c r="N105" s="601"/>
      <c r="O105" s="13">
        <f t="shared" si="35"/>
        <v>1</v>
      </c>
      <c r="P105" s="601"/>
      <c r="Q105" s="13">
        <f t="shared" si="36"/>
        <v>0</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0</v>
      </c>
      <c r="N106" s="601"/>
      <c r="O106" s="13">
        <f t="shared" si="35"/>
        <v>1</v>
      </c>
      <c r="P106" s="601"/>
      <c r="Q106" s="13">
        <f t="shared" si="36"/>
        <v>0</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0</v>
      </c>
      <c r="N107" s="601"/>
      <c r="O107" s="13">
        <f t="shared" si="35"/>
        <v>1</v>
      </c>
      <c r="P107" s="601"/>
      <c r="Q107" s="13">
        <f t="shared" si="36"/>
        <v>0</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0</v>
      </c>
      <c r="N108" s="601"/>
      <c r="O108" s="13">
        <f t="shared" si="35"/>
        <v>1</v>
      </c>
      <c r="P108" s="601"/>
      <c r="Q108" s="13">
        <f t="shared" si="36"/>
        <v>0</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0</v>
      </c>
      <c r="N109" s="601"/>
      <c r="O109" s="13">
        <f t="shared" si="35"/>
        <v>1</v>
      </c>
      <c r="P109" s="601"/>
      <c r="Q109" s="13">
        <f t="shared" si="36"/>
        <v>0</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0</v>
      </c>
      <c r="N110" s="601"/>
      <c r="O110" s="13">
        <f t="shared" si="35"/>
        <v>1</v>
      </c>
      <c r="P110" s="601"/>
      <c r="Q110" s="13">
        <f t="shared" si="36"/>
        <v>0</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0</v>
      </c>
      <c r="N111" s="601"/>
      <c r="O111" s="13">
        <f t="shared" si="35"/>
        <v>1</v>
      </c>
      <c r="P111" s="601"/>
      <c r="Q111" s="13">
        <f t="shared" si="36"/>
        <v>0</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0</v>
      </c>
      <c r="N112" s="601"/>
      <c r="O112" s="13">
        <f t="shared" si="35"/>
        <v>1</v>
      </c>
      <c r="P112" s="601"/>
      <c r="Q112" s="13">
        <f t="shared" si="36"/>
        <v>0</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0</v>
      </c>
      <c r="N113" s="601"/>
      <c r="O113" s="13">
        <f t="shared" si="35"/>
        <v>1</v>
      </c>
      <c r="P113" s="601"/>
      <c r="Q113" s="13">
        <f t="shared" si="36"/>
        <v>0</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0</v>
      </c>
      <c r="N114" s="601"/>
      <c r="O114" s="13">
        <f t="shared" si="35"/>
        <v>1</v>
      </c>
      <c r="P114" s="601"/>
      <c r="Q114" s="13">
        <f t="shared" si="36"/>
        <v>0</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0</v>
      </c>
      <c r="N115" s="601"/>
      <c r="O115" s="13">
        <f t="shared" si="35"/>
        <v>1</v>
      </c>
      <c r="P115" s="601"/>
      <c r="Q115" s="13">
        <f t="shared" si="36"/>
        <v>0</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0</v>
      </c>
      <c r="N116" s="601"/>
      <c r="O116" s="13">
        <f t="shared" si="35"/>
        <v>1</v>
      </c>
      <c r="P116" s="601"/>
      <c r="Q116" s="13">
        <f t="shared" si="36"/>
        <v>0</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0</v>
      </c>
      <c r="N117" s="601"/>
      <c r="O117" s="13">
        <f t="shared" si="35"/>
        <v>1</v>
      </c>
      <c r="P117" s="601"/>
      <c r="Q117" s="13">
        <f t="shared" si="36"/>
        <v>0</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0</v>
      </c>
      <c r="N118" s="601"/>
      <c r="O118" s="13">
        <f t="shared" si="35"/>
        <v>1</v>
      </c>
      <c r="P118" s="601"/>
      <c r="Q118" s="13">
        <f t="shared" si="36"/>
        <v>0</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0</v>
      </c>
      <c r="N119" s="601"/>
      <c r="O119" s="13">
        <f t="shared" si="35"/>
        <v>1</v>
      </c>
      <c r="P119" s="601"/>
      <c r="Q119" s="13">
        <f t="shared" si="36"/>
        <v>0</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0</v>
      </c>
      <c r="N120" s="601"/>
      <c r="O120" s="13">
        <f t="shared" si="35"/>
        <v>1</v>
      </c>
      <c r="P120" s="601"/>
      <c r="Q120" s="13">
        <f t="shared" si="36"/>
        <v>0</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0</v>
      </c>
      <c r="N121" s="601"/>
      <c r="O121" s="13">
        <f t="shared" si="35"/>
        <v>1</v>
      </c>
      <c r="P121" s="601"/>
      <c r="Q121" s="13">
        <f t="shared" si="36"/>
        <v>0</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0</v>
      </c>
      <c r="N122" s="601"/>
      <c r="O122" s="13">
        <f t="shared" si="35"/>
        <v>1</v>
      </c>
      <c r="P122" s="601"/>
      <c r="Q122" s="13">
        <f t="shared" si="36"/>
        <v>0</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0</v>
      </c>
      <c r="N123" s="601"/>
      <c r="O123" s="13">
        <f t="shared" si="35"/>
        <v>1</v>
      </c>
      <c r="P123" s="601"/>
      <c r="Q123" s="13">
        <f t="shared" si="36"/>
        <v>0</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0</v>
      </c>
      <c r="N124" s="601"/>
      <c r="O124" s="13">
        <f t="shared" si="35"/>
        <v>1</v>
      </c>
      <c r="P124" s="601"/>
      <c r="Q124" s="13">
        <f t="shared" si="36"/>
        <v>0</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0</v>
      </c>
      <c r="N125" s="601"/>
      <c r="O125" s="13">
        <f t="shared" si="35"/>
        <v>1</v>
      </c>
      <c r="P125" s="601"/>
      <c r="Q125" s="13">
        <f t="shared" si="36"/>
        <v>0</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0</v>
      </c>
      <c r="N126" s="601"/>
      <c r="O126" s="13">
        <f t="shared" si="35"/>
        <v>1</v>
      </c>
      <c r="P126" s="601"/>
      <c r="Q126" s="13">
        <f t="shared" si="36"/>
        <v>0</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0</v>
      </c>
      <c r="N127" s="601"/>
      <c r="O127" s="13">
        <f t="shared" si="35"/>
        <v>1</v>
      </c>
      <c r="P127" s="601"/>
      <c r="Q127" s="13">
        <f t="shared" si="36"/>
        <v>0</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0</v>
      </c>
      <c r="N128" s="601"/>
      <c r="O128" s="13">
        <f t="shared" si="35"/>
        <v>1</v>
      </c>
      <c r="P128" s="601"/>
      <c r="Q128" s="13">
        <f t="shared" si="36"/>
        <v>0</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0</v>
      </c>
      <c r="N129" s="601"/>
      <c r="O129" s="13">
        <f t="shared" si="35"/>
        <v>1</v>
      </c>
      <c r="P129" s="601"/>
      <c r="Q129" s="13">
        <f t="shared" si="36"/>
        <v>0</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0</v>
      </c>
      <c r="N130" s="601"/>
      <c r="O130" s="13">
        <f t="shared" si="35"/>
        <v>1</v>
      </c>
      <c r="P130" s="601"/>
      <c r="Q130" s="13">
        <f t="shared" si="36"/>
        <v>0</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0</v>
      </c>
      <c r="N131" s="601"/>
      <c r="O131" s="13">
        <f t="shared" si="35"/>
        <v>1</v>
      </c>
      <c r="P131" s="601"/>
      <c r="Q131" s="13">
        <f t="shared" si="36"/>
        <v>0</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0</v>
      </c>
      <c r="N132" s="601"/>
      <c r="O132" s="13">
        <f t="shared" si="35"/>
        <v>1</v>
      </c>
      <c r="P132" s="601"/>
      <c r="Q132" s="13">
        <f t="shared" si="36"/>
        <v>0</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0</v>
      </c>
      <c r="N133" s="601"/>
      <c r="O133" s="13">
        <f t="shared" si="35"/>
        <v>1</v>
      </c>
      <c r="P133" s="601"/>
      <c r="Q133" s="13">
        <f t="shared" si="36"/>
        <v>0</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0</v>
      </c>
      <c r="N134" s="601"/>
      <c r="O134" s="13">
        <f t="shared" si="35"/>
        <v>1</v>
      </c>
      <c r="P134" s="601"/>
      <c r="Q134" s="13">
        <f t="shared" si="36"/>
        <v>0</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0</v>
      </c>
      <c r="N135" s="601"/>
      <c r="O135" s="13">
        <f t="shared" si="35"/>
        <v>1</v>
      </c>
      <c r="P135" s="601"/>
      <c r="Q135" s="13">
        <f t="shared" si="36"/>
        <v>0</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0</v>
      </c>
      <c r="N136" s="601"/>
      <c r="O136" s="13">
        <f t="shared" si="35"/>
        <v>1</v>
      </c>
      <c r="P136" s="601"/>
      <c r="Q136" s="13">
        <f t="shared" si="36"/>
        <v>0</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0</v>
      </c>
      <c r="N137" s="601"/>
      <c r="O137" s="13">
        <f t="shared" si="35"/>
        <v>1</v>
      </c>
      <c r="P137" s="601"/>
      <c r="Q137" s="13">
        <f t="shared" si="36"/>
        <v>0</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0</v>
      </c>
      <c r="N138" s="601"/>
      <c r="O138" s="13">
        <f t="shared" si="35"/>
        <v>1</v>
      </c>
      <c r="P138" s="601"/>
      <c r="Q138" s="13">
        <f t="shared" si="36"/>
        <v>0</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0</v>
      </c>
      <c r="N139" s="601"/>
      <c r="O139" s="13">
        <f t="shared" si="35"/>
        <v>1</v>
      </c>
      <c r="P139" s="601"/>
      <c r="Q139" s="13">
        <f t="shared" si="36"/>
        <v>0</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0</v>
      </c>
      <c r="N140" s="601"/>
      <c r="O140" s="13">
        <f t="shared" si="35"/>
        <v>1</v>
      </c>
      <c r="P140" s="601"/>
      <c r="Q140" s="13">
        <f t="shared" si="36"/>
        <v>0</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0</v>
      </c>
      <c r="N141" s="601"/>
      <c r="O141" s="13">
        <f t="shared" si="35"/>
        <v>1</v>
      </c>
      <c r="P141" s="601"/>
      <c r="Q141" s="13">
        <f t="shared" si="36"/>
        <v>0</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0</v>
      </c>
      <c r="N142" s="601"/>
      <c r="O142" s="13">
        <f t="shared" si="35"/>
        <v>1</v>
      </c>
      <c r="P142" s="601"/>
      <c r="Q142" s="13">
        <f t="shared" si="36"/>
        <v>0</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0</v>
      </c>
      <c r="N143" s="601"/>
      <c r="O143" s="13">
        <f t="shared" si="35"/>
        <v>1</v>
      </c>
      <c r="P143" s="601"/>
      <c r="Q143" s="13">
        <f t="shared" si="36"/>
        <v>0</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0</v>
      </c>
      <c r="N144" s="601"/>
      <c r="O144" s="13">
        <f t="shared" si="35"/>
        <v>1</v>
      </c>
      <c r="P144" s="601"/>
      <c r="Q144" s="13">
        <f t="shared" si="36"/>
        <v>0</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0</v>
      </c>
      <c r="N145" s="601"/>
      <c r="O145" s="13">
        <f t="shared" si="35"/>
        <v>1</v>
      </c>
      <c r="P145" s="601"/>
      <c r="Q145" s="13">
        <f t="shared" si="36"/>
        <v>0</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0</v>
      </c>
      <c r="N146" s="601"/>
      <c r="O146" s="13">
        <f t="shared" si="35"/>
        <v>1</v>
      </c>
      <c r="P146" s="601"/>
      <c r="Q146" s="13">
        <f t="shared" si="36"/>
        <v>0</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0</v>
      </c>
      <c r="N147" s="601"/>
      <c r="O147" s="13">
        <f t="shared" si="35"/>
        <v>1</v>
      </c>
      <c r="P147" s="601"/>
      <c r="Q147" s="13">
        <f t="shared" si="36"/>
        <v>0</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0</v>
      </c>
      <c r="N148" s="601"/>
      <c r="O148" s="13">
        <f t="shared" si="35"/>
        <v>1</v>
      </c>
      <c r="P148" s="601"/>
      <c r="Q148" s="13">
        <f t="shared" si="36"/>
        <v>0</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0</v>
      </c>
      <c r="N149" s="601"/>
      <c r="O149" s="13">
        <f t="shared" si="35"/>
        <v>1</v>
      </c>
      <c r="P149" s="601"/>
      <c r="Q149" s="13">
        <f t="shared" si="36"/>
        <v>0</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0</v>
      </c>
      <c r="N150" s="601"/>
      <c r="O150" s="13">
        <f t="shared" si="35"/>
        <v>1</v>
      </c>
      <c r="P150" s="601"/>
      <c r="Q150" s="13">
        <f t="shared" si="36"/>
        <v>0</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0</v>
      </c>
      <c r="N151" s="601"/>
      <c r="O151" s="13">
        <f t="shared" si="35"/>
        <v>1</v>
      </c>
      <c r="P151" s="601"/>
      <c r="Q151" s="13">
        <f t="shared" si="36"/>
        <v>0</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0</v>
      </c>
      <c r="N152" s="601"/>
      <c r="O152" s="13">
        <f t="shared" si="35"/>
        <v>1</v>
      </c>
      <c r="P152" s="601"/>
      <c r="Q152" s="13">
        <f t="shared" si="36"/>
        <v>0</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0</v>
      </c>
      <c r="N153" s="601"/>
      <c r="O153" s="13">
        <f t="shared" si="35"/>
        <v>1</v>
      </c>
      <c r="P153" s="601"/>
      <c r="Q153" s="13">
        <f t="shared" si="36"/>
        <v>0</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0</v>
      </c>
      <c r="N154" s="601"/>
      <c r="O154" s="13">
        <f t="shared" si="35"/>
        <v>1</v>
      </c>
      <c r="P154" s="601"/>
      <c r="Q154" s="13">
        <f t="shared" si="36"/>
        <v>0</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0</v>
      </c>
      <c r="N155" s="601"/>
      <c r="O155" s="13">
        <f t="shared" si="35"/>
        <v>1</v>
      </c>
      <c r="P155" s="601"/>
      <c r="Q155" s="13">
        <f t="shared" si="36"/>
        <v>0</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0</v>
      </c>
      <c r="N156" s="601"/>
      <c r="O156" s="13">
        <f t="shared" ref="O156:O219" si="50">(SUMIF($18:$18,N156,$19:$19)-SUMIF($18:$18,$N$27,$19:$19)+100)/100</f>
        <v>1</v>
      </c>
      <c r="P156" s="601"/>
      <c r="Q156" s="13">
        <f t="shared" ref="Q156:Q219" si="51">(SUMIF($20:$20,P156,$21:$21)-SUMIF($20:$20,$P$27,$21:$21)+100)/100</f>
        <v>0</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0</v>
      </c>
      <c r="N157" s="601"/>
      <c r="O157" s="13">
        <f t="shared" si="50"/>
        <v>1</v>
      </c>
      <c r="P157" s="601"/>
      <c r="Q157" s="13">
        <f t="shared" si="51"/>
        <v>0</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0</v>
      </c>
      <c r="N158" s="601"/>
      <c r="O158" s="13">
        <f t="shared" si="50"/>
        <v>1</v>
      </c>
      <c r="P158" s="601"/>
      <c r="Q158" s="13">
        <f t="shared" si="51"/>
        <v>0</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0</v>
      </c>
      <c r="N159" s="601"/>
      <c r="O159" s="13">
        <f t="shared" si="50"/>
        <v>1</v>
      </c>
      <c r="P159" s="601"/>
      <c r="Q159" s="13">
        <f t="shared" si="51"/>
        <v>0</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0</v>
      </c>
      <c r="N160" s="601"/>
      <c r="O160" s="13">
        <f t="shared" si="50"/>
        <v>1</v>
      </c>
      <c r="P160" s="601"/>
      <c r="Q160" s="13">
        <f t="shared" si="51"/>
        <v>0</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0</v>
      </c>
      <c r="N161" s="601"/>
      <c r="O161" s="13">
        <f t="shared" si="50"/>
        <v>1</v>
      </c>
      <c r="P161" s="601"/>
      <c r="Q161" s="13">
        <f t="shared" si="51"/>
        <v>0</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0</v>
      </c>
      <c r="N162" s="601"/>
      <c r="O162" s="13">
        <f t="shared" si="50"/>
        <v>1</v>
      </c>
      <c r="P162" s="601"/>
      <c r="Q162" s="13">
        <f t="shared" si="51"/>
        <v>0</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0</v>
      </c>
      <c r="N163" s="601"/>
      <c r="O163" s="13">
        <f t="shared" si="50"/>
        <v>1</v>
      </c>
      <c r="P163" s="601"/>
      <c r="Q163" s="13">
        <f t="shared" si="51"/>
        <v>0</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0</v>
      </c>
      <c r="N164" s="601"/>
      <c r="O164" s="13">
        <f t="shared" si="50"/>
        <v>1</v>
      </c>
      <c r="P164" s="601"/>
      <c r="Q164" s="13">
        <f t="shared" si="51"/>
        <v>0</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0</v>
      </c>
      <c r="N165" s="601"/>
      <c r="O165" s="13">
        <f t="shared" si="50"/>
        <v>1</v>
      </c>
      <c r="P165" s="601"/>
      <c r="Q165" s="13">
        <f t="shared" si="51"/>
        <v>0</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0</v>
      </c>
      <c r="N166" s="601"/>
      <c r="O166" s="13">
        <f t="shared" si="50"/>
        <v>1</v>
      </c>
      <c r="P166" s="601"/>
      <c r="Q166" s="13">
        <f t="shared" si="51"/>
        <v>0</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0</v>
      </c>
      <c r="N167" s="601"/>
      <c r="O167" s="13">
        <f t="shared" si="50"/>
        <v>1</v>
      </c>
      <c r="P167" s="601"/>
      <c r="Q167" s="13">
        <f t="shared" si="51"/>
        <v>0</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0</v>
      </c>
      <c r="N168" s="601"/>
      <c r="O168" s="13">
        <f t="shared" si="50"/>
        <v>1</v>
      </c>
      <c r="P168" s="601"/>
      <c r="Q168" s="13">
        <f t="shared" si="51"/>
        <v>0</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0</v>
      </c>
      <c r="N169" s="601"/>
      <c r="O169" s="13">
        <f t="shared" si="50"/>
        <v>1</v>
      </c>
      <c r="P169" s="601"/>
      <c r="Q169" s="13">
        <f t="shared" si="51"/>
        <v>0</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0</v>
      </c>
      <c r="N170" s="601"/>
      <c r="O170" s="13">
        <f t="shared" si="50"/>
        <v>1</v>
      </c>
      <c r="P170" s="601"/>
      <c r="Q170" s="13">
        <f t="shared" si="51"/>
        <v>0</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0</v>
      </c>
      <c r="N171" s="601"/>
      <c r="O171" s="13">
        <f t="shared" si="50"/>
        <v>1</v>
      </c>
      <c r="P171" s="601"/>
      <c r="Q171" s="13">
        <f t="shared" si="51"/>
        <v>0</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0</v>
      </c>
      <c r="N172" s="601"/>
      <c r="O172" s="13">
        <f t="shared" si="50"/>
        <v>1</v>
      </c>
      <c r="P172" s="601"/>
      <c r="Q172" s="13">
        <f t="shared" si="51"/>
        <v>0</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0</v>
      </c>
      <c r="N173" s="601"/>
      <c r="O173" s="13">
        <f t="shared" si="50"/>
        <v>1</v>
      </c>
      <c r="P173" s="601"/>
      <c r="Q173" s="13">
        <f t="shared" si="51"/>
        <v>0</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0</v>
      </c>
      <c r="N174" s="601"/>
      <c r="O174" s="13">
        <f t="shared" si="50"/>
        <v>1</v>
      </c>
      <c r="P174" s="601"/>
      <c r="Q174" s="13">
        <f t="shared" si="51"/>
        <v>0</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0</v>
      </c>
      <c r="N175" s="601"/>
      <c r="O175" s="13">
        <f t="shared" si="50"/>
        <v>1</v>
      </c>
      <c r="P175" s="601"/>
      <c r="Q175" s="13">
        <f t="shared" si="51"/>
        <v>0</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0</v>
      </c>
      <c r="N176" s="601"/>
      <c r="O176" s="13">
        <f t="shared" si="50"/>
        <v>1</v>
      </c>
      <c r="P176" s="601"/>
      <c r="Q176" s="13">
        <f t="shared" si="51"/>
        <v>0</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0</v>
      </c>
      <c r="N177" s="601"/>
      <c r="O177" s="13">
        <f t="shared" si="50"/>
        <v>1</v>
      </c>
      <c r="P177" s="601"/>
      <c r="Q177" s="13">
        <f t="shared" si="51"/>
        <v>0</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0</v>
      </c>
      <c r="N178" s="601"/>
      <c r="O178" s="13">
        <f t="shared" si="50"/>
        <v>1</v>
      </c>
      <c r="P178" s="601"/>
      <c r="Q178" s="13">
        <f t="shared" si="51"/>
        <v>0</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0</v>
      </c>
      <c r="N179" s="601"/>
      <c r="O179" s="13">
        <f t="shared" si="50"/>
        <v>1</v>
      </c>
      <c r="P179" s="601"/>
      <c r="Q179" s="13">
        <f t="shared" si="51"/>
        <v>0</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0</v>
      </c>
      <c r="N180" s="601"/>
      <c r="O180" s="13">
        <f t="shared" si="50"/>
        <v>1</v>
      </c>
      <c r="P180" s="601"/>
      <c r="Q180" s="13">
        <f t="shared" si="51"/>
        <v>0</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0</v>
      </c>
      <c r="N181" s="601"/>
      <c r="O181" s="13">
        <f t="shared" si="50"/>
        <v>1</v>
      </c>
      <c r="P181" s="601"/>
      <c r="Q181" s="13">
        <f t="shared" si="51"/>
        <v>0</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0</v>
      </c>
      <c r="N182" s="601"/>
      <c r="O182" s="13">
        <f t="shared" si="50"/>
        <v>1</v>
      </c>
      <c r="P182" s="601"/>
      <c r="Q182" s="13">
        <f t="shared" si="51"/>
        <v>0</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0</v>
      </c>
      <c r="N183" s="601"/>
      <c r="O183" s="13">
        <f t="shared" si="50"/>
        <v>1</v>
      </c>
      <c r="P183" s="601"/>
      <c r="Q183" s="13">
        <f t="shared" si="51"/>
        <v>0</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0</v>
      </c>
      <c r="N184" s="601"/>
      <c r="O184" s="13">
        <f t="shared" si="50"/>
        <v>1</v>
      </c>
      <c r="P184" s="601"/>
      <c r="Q184" s="13">
        <f t="shared" si="51"/>
        <v>0</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0</v>
      </c>
      <c r="N185" s="601"/>
      <c r="O185" s="13">
        <f t="shared" si="50"/>
        <v>1</v>
      </c>
      <c r="P185" s="601"/>
      <c r="Q185" s="13">
        <f t="shared" si="51"/>
        <v>0</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0</v>
      </c>
      <c r="N186" s="601"/>
      <c r="O186" s="13">
        <f t="shared" si="50"/>
        <v>1</v>
      </c>
      <c r="P186" s="601"/>
      <c r="Q186" s="13">
        <f t="shared" si="51"/>
        <v>0</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0</v>
      </c>
      <c r="N187" s="601"/>
      <c r="O187" s="13">
        <f t="shared" si="50"/>
        <v>1</v>
      </c>
      <c r="P187" s="601"/>
      <c r="Q187" s="13">
        <f t="shared" si="51"/>
        <v>0</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0</v>
      </c>
      <c r="N188" s="601"/>
      <c r="O188" s="13">
        <f t="shared" si="50"/>
        <v>1</v>
      </c>
      <c r="P188" s="601"/>
      <c r="Q188" s="13">
        <f t="shared" si="51"/>
        <v>0</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0</v>
      </c>
      <c r="N189" s="601"/>
      <c r="O189" s="13">
        <f t="shared" si="50"/>
        <v>1</v>
      </c>
      <c r="P189" s="601"/>
      <c r="Q189" s="13">
        <f t="shared" si="51"/>
        <v>0</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0</v>
      </c>
      <c r="N190" s="601"/>
      <c r="O190" s="13">
        <f t="shared" si="50"/>
        <v>1</v>
      </c>
      <c r="P190" s="601"/>
      <c r="Q190" s="13">
        <f t="shared" si="51"/>
        <v>0</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0</v>
      </c>
      <c r="N191" s="601"/>
      <c r="O191" s="13">
        <f t="shared" si="50"/>
        <v>1</v>
      </c>
      <c r="P191" s="601"/>
      <c r="Q191" s="13">
        <f t="shared" si="51"/>
        <v>0</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0</v>
      </c>
      <c r="N192" s="601"/>
      <c r="O192" s="13">
        <f t="shared" si="50"/>
        <v>1</v>
      </c>
      <c r="P192" s="601"/>
      <c r="Q192" s="13">
        <f t="shared" si="51"/>
        <v>0</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0</v>
      </c>
      <c r="N193" s="601"/>
      <c r="O193" s="13">
        <f t="shared" si="50"/>
        <v>1</v>
      </c>
      <c r="P193" s="601"/>
      <c r="Q193" s="13">
        <f t="shared" si="51"/>
        <v>0</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0</v>
      </c>
      <c r="N194" s="601"/>
      <c r="O194" s="13">
        <f t="shared" si="50"/>
        <v>1</v>
      </c>
      <c r="P194" s="601"/>
      <c r="Q194" s="13">
        <f t="shared" si="51"/>
        <v>0</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0</v>
      </c>
      <c r="N195" s="601"/>
      <c r="O195" s="13">
        <f t="shared" si="50"/>
        <v>1</v>
      </c>
      <c r="P195" s="601"/>
      <c r="Q195" s="13">
        <f t="shared" si="51"/>
        <v>0</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0</v>
      </c>
      <c r="N196" s="601"/>
      <c r="O196" s="13">
        <f t="shared" si="50"/>
        <v>1</v>
      </c>
      <c r="P196" s="601"/>
      <c r="Q196" s="13">
        <f t="shared" si="51"/>
        <v>0</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0</v>
      </c>
      <c r="N197" s="601"/>
      <c r="O197" s="13">
        <f t="shared" si="50"/>
        <v>1</v>
      </c>
      <c r="P197" s="601"/>
      <c r="Q197" s="13">
        <f t="shared" si="51"/>
        <v>0</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0</v>
      </c>
      <c r="N198" s="601"/>
      <c r="O198" s="13">
        <f t="shared" si="50"/>
        <v>1</v>
      </c>
      <c r="P198" s="601"/>
      <c r="Q198" s="13">
        <f t="shared" si="51"/>
        <v>0</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0</v>
      </c>
      <c r="N199" s="601"/>
      <c r="O199" s="13">
        <f t="shared" si="50"/>
        <v>1</v>
      </c>
      <c r="P199" s="601"/>
      <c r="Q199" s="13">
        <f t="shared" si="51"/>
        <v>0</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0</v>
      </c>
      <c r="N200" s="601"/>
      <c r="O200" s="13">
        <f t="shared" si="50"/>
        <v>1</v>
      </c>
      <c r="P200" s="601"/>
      <c r="Q200" s="13">
        <f t="shared" si="51"/>
        <v>0</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0</v>
      </c>
      <c r="N201" s="601"/>
      <c r="O201" s="13">
        <f t="shared" si="50"/>
        <v>1</v>
      </c>
      <c r="P201" s="601"/>
      <c r="Q201" s="13">
        <f t="shared" si="51"/>
        <v>0</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0</v>
      </c>
      <c r="N202" s="601"/>
      <c r="O202" s="13">
        <f t="shared" si="50"/>
        <v>1</v>
      </c>
      <c r="P202" s="601"/>
      <c r="Q202" s="13">
        <f t="shared" si="51"/>
        <v>0</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0</v>
      </c>
      <c r="N203" s="601"/>
      <c r="O203" s="13">
        <f t="shared" si="50"/>
        <v>1</v>
      </c>
      <c r="P203" s="601"/>
      <c r="Q203" s="13">
        <f t="shared" si="51"/>
        <v>0</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0</v>
      </c>
      <c r="N204" s="601"/>
      <c r="O204" s="13">
        <f t="shared" si="50"/>
        <v>1</v>
      </c>
      <c r="P204" s="601"/>
      <c r="Q204" s="13">
        <f t="shared" si="51"/>
        <v>0</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0</v>
      </c>
      <c r="N205" s="601"/>
      <c r="O205" s="13">
        <f t="shared" si="50"/>
        <v>1</v>
      </c>
      <c r="P205" s="601"/>
      <c r="Q205" s="13">
        <f t="shared" si="51"/>
        <v>0</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0</v>
      </c>
      <c r="N206" s="601"/>
      <c r="O206" s="13">
        <f t="shared" si="50"/>
        <v>1</v>
      </c>
      <c r="P206" s="601"/>
      <c r="Q206" s="13">
        <f t="shared" si="51"/>
        <v>0</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0</v>
      </c>
      <c r="N207" s="601"/>
      <c r="O207" s="13">
        <f t="shared" si="50"/>
        <v>1</v>
      </c>
      <c r="P207" s="601"/>
      <c r="Q207" s="13">
        <f t="shared" si="51"/>
        <v>0</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0</v>
      </c>
      <c r="N208" s="601"/>
      <c r="O208" s="13">
        <f t="shared" si="50"/>
        <v>1</v>
      </c>
      <c r="P208" s="601"/>
      <c r="Q208" s="13">
        <f t="shared" si="51"/>
        <v>0</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0</v>
      </c>
      <c r="N209" s="601"/>
      <c r="O209" s="13">
        <f t="shared" si="50"/>
        <v>1</v>
      </c>
      <c r="P209" s="601"/>
      <c r="Q209" s="13">
        <f t="shared" si="51"/>
        <v>0</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0</v>
      </c>
      <c r="N210" s="601"/>
      <c r="O210" s="13">
        <f t="shared" si="50"/>
        <v>1</v>
      </c>
      <c r="P210" s="601"/>
      <c r="Q210" s="13">
        <f t="shared" si="51"/>
        <v>0</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0</v>
      </c>
      <c r="N211" s="601"/>
      <c r="O211" s="13">
        <f t="shared" si="50"/>
        <v>1</v>
      </c>
      <c r="P211" s="601"/>
      <c r="Q211" s="13">
        <f t="shared" si="51"/>
        <v>0</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0</v>
      </c>
      <c r="N212" s="601"/>
      <c r="O212" s="13">
        <f t="shared" si="50"/>
        <v>1</v>
      </c>
      <c r="P212" s="601"/>
      <c r="Q212" s="13">
        <f t="shared" si="51"/>
        <v>0</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0</v>
      </c>
      <c r="N213" s="601"/>
      <c r="O213" s="13">
        <f t="shared" si="50"/>
        <v>1</v>
      </c>
      <c r="P213" s="601"/>
      <c r="Q213" s="13">
        <f t="shared" si="51"/>
        <v>0</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0</v>
      </c>
      <c r="N214" s="601"/>
      <c r="O214" s="13">
        <f t="shared" si="50"/>
        <v>1</v>
      </c>
      <c r="P214" s="601"/>
      <c r="Q214" s="13">
        <f t="shared" si="51"/>
        <v>0</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0</v>
      </c>
      <c r="N215" s="601"/>
      <c r="O215" s="13">
        <f t="shared" si="50"/>
        <v>1</v>
      </c>
      <c r="P215" s="601"/>
      <c r="Q215" s="13">
        <f t="shared" si="51"/>
        <v>0</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0</v>
      </c>
      <c r="N216" s="601"/>
      <c r="O216" s="13">
        <f t="shared" si="50"/>
        <v>1</v>
      </c>
      <c r="P216" s="601"/>
      <c r="Q216" s="13">
        <f t="shared" si="51"/>
        <v>0</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0</v>
      </c>
      <c r="N217" s="601"/>
      <c r="O217" s="13">
        <f t="shared" si="50"/>
        <v>1</v>
      </c>
      <c r="P217" s="601"/>
      <c r="Q217" s="13">
        <f t="shared" si="51"/>
        <v>0</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0</v>
      </c>
      <c r="N218" s="601"/>
      <c r="O218" s="13">
        <f t="shared" si="50"/>
        <v>1</v>
      </c>
      <c r="P218" s="601"/>
      <c r="Q218" s="13">
        <f t="shared" si="51"/>
        <v>0</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0</v>
      </c>
      <c r="N219" s="601"/>
      <c r="O219" s="13">
        <f t="shared" si="50"/>
        <v>1</v>
      </c>
      <c r="P219" s="601"/>
      <c r="Q219" s="13">
        <f t="shared" si="51"/>
        <v>0</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0</v>
      </c>
      <c r="N220" s="601"/>
      <c r="O220" s="13">
        <f t="shared" ref="O220:O283" si="65">(SUMIF($18:$18,N220,$19:$19)-SUMIF($18:$18,$N$27,$19:$19)+100)/100</f>
        <v>1</v>
      </c>
      <c r="P220" s="601"/>
      <c r="Q220" s="13">
        <f t="shared" ref="Q220:Q283" si="66">(SUMIF($20:$20,P220,$21:$21)-SUMIF($20:$20,$P$27,$21:$21)+100)/100</f>
        <v>0</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0</v>
      </c>
      <c r="N221" s="601"/>
      <c r="O221" s="13">
        <f t="shared" si="65"/>
        <v>1</v>
      </c>
      <c r="P221" s="601"/>
      <c r="Q221" s="13">
        <f t="shared" si="66"/>
        <v>0</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0</v>
      </c>
      <c r="N222" s="601"/>
      <c r="O222" s="13">
        <f t="shared" si="65"/>
        <v>1</v>
      </c>
      <c r="P222" s="601"/>
      <c r="Q222" s="13">
        <f t="shared" si="66"/>
        <v>0</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0</v>
      </c>
      <c r="N223" s="601"/>
      <c r="O223" s="13">
        <f t="shared" si="65"/>
        <v>1</v>
      </c>
      <c r="P223" s="601"/>
      <c r="Q223" s="13">
        <f t="shared" si="66"/>
        <v>0</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0</v>
      </c>
      <c r="N224" s="601"/>
      <c r="O224" s="13">
        <f t="shared" si="65"/>
        <v>1</v>
      </c>
      <c r="P224" s="601"/>
      <c r="Q224" s="13">
        <f t="shared" si="66"/>
        <v>0</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0</v>
      </c>
      <c r="N225" s="601"/>
      <c r="O225" s="13">
        <f t="shared" si="65"/>
        <v>1</v>
      </c>
      <c r="P225" s="601"/>
      <c r="Q225" s="13">
        <f t="shared" si="66"/>
        <v>0</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0</v>
      </c>
      <c r="N226" s="601"/>
      <c r="O226" s="13">
        <f t="shared" si="65"/>
        <v>1</v>
      </c>
      <c r="P226" s="601"/>
      <c r="Q226" s="13">
        <f t="shared" si="66"/>
        <v>0</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0</v>
      </c>
      <c r="N227" s="601"/>
      <c r="O227" s="13">
        <f t="shared" si="65"/>
        <v>1</v>
      </c>
      <c r="P227" s="601"/>
      <c r="Q227" s="13">
        <f t="shared" si="66"/>
        <v>0</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0</v>
      </c>
      <c r="N228" s="601"/>
      <c r="O228" s="13">
        <f t="shared" si="65"/>
        <v>1</v>
      </c>
      <c r="P228" s="601"/>
      <c r="Q228" s="13">
        <f t="shared" si="66"/>
        <v>0</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0</v>
      </c>
      <c r="N229" s="601"/>
      <c r="O229" s="13">
        <f t="shared" si="65"/>
        <v>1</v>
      </c>
      <c r="P229" s="601"/>
      <c r="Q229" s="13">
        <f t="shared" si="66"/>
        <v>0</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0</v>
      </c>
      <c r="N230" s="601"/>
      <c r="O230" s="13">
        <f t="shared" si="65"/>
        <v>1</v>
      </c>
      <c r="P230" s="601"/>
      <c r="Q230" s="13">
        <f t="shared" si="66"/>
        <v>0</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0</v>
      </c>
      <c r="N231" s="601"/>
      <c r="O231" s="13">
        <f t="shared" si="65"/>
        <v>1</v>
      </c>
      <c r="P231" s="601"/>
      <c r="Q231" s="13">
        <f t="shared" si="66"/>
        <v>0</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0</v>
      </c>
      <c r="N232" s="601"/>
      <c r="O232" s="13">
        <f t="shared" si="65"/>
        <v>1</v>
      </c>
      <c r="P232" s="601"/>
      <c r="Q232" s="13">
        <f t="shared" si="66"/>
        <v>0</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0</v>
      </c>
      <c r="N233" s="601"/>
      <c r="O233" s="13">
        <f t="shared" si="65"/>
        <v>1</v>
      </c>
      <c r="P233" s="601"/>
      <c r="Q233" s="13">
        <f t="shared" si="66"/>
        <v>0</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0</v>
      </c>
      <c r="N234" s="601"/>
      <c r="O234" s="13">
        <f t="shared" si="65"/>
        <v>1</v>
      </c>
      <c r="P234" s="601"/>
      <c r="Q234" s="13">
        <f t="shared" si="66"/>
        <v>0</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0</v>
      </c>
      <c r="N235" s="601"/>
      <c r="O235" s="13">
        <f t="shared" si="65"/>
        <v>1</v>
      </c>
      <c r="P235" s="601"/>
      <c r="Q235" s="13">
        <f t="shared" si="66"/>
        <v>0</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0</v>
      </c>
      <c r="N236" s="601"/>
      <c r="O236" s="13">
        <f t="shared" si="65"/>
        <v>1</v>
      </c>
      <c r="P236" s="601"/>
      <c r="Q236" s="13">
        <f t="shared" si="66"/>
        <v>0</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0</v>
      </c>
      <c r="N237" s="601"/>
      <c r="O237" s="13">
        <f t="shared" si="65"/>
        <v>1</v>
      </c>
      <c r="P237" s="601"/>
      <c r="Q237" s="13">
        <f t="shared" si="66"/>
        <v>0</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0</v>
      </c>
      <c r="N238" s="601"/>
      <c r="O238" s="13">
        <f t="shared" si="65"/>
        <v>1</v>
      </c>
      <c r="P238" s="601"/>
      <c r="Q238" s="13">
        <f t="shared" si="66"/>
        <v>0</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0</v>
      </c>
      <c r="N239" s="601"/>
      <c r="O239" s="13">
        <f t="shared" si="65"/>
        <v>1</v>
      </c>
      <c r="P239" s="601"/>
      <c r="Q239" s="13">
        <f t="shared" si="66"/>
        <v>0</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0</v>
      </c>
      <c r="N240" s="601"/>
      <c r="O240" s="13">
        <f t="shared" si="65"/>
        <v>1</v>
      </c>
      <c r="P240" s="601"/>
      <c r="Q240" s="13">
        <f t="shared" si="66"/>
        <v>0</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0</v>
      </c>
      <c r="N241" s="601"/>
      <c r="O241" s="13">
        <f t="shared" si="65"/>
        <v>1</v>
      </c>
      <c r="P241" s="601"/>
      <c r="Q241" s="13">
        <f t="shared" si="66"/>
        <v>0</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0</v>
      </c>
      <c r="N242" s="601"/>
      <c r="O242" s="13">
        <f t="shared" si="65"/>
        <v>1</v>
      </c>
      <c r="P242" s="601"/>
      <c r="Q242" s="13">
        <f t="shared" si="66"/>
        <v>0</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0</v>
      </c>
      <c r="N243" s="601"/>
      <c r="O243" s="13">
        <f t="shared" si="65"/>
        <v>1</v>
      </c>
      <c r="P243" s="601"/>
      <c r="Q243" s="13">
        <f t="shared" si="66"/>
        <v>0</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0</v>
      </c>
      <c r="N244" s="601"/>
      <c r="O244" s="13">
        <f t="shared" si="65"/>
        <v>1</v>
      </c>
      <c r="P244" s="601"/>
      <c r="Q244" s="13">
        <f t="shared" si="66"/>
        <v>0</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0</v>
      </c>
      <c r="N245" s="601"/>
      <c r="O245" s="13">
        <f t="shared" si="65"/>
        <v>1</v>
      </c>
      <c r="P245" s="601"/>
      <c r="Q245" s="13">
        <f t="shared" si="66"/>
        <v>0</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0</v>
      </c>
      <c r="N246" s="601"/>
      <c r="O246" s="13">
        <f t="shared" si="65"/>
        <v>1</v>
      </c>
      <c r="P246" s="601"/>
      <c r="Q246" s="13">
        <f t="shared" si="66"/>
        <v>0</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0</v>
      </c>
      <c r="N247" s="601"/>
      <c r="O247" s="13">
        <f t="shared" si="65"/>
        <v>1</v>
      </c>
      <c r="P247" s="601"/>
      <c r="Q247" s="13">
        <f t="shared" si="66"/>
        <v>0</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0</v>
      </c>
      <c r="N248" s="601"/>
      <c r="O248" s="13">
        <f t="shared" si="65"/>
        <v>1</v>
      </c>
      <c r="P248" s="601"/>
      <c r="Q248" s="13">
        <f t="shared" si="66"/>
        <v>0</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0</v>
      </c>
      <c r="N249" s="601"/>
      <c r="O249" s="13">
        <f t="shared" si="65"/>
        <v>1</v>
      </c>
      <c r="P249" s="601"/>
      <c r="Q249" s="13">
        <f t="shared" si="66"/>
        <v>0</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0</v>
      </c>
      <c r="N250" s="601"/>
      <c r="O250" s="13">
        <f t="shared" si="65"/>
        <v>1</v>
      </c>
      <c r="P250" s="601"/>
      <c r="Q250" s="13">
        <f t="shared" si="66"/>
        <v>0</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0</v>
      </c>
      <c r="N251" s="601"/>
      <c r="O251" s="13">
        <f t="shared" si="65"/>
        <v>1</v>
      </c>
      <c r="P251" s="601"/>
      <c r="Q251" s="13">
        <f t="shared" si="66"/>
        <v>0</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0</v>
      </c>
      <c r="N252" s="601"/>
      <c r="O252" s="13">
        <f t="shared" si="65"/>
        <v>1</v>
      </c>
      <c r="P252" s="601"/>
      <c r="Q252" s="13">
        <f t="shared" si="66"/>
        <v>0</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0</v>
      </c>
      <c r="N253" s="601"/>
      <c r="O253" s="13">
        <f t="shared" si="65"/>
        <v>1</v>
      </c>
      <c r="P253" s="601"/>
      <c r="Q253" s="13">
        <f t="shared" si="66"/>
        <v>0</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0</v>
      </c>
      <c r="N254" s="601"/>
      <c r="O254" s="13">
        <f t="shared" si="65"/>
        <v>1</v>
      </c>
      <c r="P254" s="601"/>
      <c r="Q254" s="13">
        <f t="shared" si="66"/>
        <v>0</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0</v>
      </c>
      <c r="N255" s="601"/>
      <c r="O255" s="13">
        <f t="shared" si="65"/>
        <v>1</v>
      </c>
      <c r="P255" s="601"/>
      <c r="Q255" s="13">
        <f t="shared" si="66"/>
        <v>0</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0</v>
      </c>
      <c r="N256" s="601"/>
      <c r="O256" s="13">
        <f t="shared" si="65"/>
        <v>1</v>
      </c>
      <c r="P256" s="601"/>
      <c r="Q256" s="13">
        <f t="shared" si="66"/>
        <v>0</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0</v>
      </c>
      <c r="N257" s="601"/>
      <c r="O257" s="13">
        <f t="shared" si="65"/>
        <v>1</v>
      </c>
      <c r="P257" s="601"/>
      <c r="Q257" s="13">
        <f t="shared" si="66"/>
        <v>0</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0</v>
      </c>
      <c r="N258" s="601"/>
      <c r="O258" s="13">
        <f t="shared" si="65"/>
        <v>1</v>
      </c>
      <c r="P258" s="601"/>
      <c r="Q258" s="13">
        <f t="shared" si="66"/>
        <v>0</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0</v>
      </c>
      <c r="N259" s="601"/>
      <c r="O259" s="13">
        <f t="shared" si="65"/>
        <v>1</v>
      </c>
      <c r="P259" s="601"/>
      <c r="Q259" s="13">
        <f t="shared" si="66"/>
        <v>0</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0</v>
      </c>
      <c r="N260" s="601"/>
      <c r="O260" s="13">
        <f t="shared" si="65"/>
        <v>1</v>
      </c>
      <c r="P260" s="601"/>
      <c r="Q260" s="13">
        <f t="shared" si="66"/>
        <v>0</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0</v>
      </c>
      <c r="N261" s="601"/>
      <c r="O261" s="13">
        <f t="shared" si="65"/>
        <v>1</v>
      </c>
      <c r="P261" s="601"/>
      <c r="Q261" s="13">
        <f t="shared" si="66"/>
        <v>0</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0</v>
      </c>
      <c r="N262" s="601"/>
      <c r="O262" s="13">
        <f t="shared" si="65"/>
        <v>1</v>
      </c>
      <c r="P262" s="601"/>
      <c r="Q262" s="13">
        <f t="shared" si="66"/>
        <v>0</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0</v>
      </c>
      <c r="N263" s="601"/>
      <c r="O263" s="13">
        <f t="shared" si="65"/>
        <v>1</v>
      </c>
      <c r="P263" s="601"/>
      <c r="Q263" s="13">
        <f t="shared" si="66"/>
        <v>0</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0</v>
      </c>
      <c r="N264" s="601"/>
      <c r="O264" s="13">
        <f t="shared" si="65"/>
        <v>1</v>
      </c>
      <c r="P264" s="601"/>
      <c r="Q264" s="13">
        <f t="shared" si="66"/>
        <v>0</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0</v>
      </c>
      <c r="N265" s="601"/>
      <c r="O265" s="13">
        <f t="shared" si="65"/>
        <v>1</v>
      </c>
      <c r="P265" s="601"/>
      <c r="Q265" s="13">
        <f t="shared" si="66"/>
        <v>0</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0</v>
      </c>
      <c r="N266" s="601"/>
      <c r="O266" s="13">
        <f t="shared" si="65"/>
        <v>1</v>
      </c>
      <c r="P266" s="601"/>
      <c r="Q266" s="13">
        <f t="shared" si="66"/>
        <v>0</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0</v>
      </c>
      <c r="N267" s="601"/>
      <c r="O267" s="13">
        <f t="shared" si="65"/>
        <v>1</v>
      </c>
      <c r="P267" s="601"/>
      <c r="Q267" s="13">
        <f t="shared" si="66"/>
        <v>0</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0</v>
      </c>
      <c r="N268" s="601"/>
      <c r="O268" s="13">
        <f t="shared" si="65"/>
        <v>1</v>
      </c>
      <c r="P268" s="601"/>
      <c r="Q268" s="13">
        <f t="shared" si="66"/>
        <v>0</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0</v>
      </c>
      <c r="N269" s="601"/>
      <c r="O269" s="13">
        <f t="shared" si="65"/>
        <v>1</v>
      </c>
      <c r="P269" s="601"/>
      <c r="Q269" s="13">
        <f t="shared" si="66"/>
        <v>0</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0</v>
      </c>
      <c r="N270" s="601"/>
      <c r="O270" s="13">
        <f t="shared" si="65"/>
        <v>1</v>
      </c>
      <c r="P270" s="601"/>
      <c r="Q270" s="13">
        <f t="shared" si="66"/>
        <v>0</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0</v>
      </c>
      <c r="N271" s="601"/>
      <c r="O271" s="13">
        <f t="shared" si="65"/>
        <v>1</v>
      </c>
      <c r="P271" s="601"/>
      <c r="Q271" s="13">
        <f t="shared" si="66"/>
        <v>0</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0</v>
      </c>
      <c r="N272" s="601"/>
      <c r="O272" s="13">
        <f t="shared" si="65"/>
        <v>1</v>
      </c>
      <c r="P272" s="601"/>
      <c r="Q272" s="13">
        <f t="shared" si="66"/>
        <v>0</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0</v>
      </c>
      <c r="N273" s="601"/>
      <c r="O273" s="13">
        <f t="shared" si="65"/>
        <v>1</v>
      </c>
      <c r="P273" s="601"/>
      <c r="Q273" s="13">
        <f t="shared" si="66"/>
        <v>0</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0</v>
      </c>
      <c r="N274" s="601"/>
      <c r="O274" s="13">
        <f t="shared" si="65"/>
        <v>1</v>
      </c>
      <c r="P274" s="601"/>
      <c r="Q274" s="13">
        <f t="shared" si="66"/>
        <v>0</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0</v>
      </c>
      <c r="N275" s="601"/>
      <c r="O275" s="13">
        <f t="shared" si="65"/>
        <v>1</v>
      </c>
      <c r="P275" s="601"/>
      <c r="Q275" s="13">
        <f t="shared" si="66"/>
        <v>0</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0</v>
      </c>
      <c r="N276" s="601"/>
      <c r="O276" s="13">
        <f t="shared" si="65"/>
        <v>1</v>
      </c>
      <c r="P276" s="601"/>
      <c r="Q276" s="13">
        <f t="shared" si="66"/>
        <v>0</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0</v>
      </c>
      <c r="N277" s="601"/>
      <c r="O277" s="13">
        <f t="shared" si="65"/>
        <v>1</v>
      </c>
      <c r="P277" s="601"/>
      <c r="Q277" s="13">
        <f t="shared" si="66"/>
        <v>0</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0</v>
      </c>
      <c r="N278" s="601"/>
      <c r="O278" s="13">
        <f t="shared" si="65"/>
        <v>1</v>
      </c>
      <c r="P278" s="601"/>
      <c r="Q278" s="13">
        <f t="shared" si="66"/>
        <v>0</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0</v>
      </c>
      <c r="N279" s="601"/>
      <c r="O279" s="13">
        <f t="shared" si="65"/>
        <v>1</v>
      </c>
      <c r="P279" s="601"/>
      <c r="Q279" s="13">
        <f t="shared" si="66"/>
        <v>0</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0</v>
      </c>
      <c r="N280" s="601"/>
      <c r="O280" s="13">
        <f t="shared" si="65"/>
        <v>1</v>
      </c>
      <c r="P280" s="601"/>
      <c r="Q280" s="13">
        <f t="shared" si="66"/>
        <v>0</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0</v>
      </c>
      <c r="N281" s="601"/>
      <c r="O281" s="13">
        <f t="shared" si="65"/>
        <v>1</v>
      </c>
      <c r="P281" s="601"/>
      <c r="Q281" s="13">
        <f t="shared" si="66"/>
        <v>0</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0</v>
      </c>
      <c r="N282" s="601"/>
      <c r="O282" s="13">
        <f t="shared" si="65"/>
        <v>1</v>
      </c>
      <c r="P282" s="601"/>
      <c r="Q282" s="13">
        <f t="shared" si="66"/>
        <v>0</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0</v>
      </c>
      <c r="N283" s="601"/>
      <c r="O283" s="13">
        <f t="shared" si="65"/>
        <v>1</v>
      </c>
      <c r="P283" s="601"/>
      <c r="Q283" s="13">
        <f t="shared" si="66"/>
        <v>0</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0</v>
      </c>
      <c r="N284" s="601"/>
      <c r="O284" s="13">
        <f t="shared" ref="O284:O347" si="80">(SUMIF($18:$18,N284,$19:$19)-SUMIF($18:$18,$N$27,$19:$19)+100)/100</f>
        <v>1</v>
      </c>
      <c r="P284" s="601"/>
      <c r="Q284" s="13">
        <f t="shared" ref="Q284:Q347" si="81">(SUMIF($20:$20,P284,$21:$21)-SUMIF($20:$20,$P$27,$21:$21)+100)/100</f>
        <v>0</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0</v>
      </c>
      <c r="N285" s="601"/>
      <c r="O285" s="13">
        <f t="shared" si="80"/>
        <v>1</v>
      </c>
      <c r="P285" s="601"/>
      <c r="Q285" s="13">
        <f t="shared" si="81"/>
        <v>0</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0</v>
      </c>
      <c r="N286" s="601"/>
      <c r="O286" s="13">
        <f t="shared" si="80"/>
        <v>1</v>
      </c>
      <c r="P286" s="601"/>
      <c r="Q286" s="13">
        <f t="shared" si="81"/>
        <v>0</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0</v>
      </c>
      <c r="N287" s="601"/>
      <c r="O287" s="13">
        <f t="shared" si="80"/>
        <v>1</v>
      </c>
      <c r="P287" s="601"/>
      <c r="Q287" s="13">
        <f t="shared" si="81"/>
        <v>0</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0</v>
      </c>
      <c r="N288" s="601"/>
      <c r="O288" s="13">
        <f t="shared" si="80"/>
        <v>1</v>
      </c>
      <c r="P288" s="601"/>
      <c r="Q288" s="13">
        <f t="shared" si="81"/>
        <v>0</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0</v>
      </c>
      <c r="N289" s="601"/>
      <c r="O289" s="13">
        <f t="shared" si="80"/>
        <v>1</v>
      </c>
      <c r="P289" s="601"/>
      <c r="Q289" s="13">
        <f t="shared" si="81"/>
        <v>0</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0</v>
      </c>
      <c r="N290" s="601"/>
      <c r="O290" s="13">
        <f t="shared" si="80"/>
        <v>1</v>
      </c>
      <c r="P290" s="601"/>
      <c r="Q290" s="13">
        <f t="shared" si="81"/>
        <v>0</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0</v>
      </c>
      <c r="N291" s="601"/>
      <c r="O291" s="13">
        <f t="shared" si="80"/>
        <v>1</v>
      </c>
      <c r="P291" s="601"/>
      <c r="Q291" s="13">
        <f t="shared" si="81"/>
        <v>0</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0</v>
      </c>
      <c r="N292" s="601"/>
      <c r="O292" s="13">
        <f t="shared" si="80"/>
        <v>1</v>
      </c>
      <c r="P292" s="601"/>
      <c r="Q292" s="13">
        <f t="shared" si="81"/>
        <v>0</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0</v>
      </c>
      <c r="N293" s="601"/>
      <c r="O293" s="13">
        <f t="shared" si="80"/>
        <v>1</v>
      </c>
      <c r="P293" s="601"/>
      <c r="Q293" s="13">
        <f t="shared" si="81"/>
        <v>0</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0</v>
      </c>
      <c r="N294" s="601"/>
      <c r="O294" s="13">
        <f t="shared" si="80"/>
        <v>1</v>
      </c>
      <c r="P294" s="601"/>
      <c r="Q294" s="13">
        <f t="shared" si="81"/>
        <v>0</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0</v>
      </c>
      <c r="N295" s="601"/>
      <c r="O295" s="13">
        <f t="shared" si="80"/>
        <v>1</v>
      </c>
      <c r="P295" s="601"/>
      <c r="Q295" s="13">
        <f t="shared" si="81"/>
        <v>0</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0</v>
      </c>
      <c r="N296" s="601"/>
      <c r="O296" s="13">
        <f t="shared" si="80"/>
        <v>1</v>
      </c>
      <c r="P296" s="601"/>
      <c r="Q296" s="13">
        <f t="shared" si="81"/>
        <v>0</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0</v>
      </c>
      <c r="N297" s="601"/>
      <c r="O297" s="13">
        <f t="shared" si="80"/>
        <v>1</v>
      </c>
      <c r="P297" s="601"/>
      <c r="Q297" s="13">
        <f t="shared" si="81"/>
        <v>0</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0</v>
      </c>
      <c r="N298" s="601"/>
      <c r="O298" s="13">
        <f t="shared" si="80"/>
        <v>1</v>
      </c>
      <c r="P298" s="601"/>
      <c r="Q298" s="13">
        <f t="shared" si="81"/>
        <v>0</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0</v>
      </c>
      <c r="N299" s="601"/>
      <c r="O299" s="13">
        <f t="shared" si="80"/>
        <v>1</v>
      </c>
      <c r="P299" s="601"/>
      <c r="Q299" s="13">
        <f t="shared" si="81"/>
        <v>0</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0</v>
      </c>
      <c r="N300" s="601"/>
      <c r="O300" s="13">
        <f t="shared" si="80"/>
        <v>1</v>
      </c>
      <c r="P300" s="601"/>
      <c r="Q300" s="13">
        <f t="shared" si="81"/>
        <v>0</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0</v>
      </c>
      <c r="N301" s="601"/>
      <c r="O301" s="13">
        <f t="shared" si="80"/>
        <v>1</v>
      </c>
      <c r="P301" s="601"/>
      <c r="Q301" s="13">
        <f t="shared" si="81"/>
        <v>0</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0</v>
      </c>
      <c r="N302" s="601"/>
      <c r="O302" s="13">
        <f t="shared" si="80"/>
        <v>1</v>
      </c>
      <c r="P302" s="601"/>
      <c r="Q302" s="13">
        <f t="shared" si="81"/>
        <v>0</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0</v>
      </c>
      <c r="N303" s="601"/>
      <c r="O303" s="13">
        <f t="shared" si="80"/>
        <v>1</v>
      </c>
      <c r="P303" s="601"/>
      <c r="Q303" s="13">
        <f t="shared" si="81"/>
        <v>0</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0</v>
      </c>
      <c r="N304" s="601"/>
      <c r="O304" s="13">
        <f t="shared" si="80"/>
        <v>1</v>
      </c>
      <c r="P304" s="601"/>
      <c r="Q304" s="13">
        <f t="shared" si="81"/>
        <v>0</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0</v>
      </c>
      <c r="N305" s="601"/>
      <c r="O305" s="13">
        <f t="shared" si="80"/>
        <v>1</v>
      </c>
      <c r="P305" s="601"/>
      <c r="Q305" s="13">
        <f t="shared" si="81"/>
        <v>0</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0</v>
      </c>
      <c r="N306" s="601"/>
      <c r="O306" s="13">
        <f t="shared" si="80"/>
        <v>1</v>
      </c>
      <c r="P306" s="601"/>
      <c r="Q306" s="13">
        <f t="shared" si="81"/>
        <v>0</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0</v>
      </c>
      <c r="N307" s="601"/>
      <c r="O307" s="13">
        <f t="shared" si="80"/>
        <v>1</v>
      </c>
      <c r="P307" s="601"/>
      <c r="Q307" s="13">
        <f t="shared" si="81"/>
        <v>0</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0</v>
      </c>
      <c r="N308" s="601"/>
      <c r="O308" s="13">
        <f t="shared" si="80"/>
        <v>1</v>
      </c>
      <c r="P308" s="601"/>
      <c r="Q308" s="13">
        <f t="shared" si="81"/>
        <v>0</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0</v>
      </c>
      <c r="N309" s="601"/>
      <c r="O309" s="13">
        <f t="shared" si="80"/>
        <v>1</v>
      </c>
      <c r="P309" s="601"/>
      <c r="Q309" s="13">
        <f t="shared" si="81"/>
        <v>0</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0</v>
      </c>
      <c r="N310" s="601"/>
      <c r="O310" s="13">
        <f t="shared" si="80"/>
        <v>1</v>
      </c>
      <c r="P310" s="601"/>
      <c r="Q310" s="13">
        <f t="shared" si="81"/>
        <v>0</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0</v>
      </c>
      <c r="N311" s="601"/>
      <c r="O311" s="13">
        <f t="shared" si="80"/>
        <v>1</v>
      </c>
      <c r="P311" s="601"/>
      <c r="Q311" s="13">
        <f t="shared" si="81"/>
        <v>0</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0</v>
      </c>
      <c r="N312" s="601"/>
      <c r="O312" s="13">
        <f t="shared" si="80"/>
        <v>1</v>
      </c>
      <c r="P312" s="601"/>
      <c r="Q312" s="13">
        <f t="shared" si="81"/>
        <v>0</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0</v>
      </c>
      <c r="N313" s="601"/>
      <c r="O313" s="13">
        <f t="shared" si="80"/>
        <v>1</v>
      </c>
      <c r="P313" s="601"/>
      <c r="Q313" s="13">
        <f t="shared" si="81"/>
        <v>0</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0</v>
      </c>
      <c r="N314" s="601"/>
      <c r="O314" s="13">
        <f t="shared" si="80"/>
        <v>1</v>
      </c>
      <c r="P314" s="601"/>
      <c r="Q314" s="13">
        <f t="shared" si="81"/>
        <v>0</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0</v>
      </c>
      <c r="N315" s="601"/>
      <c r="O315" s="13">
        <f t="shared" si="80"/>
        <v>1</v>
      </c>
      <c r="P315" s="601"/>
      <c r="Q315" s="13">
        <f t="shared" si="81"/>
        <v>0</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0</v>
      </c>
      <c r="N316" s="601"/>
      <c r="O316" s="13">
        <f t="shared" si="80"/>
        <v>1</v>
      </c>
      <c r="P316" s="601"/>
      <c r="Q316" s="13">
        <f t="shared" si="81"/>
        <v>0</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0</v>
      </c>
      <c r="N317" s="601"/>
      <c r="O317" s="13">
        <f t="shared" si="80"/>
        <v>1</v>
      </c>
      <c r="P317" s="601"/>
      <c r="Q317" s="13">
        <f t="shared" si="81"/>
        <v>0</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0</v>
      </c>
      <c r="N318" s="601"/>
      <c r="O318" s="13">
        <f t="shared" si="80"/>
        <v>1</v>
      </c>
      <c r="P318" s="601"/>
      <c r="Q318" s="13">
        <f t="shared" si="81"/>
        <v>0</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0</v>
      </c>
      <c r="N319" s="601"/>
      <c r="O319" s="13">
        <f t="shared" si="80"/>
        <v>1</v>
      </c>
      <c r="P319" s="601"/>
      <c r="Q319" s="13">
        <f t="shared" si="81"/>
        <v>0</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0</v>
      </c>
      <c r="N320" s="601"/>
      <c r="O320" s="13">
        <f t="shared" si="80"/>
        <v>1</v>
      </c>
      <c r="P320" s="601"/>
      <c r="Q320" s="13">
        <f t="shared" si="81"/>
        <v>0</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0</v>
      </c>
      <c r="N321" s="601"/>
      <c r="O321" s="13">
        <f t="shared" si="80"/>
        <v>1</v>
      </c>
      <c r="P321" s="601"/>
      <c r="Q321" s="13">
        <f t="shared" si="81"/>
        <v>0</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0</v>
      </c>
      <c r="N322" s="601"/>
      <c r="O322" s="13">
        <f t="shared" si="80"/>
        <v>1</v>
      </c>
      <c r="P322" s="601"/>
      <c r="Q322" s="13">
        <f t="shared" si="81"/>
        <v>0</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0</v>
      </c>
      <c r="N323" s="601"/>
      <c r="O323" s="13">
        <f t="shared" si="80"/>
        <v>1</v>
      </c>
      <c r="P323" s="601"/>
      <c r="Q323" s="13">
        <f t="shared" si="81"/>
        <v>0</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0</v>
      </c>
      <c r="N324" s="601"/>
      <c r="O324" s="13">
        <f t="shared" si="80"/>
        <v>1</v>
      </c>
      <c r="P324" s="601"/>
      <c r="Q324" s="13">
        <f t="shared" si="81"/>
        <v>0</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0</v>
      </c>
      <c r="N325" s="601"/>
      <c r="O325" s="13">
        <f t="shared" si="80"/>
        <v>1</v>
      </c>
      <c r="P325" s="601"/>
      <c r="Q325" s="13">
        <f t="shared" si="81"/>
        <v>0</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0</v>
      </c>
      <c r="N326" s="601"/>
      <c r="O326" s="13">
        <f t="shared" si="80"/>
        <v>1</v>
      </c>
      <c r="P326" s="601"/>
      <c r="Q326" s="13">
        <f t="shared" si="81"/>
        <v>0</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0</v>
      </c>
      <c r="N327" s="601"/>
      <c r="O327" s="13">
        <f t="shared" si="80"/>
        <v>1</v>
      </c>
      <c r="P327" s="601"/>
      <c r="Q327" s="13">
        <f t="shared" si="81"/>
        <v>0</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0</v>
      </c>
      <c r="N328" s="601"/>
      <c r="O328" s="13">
        <f t="shared" si="80"/>
        <v>1</v>
      </c>
      <c r="P328" s="601"/>
      <c r="Q328" s="13">
        <f t="shared" si="81"/>
        <v>0</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0</v>
      </c>
      <c r="N329" s="601"/>
      <c r="O329" s="13">
        <f t="shared" si="80"/>
        <v>1</v>
      </c>
      <c r="P329" s="601"/>
      <c r="Q329" s="13">
        <f t="shared" si="81"/>
        <v>0</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0</v>
      </c>
      <c r="N330" s="601"/>
      <c r="O330" s="13">
        <f t="shared" si="80"/>
        <v>1</v>
      </c>
      <c r="P330" s="601"/>
      <c r="Q330" s="13">
        <f t="shared" si="81"/>
        <v>0</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0</v>
      </c>
      <c r="N331" s="601"/>
      <c r="O331" s="13">
        <f t="shared" si="80"/>
        <v>1</v>
      </c>
      <c r="P331" s="601"/>
      <c r="Q331" s="13">
        <f t="shared" si="81"/>
        <v>0</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0</v>
      </c>
      <c r="N332" s="601"/>
      <c r="O332" s="13">
        <f t="shared" si="80"/>
        <v>1</v>
      </c>
      <c r="P332" s="601"/>
      <c r="Q332" s="13">
        <f t="shared" si="81"/>
        <v>0</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0</v>
      </c>
      <c r="N333" s="601"/>
      <c r="O333" s="13">
        <f t="shared" si="80"/>
        <v>1</v>
      </c>
      <c r="P333" s="601"/>
      <c r="Q333" s="13">
        <f t="shared" si="81"/>
        <v>0</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0</v>
      </c>
      <c r="N334" s="601"/>
      <c r="O334" s="13">
        <f t="shared" si="80"/>
        <v>1</v>
      </c>
      <c r="P334" s="601"/>
      <c r="Q334" s="13">
        <f t="shared" si="81"/>
        <v>0</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0</v>
      </c>
      <c r="N335" s="601"/>
      <c r="O335" s="13">
        <f t="shared" si="80"/>
        <v>1</v>
      </c>
      <c r="P335" s="601"/>
      <c r="Q335" s="13">
        <f t="shared" si="81"/>
        <v>0</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0</v>
      </c>
      <c r="N336" s="601"/>
      <c r="O336" s="13">
        <f t="shared" si="80"/>
        <v>1</v>
      </c>
      <c r="P336" s="601"/>
      <c r="Q336" s="13">
        <f t="shared" si="81"/>
        <v>0</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0</v>
      </c>
      <c r="N337" s="601"/>
      <c r="O337" s="13">
        <f t="shared" si="80"/>
        <v>1</v>
      </c>
      <c r="P337" s="601"/>
      <c r="Q337" s="13">
        <f t="shared" si="81"/>
        <v>0</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0</v>
      </c>
      <c r="N338" s="601"/>
      <c r="O338" s="13">
        <f t="shared" si="80"/>
        <v>1</v>
      </c>
      <c r="P338" s="601"/>
      <c r="Q338" s="13">
        <f t="shared" si="81"/>
        <v>0</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0</v>
      </c>
      <c r="N339" s="601"/>
      <c r="O339" s="13">
        <f t="shared" si="80"/>
        <v>1</v>
      </c>
      <c r="P339" s="601"/>
      <c r="Q339" s="13">
        <f t="shared" si="81"/>
        <v>0</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0</v>
      </c>
      <c r="N340" s="601"/>
      <c r="O340" s="13">
        <f t="shared" si="80"/>
        <v>1</v>
      </c>
      <c r="P340" s="601"/>
      <c r="Q340" s="13">
        <f t="shared" si="81"/>
        <v>0</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0</v>
      </c>
      <c r="N341" s="601"/>
      <c r="O341" s="13">
        <f t="shared" si="80"/>
        <v>1</v>
      </c>
      <c r="P341" s="601"/>
      <c r="Q341" s="13">
        <f t="shared" si="81"/>
        <v>0</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0</v>
      </c>
      <c r="N342" s="601"/>
      <c r="O342" s="13">
        <f t="shared" si="80"/>
        <v>1</v>
      </c>
      <c r="P342" s="601"/>
      <c r="Q342" s="13">
        <f t="shared" si="81"/>
        <v>0</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0</v>
      </c>
      <c r="N343" s="601"/>
      <c r="O343" s="13">
        <f t="shared" si="80"/>
        <v>1</v>
      </c>
      <c r="P343" s="601"/>
      <c r="Q343" s="13">
        <f t="shared" si="81"/>
        <v>0</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0</v>
      </c>
      <c r="N344" s="601"/>
      <c r="O344" s="13">
        <f t="shared" si="80"/>
        <v>1</v>
      </c>
      <c r="P344" s="601"/>
      <c r="Q344" s="13">
        <f t="shared" si="81"/>
        <v>0</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0</v>
      </c>
      <c r="N345" s="601"/>
      <c r="O345" s="13">
        <f t="shared" si="80"/>
        <v>1</v>
      </c>
      <c r="P345" s="601"/>
      <c r="Q345" s="13">
        <f t="shared" si="81"/>
        <v>0</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0</v>
      </c>
      <c r="N346" s="601"/>
      <c r="O346" s="13">
        <f t="shared" si="80"/>
        <v>1</v>
      </c>
      <c r="P346" s="601"/>
      <c r="Q346" s="13">
        <f t="shared" si="81"/>
        <v>0</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0</v>
      </c>
      <c r="N347" s="601"/>
      <c r="O347" s="13">
        <f t="shared" si="80"/>
        <v>1</v>
      </c>
      <c r="P347" s="601"/>
      <c r="Q347" s="13">
        <f t="shared" si="81"/>
        <v>0</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0</v>
      </c>
      <c r="N348" s="601"/>
      <c r="O348" s="13">
        <f t="shared" ref="O348:O411" si="95">(SUMIF($18:$18,N348,$19:$19)-SUMIF($18:$18,$N$27,$19:$19)+100)/100</f>
        <v>1</v>
      </c>
      <c r="P348" s="601"/>
      <c r="Q348" s="13">
        <f t="shared" ref="Q348:Q411" si="96">(SUMIF($20:$20,P348,$21:$21)-SUMIF($20:$20,$P$27,$21:$21)+100)/100</f>
        <v>0</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0</v>
      </c>
      <c r="N349" s="601"/>
      <c r="O349" s="13">
        <f t="shared" si="95"/>
        <v>1</v>
      </c>
      <c r="P349" s="601"/>
      <c r="Q349" s="13">
        <f t="shared" si="96"/>
        <v>0</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0</v>
      </c>
      <c r="N350" s="601"/>
      <c r="O350" s="13">
        <f t="shared" si="95"/>
        <v>1</v>
      </c>
      <c r="P350" s="601"/>
      <c r="Q350" s="13">
        <f t="shared" si="96"/>
        <v>0</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0</v>
      </c>
      <c r="N351" s="601"/>
      <c r="O351" s="13">
        <f t="shared" si="95"/>
        <v>1</v>
      </c>
      <c r="P351" s="601"/>
      <c r="Q351" s="13">
        <f t="shared" si="96"/>
        <v>0</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0</v>
      </c>
      <c r="N352" s="601"/>
      <c r="O352" s="13">
        <f t="shared" si="95"/>
        <v>1</v>
      </c>
      <c r="P352" s="601"/>
      <c r="Q352" s="13">
        <f t="shared" si="96"/>
        <v>0</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0</v>
      </c>
      <c r="N353" s="601"/>
      <c r="O353" s="13">
        <f t="shared" si="95"/>
        <v>1</v>
      </c>
      <c r="P353" s="601"/>
      <c r="Q353" s="13">
        <f t="shared" si="96"/>
        <v>0</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0</v>
      </c>
      <c r="N354" s="601"/>
      <c r="O354" s="13">
        <f t="shared" si="95"/>
        <v>1</v>
      </c>
      <c r="P354" s="601"/>
      <c r="Q354" s="13">
        <f t="shared" si="96"/>
        <v>0</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0</v>
      </c>
      <c r="N355" s="601"/>
      <c r="O355" s="13">
        <f t="shared" si="95"/>
        <v>1</v>
      </c>
      <c r="P355" s="601"/>
      <c r="Q355" s="13">
        <f t="shared" si="96"/>
        <v>0</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0</v>
      </c>
      <c r="N356" s="601"/>
      <c r="O356" s="13">
        <f t="shared" si="95"/>
        <v>1</v>
      </c>
      <c r="P356" s="601"/>
      <c r="Q356" s="13">
        <f t="shared" si="96"/>
        <v>0</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0</v>
      </c>
      <c r="N357" s="601"/>
      <c r="O357" s="13">
        <f t="shared" si="95"/>
        <v>1</v>
      </c>
      <c r="P357" s="601"/>
      <c r="Q357" s="13">
        <f t="shared" si="96"/>
        <v>0</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0</v>
      </c>
      <c r="N358" s="601"/>
      <c r="O358" s="13">
        <f t="shared" si="95"/>
        <v>1</v>
      </c>
      <c r="P358" s="601"/>
      <c r="Q358" s="13">
        <f t="shared" si="96"/>
        <v>0</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0</v>
      </c>
      <c r="N359" s="601"/>
      <c r="O359" s="13">
        <f t="shared" si="95"/>
        <v>1</v>
      </c>
      <c r="P359" s="601"/>
      <c r="Q359" s="13">
        <f t="shared" si="96"/>
        <v>0</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0</v>
      </c>
      <c r="N360" s="601"/>
      <c r="O360" s="13">
        <f t="shared" si="95"/>
        <v>1</v>
      </c>
      <c r="P360" s="601"/>
      <c r="Q360" s="13">
        <f t="shared" si="96"/>
        <v>0</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0</v>
      </c>
      <c r="N361" s="601"/>
      <c r="O361" s="13">
        <f t="shared" si="95"/>
        <v>1</v>
      </c>
      <c r="P361" s="601"/>
      <c r="Q361" s="13">
        <f t="shared" si="96"/>
        <v>0</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0</v>
      </c>
      <c r="N362" s="601"/>
      <c r="O362" s="13">
        <f t="shared" si="95"/>
        <v>1</v>
      </c>
      <c r="P362" s="601"/>
      <c r="Q362" s="13">
        <f t="shared" si="96"/>
        <v>0</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0</v>
      </c>
      <c r="N363" s="601"/>
      <c r="O363" s="13">
        <f t="shared" si="95"/>
        <v>1</v>
      </c>
      <c r="P363" s="601"/>
      <c r="Q363" s="13">
        <f t="shared" si="96"/>
        <v>0</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0</v>
      </c>
      <c r="N364" s="601"/>
      <c r="O364" s="13">
        <f t="shared" si="95"/>
        <v>1</v>
      </c>
      <c r="P364" s="601"/>
      <c r="Q364" s="13">
        <f t="shared" si="96"/>
        <v>0</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0</v>
      </c>
      <c r="N365" s="601"/>
      <c r="O365" s="13">
        <f t="shared" si="95"/>
        <v>1</v>
      </c>
      <c r="P365" s="601"/>
      <c r="Q365" s="13">
        <f t="shared" si="96"/>
        <v>0</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0</v>
      </c>
      <c r="N366" s="601"/>
      <c r="O366" s="13">
        <f t="shared" si="95"/>
        <v>1</v>
      </c>
      <c r="P366" s="601"/>
      <c r="Q366" s="13">
        <f t="shared" si="96"/>
        <v>0</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0</v>
      </c>
      <c r="N367" s="601"/>
      <c r="O367" s="13">
        <f t="shared" si="95"/>
        <v>1</v>
      </c>
      <c r="P367" s="601"/>
      <c r="Q367" s="13">
        <f t="shared" si="96"/>
        <v>0</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0</v>
      </c>
      <c r="N368" s="601"/>
      <c r="O368" s="13">
        <f t="shared" si="95"/>
        <v>1</v>
      </c>
      <c r="P368" s="601"/>
      <c r="Q368" s="13">
        <f t="shared" si="96"/>
        <v>0</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0</v>
      </c>
      <c r="N369" s="601"/>
      <c r="O369" s="13">
        <f t="shared" si="95"/>
        <v>1</v>
      </c>
      <c r="P369" s="601"/>
      <c r="Q369" s="13">
        <f t="shared" si="96"/>
        <v>0</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0</v>
      </c>
      <c r="N370" s="601"/>
      <c r="O370" s="13">
        <f t="shared" si="95"/>
        <v>1</v>
      </c>
      <c r="P370" s="601"/>
      <c r="Q370" s="13">
        <f t="shared" si="96"/>
        <v>0</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0</v>
      </c>
      <c r="N371" s="601"/>
      <c r="O371" s="13">
        <f t="shared" si="95"/>
        <v>1</v>
      </c>
      <c r="P371" s="601"/>
      <c r="Q371" s="13">
        <f t="shared" si="96"/>
        <v>0</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0</v>
      </c>
      <c r="N372" s="601"/>
      <c r="O372" s="13">
        <f t="shared" si="95"/>
        <v>1</v>
      </c>
      <c r="P372" s="601"/>
      <c r="Q372" s="13">
        <f t="shared" si="96"/>
        <v>0</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0</v>
      </c>
      <c r="N373" s="601"/>
      <c r="O373" s="13">
        <f t="shared" si="95"/>
        <v>1</v>
      </c>
      <c r="P373" s="601"/>
      <c r="Q373" s="13">
        <f t="shared" si="96"/>
        <v>0</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0</v>
      </c>
      <c r="N374" s="601"/>
      <c r="O374" s="13">
        <f t="shared" si="95"/>
        <v>1</v>
      </c>
      <c r="P374" s="601"/>
      <c r="Q374" s="13">
        <f t="shared" si="96"/>
        <v>0</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0</v>
      </c>
      <c r="N375" s="601"/>
      <c r="O375" s="13">
        <f t="shared" si="95"/>
        <v>1</v>
      </c>
      <c r="P375" s="601"/>
      <c r="Q375" s="13">
        <f t="shared" si="96"/>
        <v>0</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0</v>
      </c>
      <c r="N376" s="601"/>
      <c r="O376" s="13">
        <f t="shared" si="95"/>
        <v>1</v>
      </c>
      <c r="P376" s="601"/>
      <c r="Q376" s="13">
        <f t="shared" si="96"/>
        <v>0</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0</v>
      </c>
      <c r="N377" s="601"/>
      <c r="O377" s="13">
        <f t="shared" si="95"/>
        <v>1</v>
      </c>
      <c r="P377" s="601"/>
      <c r="Q377" s="13">
        <f t="shared" si="96"/>
        <v>0</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0</v>
      </c>
      <c r="N378" s="601"/>
      <c r="O378" s="13">
        <f t="shared" si="95"/>
        <v>1</v>
      </c>
      <c r="P378" s="601"/>
      <c r="Q378" s="13">
        <f t="shared" si="96"/>
        <v>0</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0</v>
      </c>
      <c r="N379" s="601"/>
      <c r="O379" s="13">
        <f t="shared" si="95"/>
        <v>1</v>
      </c>
      <c r="P379" s="601"/>
      <c r="Q379" s="13">
        <f t="shared" si="96"/>
        <v>0</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0</v>
      </c>
      <c r="N380" s="601"/>
      <c r="O380" s="13">
        <f t="shared" si="95"/>
        <v>1</v>
      </c>
      <c r="P380" s="601"/>
      <c r="Q380" s="13">
        <f t="shared" si="96"/>
        <v>0</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0</v>
      </c>
      <c r="N381" s="601"/>
      <c r="O381" s="13">
        <f t="shared" si="95"/>
        <v>1</v>
      </c>
      <c r="P381" s="601"/>
      <c r="Q381" s="13">
        <f t="shared" si="96"/>
        <v>0</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0</v>
      </c>
      <c r="N382" s="601"/>
      <c r="O382" s="13">
        <f t="shared" si="95"/>
        <v>1</v>
      </c>
      <c r="P382" s="601"/>
      <c r="Q382" s="13">
        <f t="shared" si="96"/>
        <v>0</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0</v>
      </c>
      <c r="N383" s="601"/>
      <c r="O383" s="13">
        <f t="shared" si="95"/>
        <v>1</v>
      </c>
      <c r="P383" s="601"/>
      <c r="Q383" s="13">
        <f t="shared" si="96"/>
        <v>0</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0</v>
      </c>
      <c r="N384" s="601"/>
      <c r="O384" s="13">
        <f t="shared" si="95"/>
        <v>1</v>
      </c>
      <c r="P384" s="601"/>
      <c r="Q384" s="13">
        <f t="shared" si="96"/>
        <v>0</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0</v>
      </c>
      <c r="N385" s="601"/>
      <c r="O385" s="13">
        <f t="shared" si="95"/>
        <v>1</v>
      </c>
      <c r="P385" s="601"/>
      <c r="Q385" s="13">
        <f t="shared" si="96"/>
        <v>0</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0</v>
      </c>
      <c r="N386" s="601"/>
      <c r="O386" s="13">
        <f t="shared" si="95"/>
        <v>1</v>
      </c>
      <c r="P386" s="601"/>
      <c r="Q386" s="13">
        <f t="shared" si="96"/>
        <v>0</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0</v>
      </c>
      <c r="N387" s="601"/>
      <c r="O387" s="13">
        <f t="shared" si="95"/>
        <v>1</v>
      </c>
      <c r="P387" s="601"/>
      <c r="Q387" s="13">
        <f t="shared" si="96"/>
        <v>0</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0</v>
      </c>
      <c r="N388" s="601"/>
      <c r="O388" s="13">
        <f t="shared" si="95"/>
        <v>1</v>
      </c>
      <c r="P388" s="601"/>
      <c r="Q388" s="13">
        <f t="shared" si="96"/>
        <v>0</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0</v>
      </c>
      <c r="N389" s="601"/>
      <c r="O389" s="13">
        <f t="shared" si="95"/>
        <v>1</v>
      </c>
      <c r="P389" s="601"/>
      <c r="Q389" s="13">
        <f t="shared" si="96"/>
        <v>0</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0</v>
      </c>
      <c r="N390" s="601"/>
      <c r="O390" s="13">
        <f t="shared" si="95"/>
        <v>1</v>
      </c>
      <c r="P390" s="601"/>
      <c r="Q390" s="13">
        <f t="shared" si="96"/>
        <v>0</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0</v>
      </c>
      <c r="N391" s="601"/>
      <c r="O391" s="13">
        <f t="shared" si="95"/>
        <v>1</v>
      </c>
      <c r="P391" s="601"/>
      <c r="Q391" s="13">
        <f t="shared" si="96"/>
        <v>0</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0</v>
      </c>
      <c r="N392" s="601"/>
      <c r="O392" s="13">
        <f t="shared" si="95"/>
        <v>1</v>
      </c>
      <c r="P392" s="601"/>
      <c r="Q392" s="13">
        <f t="shared" si="96"/>
        <v>0</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0</v>
      </c>
      <c r="N393" s="601"/>
      <c r="O393" s="13">
        <f t="shared" si="95"/>
        <v>1</v>
      </c>
      <c r="P393" s="601"/>
      <c r="Q393" s="13">
        <f t="shared" si="96"/>
        <v>0</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0</v>
      </c>
      <c r="N394" s="601"/>
      <c r="O394" s="13">
        <f t="shared" si="95"/>
        <v>1</v>
      </c>
      <c r="P394" s="601"/>
      <c r="Q394" s="13">
        <f t="shared" si="96"/>
        <v>0</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0</v>
      </c>
      <c r="N395" s="601"/>
      <c r="O395" s="13">
        <f t="shared" si="95"/>
        <v>1</v>
      </c>
      <c r="P395" s="601"/>
      <c r="Q395" s="13">
        <f t="shared" si="96"/>
        <v>0</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0</v>
      </c>
      <c r="N396" s="601"/>
      <c r="O396" s="13">
        <f t="shared" si="95"/>
        <v>1</v>
      </c>
      <c r="P396" s="601"/>
      <c r="Q396" s="13">
        <f t="shared" si="96"/>
        <v>0</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0</v>
      </c>
      <c r="N397" s="601"/>
      <c r="O397" s="13">
        <f t="shared" si="95"/>
        <v>1</v>
      </c>
      <c r="P397" s="601"/>
      <c r="Q397" s="13">
        <f t="shared" si="96"/>
        <v>0</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0</v>
      </c>
      <c r="N398" s="601"/>
      <c r="O398" s="13">
        <f t="shared" si="95"/>
        <v>1</v>
      </c>
      <c r="P398" s="601"/>
      <c r="Q398" s="13">
        <f t="shared" si="96"/>
        <v>0</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0</v>
      </c>
      <c r="N399" s="601"/>
      <c r="O399" s="13">
        <f t="shared" si="95"/>
        <v>1</v>
      </c>
      <c r="P399" s="601"/>
      <c r="Q399" s="13">
        <f t="shared" si="96"/>
        <v>0</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0</v>
      </c>
      <c r="N400" s="601"/>
      <c r="O400" s="13">
        <f t="shared" si="95"/>
        <v>1</v>
      </c>
      <c r="P400" s="601"/>
      <c r="Q400" s="13">
        <f t="shared" si="96"/>
        <v>0</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0</v>
      </c>
      <c r="N401" s="601"/>
      <c r="O401" s="13">
        <f t="shared" si="95"/>
        <v>1</v>
      </c>
      <c r="P401" s="601"/>
      <c r="Q401" s="13">
        <f t="shared" si="96"/>
        <v>0</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0</v>
      </c>
      <c r="N402" s="601"/>
      <c r="O402" s="13">
        <f t="shared" si="95"/>
        <v>1</v>
      </c>
      <c r="P402" s="601"/>
      <c r="Q402" s="13">
        <f t="shared" si="96"/>
        <v>0</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0</v>
      </c>
      <c r="N403" s="601"/>
      <c r="O403" s="13">
        <f t="shared" si="95"/>
        <v>1</v>
      </c>
      <c r="P403" s="601"/>
      <c r="Q403" s="13">
        <f t="shared" si="96"/>
        <v>0</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0</v>
      </c>
      <c r="N404" s="601"/>
      <c r="O404" s="13">
        <f t="shared" si="95"/>
        <v>1</v>
      </c>
      <c r="P404" s="601"/>
      <c r="Q404" s="13">
        <f t="shared" si="96"/>
        <v>0</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0</v>
      </c>
      <c r="N405" s="601"/>
      <c r="O405" s="13">
        <f t="shared" si="95"/>
        <v>1</v>
      </c>
      <c r="P405" s="601"/>
      <c r="Q405" s="13">
        <f t="shared" si="96"/>
        <v>0</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0</v>
      </c>
      <c r="N406" s="601"/>
      <c r="O406" s="13">
        <f t="shared" si="95"/>
        <v>1</v>
      </c>
      <c r="P406" s="601"/>
      <c r="Q406" s="13">
        <f t="shared" si="96"/>
        <v>0</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0</v>
      </c>
      <c r="N407" s="601"/>
      <c r="O407" s="13">
        <f t="shared" si="95"/>
        <v>1</v>
      </c>
      <c r="P407" s="601"/>
      <c r="Q407" s="13">
        <f t="shared" si="96"/>
        <v>0</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0</v>
      </c>
      <c r="N408" s="601"/>
      <c r="O408" s="13">
        <f t="shared" si="95"/>
        <v>1</v>
      </c>
      <c r="P408" s="601"/>
      <c r="Q408" s="13">
        <f t="shared" si="96"/>
        <v>0</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0</v>
      </c>
      <c r="N409" s="601"/>
      <c r="O409" s="13">
        <f t="shared" si="95"/>
        <v>1</v>
      </c>
      <c r="P409" s="601"/>
      <c r="Q409" s="13">
        <f t="shared" si="96"/>
        <v>0</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0</v>
      </c>
      <c r="N410" s="601"/>
      <c r="O410" s="13">
        <f t="shared" si="95"/>
        <v>1</v>
      </c>
      <c r="P410" s="601"/>
      <c r="Q410" s="13">
        <f t="shared" si="96"/>
        <v>0</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0</v>
      </c>
      <c r="N411" s="601"/>
      <c r="O411" s="13">
        <f t="shared" si="95"/>
        <v>1</v>
      </c>
      <c r="P411" s="601"/>
      <c r="Q411" s="13">
        <f t="shared" si="96"/>
        <v>0</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0</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0</v>
      </c>
      <c r="N413" s="601"/>
      <c r="O413" s="13">
        <f t="shared" si="110"/>
        <v>1</v>
      </c>
      <c r="P413" s="601"/>
      <c r="Q413" s="13">
        <f t="shared" si="111"/>
        <v>0</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0</v>
      </c>
      <c r="N414" s="601"/>
      <c r="O414" s="13">
        <f t="shared" si="110"/>
        <v>1</v>
      </c>
      <c r="P414" s="601"/>
      <c r="Q414" s="13">
        <f t="shared" si="111"/>
        <v>0</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0</v>
      </c>
      <c r="N415" s="601"/>
      <c r="O415" s="13">
        <f t="shared" si="110"/>
        <v>1</v>
      </c>
      <c r="P415" s="601"/>
      <c r="Q415" s="13">
        <f t="shared" si="111"/>
        <v>0</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0</v>
      </c>
      <c r="N416" s="601"/>
      <c r="O416" s="13">
        <f t="shared" si="110"/>
        <v>1</v>
      </c>
      <c r="P416" s="601"/>
      <c r="Q416" s="13">
        <f t="shared" si="111"/>
        <v>0</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0</v>
      </c>
      <c r="N417" s="601"/>
      <c r="O417" s="13">
        <f t="shared" si="110"/>
        <v>1</v>
      </c>
      <c r="P417" s="601"/>
      <c r="Q417" s="13">
        <f t="shared" si="111"/>
        <v>0</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0</v>
      </c>
      <c r="N418" s="601"/>
      <c r="O418" s="13">
        <f t="shared" si="110"/>
        <v>1</v>
      </c>
      <c r="P418" s="601"/>
      <c r="Q418" s="13">
        <f t="shared" si="111"/>
        <v>0</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0</v>
      </c>
      <c r="N419" s="601"/>
      <c r="O419" s="13">
        <f t="shared" si="110"/>
        <v>1</v>
      </c>
      <c r="P419" s="601"/>
      <c r="Q419" s="13">
        <f t="shared" si="111"/>
        <v>0</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0</v>
      </c>
      <c r="N420" s="601"/>
      <c r="O420" s="13">
        <f t="shared" si="110"/>
        <v>1</v>
      </c>
      <c r="P420" s="601"/>
      <c r="Q420" s="13">
        <f t="shared" si="111"/>
        <v>0</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0</v>
      </c>
      <c r="N421" s="601"/>
      <c r="O421" s="13">
        <f t="shared" si="110"/>
        <v>1</v>
      </c>
      <c r="P421" s="601"/>
      <c r="Q421" s="13">
        <f t="shared" si="111"/>
        <v>0</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0</v>
      </c>
      <c r="N422" s="601"/>
      <c r="O422" s="13">
        <f t="shared" si="110"/>
        <v>1</v>
      </c>
      <c r="P422" s="601"/>
      <c r="Q422" s="13">
        <f t="shared" si="111"/>
        <v>0</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0</v>
      </c>
      <c r="N423" s="601"/>
      <c r="O423" s="13">
        <f t="shared" si="110"/>
        <v>1</v>
      </c>
      <c r="P423" s="601"/>
      <c r="Q423" s="13">
        <f t="shared" si="111"/>
        <v>0</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0</v>
      </c>
      <c r="N424" s="601"/>
      <c r="O424" s="13">
        <f t="shared" si="110"/>
        <v>1</v>
      </c>
      <c r="P424" s="601"/>
      <c r="Q424" s="13">
        <f t="shared" si="111"/>
        <v>0</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0</v>
      </c>
      <c r="N425" s="601"/>
      <c r="O425" s="13">
        <f t="shared" si="110"/>
        <v>1</v>
      </c>
      <c r="P425" s="601"/>
      <c r="Q425" s="13">
        <f t="shared" si="111"/>
        <v>0</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0</v>
      </c>
      <c r="N426" s="601"/>
      <c r="O426" s="13">
        <f t="shared" si="110"/>
        <v>1</v>
      </c>
      <c r="P426" s="601"/>
      <c r="Q426" s="13">
        <f t="shared" si="111"/>
        <v>0</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0</v>
      </c>
      <c r="N427" s="601"/>
      <c r="O427" s="13">
        <f t="shared" si="110"/>
        <v>1</v>
      </c>
      <c r="P427" s="601"/>
      <c r="Q427" s="13">
        <f t="shared" si="111"/>
        <v>0</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0</v>
      </c>
      <c r="N428" s="601"/>
      <c r="O428" s="13">
        <f t="shared" si="110"/>
        <v>1</v>
      </c>
      <c r="P428" s="601"/>
      <c r="Q428" s="13">
        <f t="shared" si="111"/>
        <v>0</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0</v>
      </c>
      <c r="N429" s="601"/>
      <c r="O429" s="13">
        <f t="shared" si="110"/>
        <v>1</v>
      </c>
      <c r="P429" s="601"/>
      <c r="Q429" s="13">
        <f t="shared" si="111"/>
        <v>0</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0</v>
      </c>
      <c r="N430" s="601"/>
      <c r="O430" s="13">
        <f t="shared" si="110"/>
        <v>1</v>
      </c>
      <c r="P430" s="601"/>
      <c r="Q430" s="13">
        <f t="shared" si="111"/>
        <v>0</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0</v>
      </c>
      <c r="N431" s="601"/>
      <c r="O431" s="13">
        <f t="shared" si="110"/>
        <v>1</v>
      </c>
      <c r="P431" s="601"/>
      <c r="Q431" s="13">
        <f t="shared" si="111"/>
        <v>0</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0</v>
      </c>
      <c r="N432" s="601"/>
      <c r="O432" s="13">
        <f t="shared" si="110"/>
        <v>1</v>
      </c>
      <c r="P432" s="601"/>
      <c r="Q432" s="13">
        <f t="shared" si="111"/>
        <v>0</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0</v>
      </c>
      <c r="N433" s="601"/>
      <c r="O433" s="13">
        <f t="shared" si="110"/>
        <v>1</v>
      </c>
      <c r="P433" s="601"/>
      <c r="Q433" s="13">
        <f t="shared" si="111"/>
        <v>0</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0</v>
      </c>
      <c r="N434" s="601"/>
      <c r="O434" s="13">
        <f t="shared" si="110"/>
        <v>1</v>
      </c>
      <c r="P434" s="601"/>
      <c r="Q434" s="13">
        <f t="shared" si="111"/>
        <v>0</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0</v>
      </c>
      <c r="N435" s="601"/>
      <c r="O435" s="13">
        <f t="shared" si="110"/>
        <v>1</v>
      </c>
      <c r="P435" s="601"/>
      <c r="Q435" s="13">
        <f t="shared" si="111"/>
        <v>0</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0</v>
      </c>
      <c r="N436" s="601"/>
      <c r="O436" s="13">
        <f t="shared" si="110"/>
        <v>1</v>
      </c>
      <c r="P436" s="601"/>
      <c r="Q436" s="13">
        <f t="shared" si="111"/>
        <v>0</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0</v>
      </c>
      <c r="N437" s="601"/>
      <c r="O437" s="13">
        <f t="shared" si="110"/>
        <v>1</v>
      </c>
      <c r="P437" s="601"/>
      <c r="Q437" s="13">
        <f t="shared" si="111"/>
        <v>0</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0</v>
      </c>
      <c r="N438" s="601"/>
      <c r="O438" s="13">
        <f t="shared" si="110"/>
        <v>1</v>
      </c>
      <c r="P438" s="601"/>
      <c r="Q438" s="13">
        <f t="shared" si="111"/>
        <v>0</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0</v>
      </c>
      <c r="N439" s="601"/>
      <c r="O439" s="13">
        <f t="shared" si="110"/>
        <v>1</v>
      </c>
      <c r="P439" s="601"/>
      <c r="Q439" s="13">
        <f t="shared" si="111"/>
        <v>0</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0</v>
      </c>
      <c r="N440" s="601"/>
      <c r="O440" s="13">
        <f t="shared" si="110"/>
        <v>1</v>
      </c>
      <c r="P440" s="601"/>
      <c r="Q440" s="13">
        <f t="shared" si="111"/>
        <v>0</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0</v>
      </c>
      <c r="N441" s="601"/>
      <c r="O441" s="13">
        <f t="shared" si="110"/>
        <v>1</v>
      </c>
      <c r="P441" s="601"/>
      <c r="Q441" s="13">
        <f t="shared" si="111"/>
        <v>0</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0</v>
      </c>
      <c r="N442" s="601"/>
      <c r="O442" s="13">
        <f t="shared" si="110"/>
        <v>1</v>
      </c>
      <c r="P442" s="601"/>
      <c r="Q442" s="13">
        <f t="shared" si="111"/>
        <v>0</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0</v>
      </c>
      <c r="N443" s="601"/>
      <c r="O443" s="13">
        <f t="shared" si="110"/>
        <v>1</v>
      </c>
      <c r="P443" s="601"/>
      <c r="Q443" s="13">
        <f t="shared" si="111"/>
        <v>0</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0</v>
      </c>
      <c r="N444" s="601"/>
      <c r="O444" s="13">
        <f t="shared" si="110"/>
        <v>1</v>
      </c>
      <c r="P444" s="601"/>
      <c r="Q444" s="13">
        <f t="shared" si="111"/>
        <v>0</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0</v>
      </c>
      <c r="N445" s="601"/>
      <c r="O445" s="13">
        <f t="shared" si="110"/>
        <v>1</v>
      </c>
      <c r="P445" s="601"/>
      <c r="Q445" s="13">
        <f t="shared" si="111"/>
        <v>0</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0</v>
      </c>
      <c r="N446" s="601"/>
      <c r="O446" s="13">
        <f t="shared" si="110"/>
        <v>1</v>
      </c>
      <c r="P446" s="601"/>
      <c r="Q446" s="13">
        <f t="shared" si="111"/>
        <v>0</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0</v>
      </c>
      <c r="N447" s="601"/>
      <c r="O447" s="13">
        <f t="shared" si="110"/>
        <v>1</v>
      </c>
      <c r="P447" s="601"/>
      <c r="Q447" s="13">
        <f t="shared" si="111"/>
        <v>0</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0</v>
      </c>
      <c r="N448" s="601"/>
      <c r="O448" s="13">
        <f t="shared" si="110"/>
        <v>1</v>
      </c>
      <c r="P448" s="601"/>
      <c r="Q448" s="13">
        <f t="shared" si="111"/>
        <v>0</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0</v>
      </c>
      <c r="N449" s="601"/>
      <c r="O449" s="13">
        <f t="shared" si="110"/>
        <v>1</v>
      </c>
      <c r="P449" s="601"/>
      <c r="Q449" s="13">
        <f t="shared" si="111"/>
        <v>0</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0</v>
      </c>
      <c r="N450" s="601"/>
      <c r="O450" s="13">
        <f t="shared" si="110"/>
        <v>1</v>
      </c>
      <c r="P450" s="601"/>
      <c r="Q450" s="13">
        <f t="shared" si="111"/>
        <v>0</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0</v>
      </c>
      <c r="N451" s="601"/>
      <c r="O451" s="13">
        <f t="shared" si="110"/>
        <v>1</v>
      </c>
      <c r="P451" s="601"/>
      <c r="Q451" s="13">
        <f t="shared" si="111"/>
        <v>0</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0</v>
      </c>
      <c r="N452" s="601"/>
      <c r="O452" s="13">
        <f t="shared" si="110"/>
        <v>1</v>
      </c>
      <c r="P452" s="601"/>
      <c r="Q452" s="13">
        <f t="shared" si="111"/>
        <v>0</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0</v>
      </c>
      <c r="N453" s="601"/>
      <c r="O453" s="13">
        <f t="shared" si="110"/>
        <v>1</v>
      </c>
      <c r="P453" s="601"/>
      <c r="Q453" s="13">
        <f t="shared" si="111"/>
        <v>0</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0</v>
      </c>
      <c r="N454" s="601"/>
      <c r="O454" s="13">
        <f t="shared" si="110"/>
        <v>1</v>
      </c>
      <c r="P454" s="601"/>
      <c r="Q454" s="13">
        <f t="shared" si="111"/>
        <v>0</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0</v>
      </c>
      <c r="N455" s="601"/>
      <c r="O455" s="13">
        <f t="shared" si="110"/>
        <v>1</v>
      </c>
      <c r="P455" s="601"/>
      <c r="Q455" s="13">
        <f t="shared" si="111"/>
        <v>0</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0</v>
      </c>
      <c r="N456" s="601"/>
      <c r="O456" s="13">
        <f t="shared" si="110"/>
        <v>1</v>
      </c>
      <c r="P456" s="601"/>
      <c r="Q456" s="13">
        <f t="shared" si="111"/>
        <v>0</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0</v>
      </c>
      <c r="N457" s="601"/>
      <c r="O457" s="13">
        <f t="shared" si="110"/>
        <v>1</v>
      </c>
      <c r="P457" s="601"/>
      <c r="Q457" s="13">
        <f t="shared" si="111"/>
        <v>0</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0</v>
      </c>
      <c r="N458" s="601"/>
      <c r="O458" s="13">
        <f t="shared" si="110"/>
        <v>1</v>
      </c>
      <c r="P458" s="601"/>
      <c r="Q458" s="13">
        <f t="shared" si="111"/>
        <v>0</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0</v>
      </c>
      <c r="N459" s="601"/>
      <c r="O459" s="13">
        <f t="shared" si="110"/>
        <v>1</v>
      </c>
      <c r="P459" s="601"/>
      <c r="Q459" s="13">
        <f t="shared" si="111"/>
        <v>0</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0</v>
      </c>
      <c r="N460" s="601"/>
      <c r="O460" s="13">
        <f t="shared" si="110"/>
        <v>1</v>
      </c>
      <c r="P460" s="601"/>
      <c r="Q460" s="13">
        <f t="shared" si="111"/>
        <v>0</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0</v>
      </c>
      <c r="N461" s="601"/>
      <c r="O461" s="13">
        <f t="shared" si="110"/>
        <v>1</v>
      </c>
      <c r="P461" s="601"/>
      <c r="Q461" s="13">
        <f t="shared" si="111"/>
        <v>0</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0</v>
      </c>
      <c r="N462" s="601"/>
      <c r="O462" s="13">
        <f t="shared" si="110"/>
        <v>1</v>
      </c>
      <c r="P462" s="601"/>
      <c r="Q462" s="13">
        <f t="shared" si="111"/>
        <v>0</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0</v>
      </c>
      <c r="N463" s="601"/>
      <c r="O463" s="13">
        <f t="shared" si="110"/>
        <v>1</v>
      </c>
      <c r="P463" s="601"/>
      <c r="Q463" s="13">
        <f t="shared" si="111"/>
        <v>0</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0</v>
      </c>
      <c r="N464" s="601"/>
      <c r="O464" s="13">
        <f t="shared" si="110"/>
        <v>1</v>
      </c>
      <c r="P464" s="601"/>
      <c r="Q464" s="13">
        <f t="shared" si="111"/>
        <v>0</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0</v>
      </c>
      <c r="N465" s="601"/>
      <c r="O465" s="13">
        <f t="shared" si="110"/>
        <v>1</v>
      </c>
      <c r="P465" s="601"/>
      <c r="Q465" s="13">
        <f t="shared" si="111"/>
        <v>0</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0</v>
      </c>
      <c r="N466" s="601"/>
      <c r="O466" s="13">
        <f t="shared" si="110"/>
        <v>1</v>
      </c>
      <c r="P466" s="601"/>
      <c r="Q466" s="13">
        <f t="shared" si="111"/>
        <v>0</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0</v>
      </c>
      <c r="N467" s="601"/>
      <c r="O467" s="13">
        <f t="shared" si="110"/>
        <v>1</v>
      </c>
      <c r="P467" s="601"/>
      <c r="Q467" s="13">
        <f t="shared" si="111"/>
        <v>0</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0</v>
      </c>
      <c r="N468" s="601"/>
      <c r="O468" s="13">
        <f t="shared" si="110"/>
        <v>1</v>
      </c>
      <c r="P468" s="601"/>
      <c r="Q468" s="13">
        <f t="shared" si="111"/>
        <v>0</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0</v>
      </c>
      <c r="N469" s="601"/>
      <c r="O469" s="13">
        <f t="shared" si="110"/>
        <v>1</v>
      </c>
      <c r="P469" s="601"/>
      <c r="Q469" s="13">
        <f t="shared" si="111"/>
        <v>0</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0</v>
      </c>
      <c r="N470" s="601"/>
      <c r="O470" s="13">
        <f t="shared" si="110"/>
        <v>1</v>
      </c>
      <c r="P470" s="601"/>
      <c r="Q470" s="13">
        <f t="shared" si="111"/>
        <v>0</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0</v>
      </c>
      <c r="N471" s="601"/>
      <c r="O471" s="13">
        <f t="shared" si="110"/>
        <v>1</v>
      </c>
      <c r="P471" s="601"/>
      <c r="Q471" s="13">
        <f t="shared" si="111"/>
        <v>0</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0</v>
      </c>
      <c r="N472" s="601"/>
      <c r="O472" s="13">
        <f t="shared" si="110"/>
        <v>1</v>
      </c>
      <c r="P472" s="601"/>
      <c r="Q472" s="13">
        <f t="shared" si="111"/>
        <v>0</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0</v>
      </c>
      <c r="N473" s="601"/>
      <c r="O473" s="13">
        <f t="shared" si="110"/>
        <v>1</v>
      </c>
      <c r="P473" s="601"/>
      <c r="Q473" s="13">
        <f t="shared" si="111"/>
        <v>0</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0</v>
      </c>
      <c r="N474" s="601"/>
      <c r="O474" s="13">
        <f t="shared" si="110"/>
        <v>1</v>
      </c>
      <c r="P474" s="601"/>
      <c r="Q474" s="13">
        <f t="shared" si="111"/>
        <v>0</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0</v>
      </c>
      <c r="N475" s="601"/>
      <c r="O475" s="13">
        <f t="shared" si="110"/>
        <v>1</v>
      </c>
      <c r="P475" s="601"/>
      <c r="Q475" s="13">
        <f t="shared" si="111"/>
        <v>0</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0</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0</v>
      </c>
      <c r="N477" s="601"/>
      <c r="O477" s="13">
        <f t="shared" si="125"/>
        <v>1</v>
      </c>
      <c r="P477" s="601"/>
      <c r="Q477" s="13">
        <f t="shared" si="126"/>
        <v>0</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0</v>
      </c>
      <c r="N478" s="601"/>
      <c r="O478" s="13">
        <f t="shared" si="125"/>
        <v>1</v>
      </c>
      <c r="P478" s="601"/>
      <c r="Q478" s="13">
        <f t="shared" si="126"/>
        <v>0</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0</v>
      </c>
      <c r="N479" s="601"/>
      <c r="O479" s="13">
        <f t="shared" si="125"/>
        <v>1</v>
      </c>
      <c r="P479" s="601"/>
      <c r="Q479" s="13">
        <f t="shared" si="126"/>
        <v>0</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0</v>
      </c>
      <c r="N480" s="601"/>
      <c r="O480" s="13">
        <f t="shared" si="125"/>
        <v>1</v>
      </c>
      <c r="P480" s="601"/>
      <c r="Q480" s="13">
        <f t="shared" si="126"/>
        <v>0</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0</v>
      </c>
      <c r="N481" s="601"/>
      <c r="O481" s="13">
        <f t="shared" si="125"/>
        <v>1</v>
      </c>
      <c r="P481" s="601"/>
      <c r="Q481" s="13">
        <f t="shared" si="126"/>
        <v>0</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0</v>
      </c>
      <c r="N482" s="601"/>
      <c r="O482" s="13">
        <f t="shared" si="125"/>
        <v>1</v>
      </c>
      <c r="P482" s="601"/>
      <c r="Q482" s="13">
        <f t="shared" si="126"/>
        <v>0</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0</v>
      </c>
      <c r="N483" s="601"/>
      <c r="O483" s="13">
        <f t="shared" si="125"/>
        <v>1</v>
      </c>
      <c r="P483" s="601"/>
      <c r="Q483" s="13">
        <f t="shared" si="126"/>
        <v>0</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0</v>
      </c>
      <c r="N484" s="601"/>
      <c r="O484" s="13">
        <f t="shared" si="125"/>
        <v>1</v>
      </c>
      <c r="P484" s="601"/>
      <c r="Q484" s="13">
        <f t="shared" si="126"/>
        <v>0</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0</v>
      </c>
      <c r="N485" s="601"/>
      <c r="O485" s="13">
        <f t="shared" si="125"/>
        <v>1</v>
      </c>
      <c r="P485" s="601"/>
      <c r="Q485" s="13">
        <f t="shared" si="126"/>
        <v>0</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0</v>
      </c>
      <c r="N486" s="601"/>
      <c r="O486" s="13">
        <f t="shared" si="125"/>
        <v>1</v>
      </c>
      <c r="P486" s="601"/>
      <c r="Q486" s="13">
        <f t="shared" si="126"/>
        <v>0</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0</v>
      </c>
      <c r="N487" s="601"/>
      <c r="O487" s="13">
        <f t="shared" si="125"/>
        <v>1</v>
      </c>
      <c r="P487" s="601"/>
      <c r="Q487" s="13">
        <f t="shared" si="126"/>
        <v>0</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0</v>
      </c>
      <c r="N488" s="601"/>
      <c r="O488" s="13">
        <f t="shared" si="125"/>
        <v>1</v>
      </c>
      <c r="P488" s="601"/>
      <c r="Q488" s="13">
        <f t="shared" si="126"/>
        <v>0</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0</v>
      </c>
      <c r="N489" s="601"/>
      <c r="O489" s="13">
        <f t="shared" si="125"/>
        <v>1</v>
      </c>
      <c r="P489" s="601"/>
      <c r="Q489" s="13">
        <f t="shared" si="126"/>
        <v>0</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0</v>
      </c>
      <c r="N490" s="601"/>
      <c r="O490" s="13">
        <f t="shared" si="125"/>
        <v>1</v>
      </c>
      <c r="P490" s="601"/>
      <c r="Q490" s="13">
        <f t="shared" si="126"/>
        <v>0</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0</v>
      </c>
      <c r="N491" s="601"/>
      <c r="O491" s="13">
        <f t="shared" si="125"/>
        <v>1</v>
      </c>
      <c r="P491" s="601"/>
      <c r="Q491" s="13">
        <f t="shared" si="126"/>
        <v>0</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0</v>
      </c>
      <c r="N492" s="601"/>
      <c r="O492" s="13">
        <f t="shared" si="125"/>
        <v>1</v>
      </c>
      <c r="P492" s="601"/>
      <c r="Q492" s="13">
        <f t="shared" si="126"/>
        <v>0</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0</v>
      </c>
      <c r="N493" s="601"/>
      <c r="O493" s="13">
        <f t="shared" si="125"/>
        <v>1</v>
      </c>
      <c r="P493" s="601"/>
      <c r="Q493" s="13">
        <f t="shared" si="126"/>
        <v>0</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0</v>
      </c>
      <c r="N494" s="601"/>
      <c r="O494" s="13">
        <f t="shared" si="125"/>
        <v>1</v>
      </c>
      <c r="P494" s="601"/>
      <c r="Q494" s="13">
        <f t="shared" si="126"/>
        <v>0</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0</v>
      </c>
      <c r="N495" s="601"/>
      <c r="O495" s="13">
        <f t="shared" si="125"/>
        <v>1</v>
      </c>
      <c r="P495" s="601"/>
      <c r="Q495" s="13">
        <f t="shared" si="126"/>
        <v>0</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0</v>
      </c>
      <c r="N496" s="601"/>
      <c r="O496" s="13">
        <f t="shared" si="125"/>
        <v>1</v>
      </c>
      <c r="P496" s="601"/>
      <c r="Q496" s="13">
        <f t="shared" si="126"/>
        <v>0</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0</v>
      </c>
      <c r="N497" s="601"/>
      <c r="O497" s="13">
        <f t="shared" si="125"/>
        <v>1</v>
      </c>
      <c r="P497" s="601"/>
      <c r="Q497" s="13">
        <f t="shared" si="126"/>
        <v>0</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0</v>
      </c>
      <c r="N498" s="601"/>
      <c r="O498" s="13">
        <f t="shared" si="125"/>
        <v>1</v>
      </c>
      <c r="P498" s="601"/>
      <c r="Q498" s="13">
        <f t="shared" si="126"/>
        <v>0</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0</v>
      </c>
      <c r="N499" s="601"/>
      <c r="O499" s="13">
        <f t="shared" si="125"/>
        <v>1</v>
      </c>
      <c r="P499" s="601"/>
      <c r="Q499" s="13">
        <f t="shared" si="126"/>
        <v>0</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0</v>
      </c>
      <c r="N500" s="601"/>
      <c r="O500" s="13">
        <f t="shared" si="125"/>
        <v>1</v>
      </c>
      <c r="P500" s="601"/>
      <c r="Q500" s="13">
        <f t="shared" si="126"/>
        <v>0</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0</v>
      </c>
      <c r="N501" s="601"/>
      <c r="O501" s="13">
        <f t="shared" si="125"/>
        <v>1</v>
      </c>
      <c r="P501" s="601"/>
      <c r="Q501" s="13">
        <f t="shared" si="126"/>
        <v>0</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0</v>
      </c>
      <c r="N502" s="601"/>
      <c r="O502" s="13">
        <f t="shared" si="125"/>
        <v>1</v>
      </c>
      <c r="P502" s="601"/>
      <c r="Q502" s="13">
        <f t="shared" si="126"/>
        <v>0</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0</v>
      </c>
      <c r="N503" s="601"/>
      <c r="O503" s="13">
        <f t="shared" si="125"/>
        <v>1</v>
      </c>
      <c r="P503" s="601"/>
      <c r="Q503" s="13">
        <f t="shared" si="126"/>
        <v>0</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0</v>
      </c>
      <c r="N504" s="601"/>
      <c r="O504" s="13">
        <f t="shared" si="125"/>
        <v>1</v>
      </c>
      <c r="P504" s="601"/>
      <c r="Q504" s="13">
        <f t="shared" si="126"/>
        <v>0</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0</v>
      </c>
      <c r="N505" s="601"/>
      <c r="O505" s="13">
        <f t="shared" si="125"/>
        <v>1</v>
      </c>
      <c r="P505" s="601"/>
      <c r="Q505" s="13">
        <f t="shared" si="126"/>
        <v>0</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0</v>
      </c>
      <c r="N506" s="601"/>
      <c r="O506" s="13">
        <f t="shared" si="125"/>
        <v>1</v>
      </c>
      <c r="P506" s="601"/>
      <c r="Q506" s="13">
        <f t="shared" si="126"/>
        <v>0</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0</v>
      </c>
      <c r="N507" s="601"/>
      <c r="O507" s="13">
        <f t="shared" si="125"/>
        <v>1</v>
      </c>
      <c r="P507" s="601"/>
      <c r="Q507" s="13">
        <f t="shared" si="126"/>
        <v>0</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0</v>
      </c>
      <c r="N508" s="601"/>
      <c r="O508" s="13">
        <f t="shared" si="125"/>
        <v>1</v>
      </c>
      <c r="P508" s="601"/>
      <c r="Q508" s="13">
        <f t="shared" si="126"/>
        <v>0</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0</v>
      </c>
      <c r="N509" s="601"/>
      <c r="O509" s="13">
        <f t="shared" si="125"/>
        <v>1</v>
      </c>
      <c r="P509" s="601"/>
      <c r="Q509" s="13">
        <f t="shared" si="126"/>
        <v>0</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0</v>
      </c>
      <c r="N510" s="601"/>
      <c r="O510" s="13">
        <f t="shared" si="125"/>
        <v>1</v>
      </c>
      <c r="P510" s="601"/>
      <c r="Q510" s="13">
        <f t="shared" si="126"/>
        <v>0</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0</v>
      </c>
      <c r="N511" s="601"/>
      <c r="O511" s="13">
        <f t="shared" si="125"/>
        <v>1</v>
      </c>
      <c r="P511" s="601"/>
      <c r="Q511" s="13">
        <f t="shared" si="126"/>
        <v>0</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0</v>
      </c>
      <c r="N512" s="601"/>
      <c r="O512" s="13">
        <f t="shared" si="125"/>
        <v>1</v>
      </c>
      <c r="P512" s="601"/>
      <c r="Q512" s="13">
        <f t="shared" si="126"/>
        <v>0</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0</v>
      </c>
      <c r="N513" s="601"/>
      <c r="O513" s="13">
        <f t="shared" si="125"/>
        <v>1</v>
      </c>
      <c r="P513" s="601"/>
      <c r="Q513" s="13">
        <f t="shared" si="126"/>
        <v>0</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0</v>
      </c>
      <c r="N514" s="601"/>
      <c r="O514" s="13">
        <f t="shared" si="125"/>
        <v>1</v>
      </c>
      <c r="P514" s="601"/>
      <c r="Q514" s="13">
        <f t="shared" si="126"/>
        <v>0</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0</v>
      </c>
      <c r="N515" s="601"/>
      <c r="O515" s="13">
        <f t="shared" si="125"/>
        <v>1</v>
      </c>
      <c r="P515" s="601"/>
      <c r="Q515" s="13">
        <f t="shared" si="126"/>
        <v>0</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0</v>
      </c>
      <c r="N516" s="601"/>
      <c r="O516" s="13">
        <f t="shared" si="125"/>
        <v>1</v>
      </c>
      <c r="P516" s="601"/>
      <c r="Q516" s="13">
        <f t="shared" si="126"/>
        <v>0</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0</v>
      </c>
      <c r="N517" s="601"/>
      <c r="O517" s="13">
        <f t="shared" si="125"/>
        <v>1</v>
      </c>
      <c r="P517" s="601"/>
      <c r="Q517" s="13">
        <f t="shared" si="126"/>
        <v>0</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0</v>
      </c>
      <c r="N518" s="601"/>
      <c r="O518" s="13">
        <f t="shared" si="125"/>
        <v>1</v>
      </c>
      <c r="P518" s="601"/>
      <c r="Q518" s="13">
        <f t="shared" si="126"/>
        <v>0</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0</v>
      </c>
      <c r="N519" s="601"/>
      <c r="O519" s="13">
        <f t="shared" si="125"/>
        <v>1</v>
      </c>
      <c r="P519" s="601"/>
      <c r="Q519" s="13">
        <f t="shared" si="126"/>
        <v>0</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0</v>
      </c>
      <c r="N520" s="601"/>
      <c r="O520" s="13">
        <f t="shared" si="125"/>
        <v>1</v>
      </c>
      <c r="P520" s="601"/>
      <c r="Q520" s="13">
        <f t="shared" si="126"/>
        <v>0</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0</v>
      </c>
      <c r="N521" s="601"/>
      <c r="O521" s="13">
        <f t="shared" si="125"/>
        <v>1</v>
      </c>
      <c r="P521" s="601"/>
      <c r="Q521" s="13">
        <f t="shared" si="126"/>
        <v>0</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0</v>
      </c>
      <c r="N522" s="601"/>
      <c r="O522" s="13">
        <f t="shared" si="125"/>
        <v>1</v>
      </c>
      <c r="P522" s="601"/>
      <c r="Q522" s="13">
        <f t="shared" si="126"/>
        <v>0</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0</v>
      </c>
      <c r="N523" s="601"/>
      <c r="O523" s="13">
        <f t="shared" si="125"/>
        <v>1</v>
      </c>
      <c r="P523" s="601"/>
      <c r="Q523" s="13">
        <f t="shared" si="126"/>
        <v>0</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0</v>
      </c>
      <c r="N524" s="601"/>
      <c r="O524" s="13">
        <f t="shared" si="125"/>
        <v>1</v>
      </c>
      <c r="P524" s="601"/>
      <c r="Q524" s="13">
        <f t="shared" si="126"/>
        <v>0</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0</v>
      </c>
      <c r="N525" s="601"/>
      <c r="O525" s="13">
        <f t="shared" si="125"/>
        <v>1</v>
      </c>
      <c r="P525" s="601"/>
      <c r="Q525" s="13">
        <f t="shared" si="126"/>
        <v>0</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0</v>
      </c>
      <c r="N526" s="601"/>
      <c r="O526" s="13">
        <f t="shared" si="125"/>
        <v>1</v>
      </c>
      <c r="P526" s="601"/>
      <c r="Q526" s="13">
        <f t="shared" si="126"/>
        <v>0</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0</v>
      </c>
      <c r="N527" s="601"/>
      <c r="O527" s="13">
        <f t="shared" si="125"/>
        <v>1</v>
      </c>
      <c r="P527" s="601"/>
      <c r="Q527" s="13">
        <f t="shared" si="126"/>
        <v>0</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2781</v>
      </c>
      <c r="B1" s="3078"/>
      <c r="C1" s="3084"/>
      <c r="D1" s="3084"/>
      <c r="E1" s="3079"/>
      <c r="F1" s="3080"/>
      <c r="G1" s="3173"/>
      <c r="J1" s="3176" t="s">
        <v>2637</v>
      </c>
      <c r="K1" s="3177"/>
      <c r="L1" s="3177"/>
      <c r="M1" s="3177"/>
      <c r="N1" s="3177"/>
      <c r="O1" s="3177"/>
      <c r="P1" s="3177"/>
      <c r="Q1" s="3177"/>
      <c r="R1" s="3178"/>
      <c r="S1" s="3179"/>
      <c r="T1" s="3179"/>
      <c r="U1" s="3179"/>
    </row>
    <row r="2" spans="1:23" s="3087" customFormat="1" ht="13.15" customHeight="1">
      <c r="A2" s="3082" t="s">
        <v>2638</v>
      </c>
      <c r="B2" s="3083" t="e">
        <f>C40</f>
        <v>#DIV/0!</v>
      </c>
      <c r="C2" s="3084" t="s">
        <v>2639</v>
      </c>
      <c r="D2" s="3084"/>
      <c r="E2" s="3085"/>
      <c r="F2" s="3086"/>
      <c r="G2" s="3180"/>
      <c r="H2" s="3181"/>
      <c r="I2" s="3182"/>
      <c r="J2" s="3636" t="s">
        <v>2640</v>
      </c>
      <c r="K2" s="3637"/>
      <c r="L2" s="3183" t="s">
        <v>2641</v>
      </c>
      <c r="M2" s="3183" t="s">
        <v>2642</v>
      </c>
      <c r="N2" s="3183" t="s">
        <v>2643</v>
      </c>
      <c r="O2" s="3183" t="s">
        <v>2644</v>
      </c>
      <c r="P2" s="3183" t="s">
        <v>2645</v>
      </c>
      <c r="Q2" s="3184" t="s">
        <v>2646</v>
      </c>
      <c r="R2" s="3185" t="s">
        <v>2647</v>
      </c>
      <c r="S2" s="3179"/>
      <c r="T2" s="3179"/>
      <c r="U2" s="3179"/>
      <c r="V2" s="3182"/>
      <c r="W2" s="3181"/>
    </row>
    <row r="3" spans="1:23" s="3087" customFormat="1" ht="13.15" customHeight="1">
      <c r="A3" s="3089" t="s">
        <v>2648</v>
      </c>
      <c r="B3" s="3090" t="e">
        <f>ROUND(B2*10000/B4,0)</f>
        <v>#DIV/0!</v>
      </c>
      <c r="C3" s="3084" t="s">
        <v>2649</v>
      </c>
      <c r="D3" s="3084"/>
      <c r="E3" s="3085"/>
      <c r="F3" s="3086"/>
      <c r="G3" s="3180"/>
      <c r="H3" s="3181"/>
      <c r="I3" s="3182"/>
      <c r="J3" s="3638" t="s">
        <v>2650</v>
      </c>
      <c r="K3" s="3639"/>
      <c r="L3" s="3186"/>
      <c r="M3" s="3186"/>
      <c r="N3" s="3186"/>
      <c r="O3" s="3186"/>
      <c r="P3" s="3186"/>
      <c r="Q3" s="3187"/>
      <c r="R3" s="3188">
        <f>SUM(L3:Q3)</f>
        <v>0</v>
      </c>
      <c r="S3" s="3179"/>
      <c r="T3" s="3179"/>
      <c r="U3" s="3179"/>
      <c r="V3" s="3182"/>
      <c r="W3" s="3181"/>
    </row>
    <row r="4" spans="1:23" s="3087" customFormat="1" ht="13.15" customHeight="1">
      <c r="A4" s="3091" t="s">
        <v>2651</v>
      </c>
      <c r="B4" s="3148"/>
      <c r="C4" s="3084"/>
      <c r="D4" s="3084"/>
      <c r="E4" s="3085"/>
      <c r="F4" s="3086"/>
      <c r="G4" s="3180"/>
      <c r="H4" s="3181"/>
      <c r="I4" s="3182"/>
      <c r="J4" s="3638" t="s">
        <v>2652</v>
      </c>
      <c r="K4" s="3639"/>
      <c r="L4" s="3189"/>
      <c r="M4" s="3189"/>
      <c r="N4" s="3189"/>
      <c r="O4" s="3189"/>
      <c r="P4" s="3189"/>
      <c r="Q4" s="3190"/>
      <c r="R4" s="3191">
        <f>SUM(L4:Q4)</f>
        <v>0</v>
      </c>
      <c r="S4" s="3179"/>
      <c r="T4" s="3179"/>
      <c r="U4" s="3179"/>
      <c r="V4" s="3182"/>
      <c r="W4" s="3181"/>
    </row>
    <row r="5" spans="1:23" s="3087" customFormat="1" ht="13.15" customHeight="1" thickBot="1">
      <c r="A5" s="3092" t="s">
        <v>2653</v>
      </c>
      <c r="B5" s="3149"/>
      <c r="C5" s="3084"/>
      <c r="D5" s="3093"/>
      <c r="E5" s="3086"/>
      <c r="F5" s="3086"/>
      <c r="G5" s="3180"/>
      <c r="H5" s="3181"/>
      <c r="I5" s="3182"/>
      <c r="J5" s="3192" t="s">
        <v>2654</v>
      </c>
      <c r="K5" s="3193"/>
      <c r="L5" s="3193"/>
      <c r="M5" s="3194"/>
      <c r="N5" s="3194"/>
      <c r="O5" s="3194"/>
      <c r="P5" s="3194"/>
      <c r="Q5" s="3194"/>
      <c r="R5" s="3185">
        <f>SUM(R14,R19,R24,R25,R27,R28)</f>
        <v>0</v>
      </c>
      <c r="S5" s="3179"/>
      <c r="T5" s="3179" t="s">
        <v>2655</v>
      </c>
      <c r="U5" s="3179" t="e">
        <f>ROUND(R5*10000/365/R3,1)</f>
        <v>#DIV/0!</v>
      </c>
      <c r="V5" s="3182"/>
      <c r="W5" s="3181"/>
    </row>
    <row r="6" spans="1:23" s="3087" customFormat="1" ht="13.15" customHeight="1" thickBot="1">
      <c r="A6" s="3644" t="s">
        <v>2656</v>
      </c>
      <c r="B6" s="3645"/>
      <c r="C6" s="3646"/>
      <c r="D6" s="3150"/>
      <c r="E6" s="3094"/>
      <c r="F6" s="3095"/>
      <c r="G6" s="3195"/>
      <c r="H6" s="3181"/>
      <c r="I6" s="3182"/>
      <c r="J6" s="3630">
        <v>1</v>
      </c>
      <c r="K6" s="3631" t="s">
        <v>2657</v>
      </c>
      <c r="L6" s="3196" t="s">
        <v>2658</v>
      </c>
      <c r="M6" s="3197" t="s">
        <v>2659</v>
      </c>
      <c r="N6" s="3197" t="s">
        <v>2660</v>
      </c>
      <c r="O6" s="3197" t="s">
        <v>2661</v>
      </c>
      <c r="P6" s="3197" t="s">
        <v>2662</v>
      </c>
      <c r="Q6" s="3197" t="s">
        <v>2663</v>
      </c>
      <c r="R6" s="3188" t="s">
        <v>2664</v>
      </c>
      <c r="S6" s="3179"/>
      <c r="T6" s="3179" t="s">
        <v>2665</v>
      </c>
      <c r="U6" s="3179"/>
      <c r="V6" s="3182"/>
      <c r="W6" s="3181"/>
    </row>
    <row r="7" spans="1:23" s="3087" customFormat="1" ht="13.15" customHeight="1">
      <c r="A7" s="3097" t="s">
        <v>2666</v>
      </c>
      <c r="B7" s="3098"/>
      <c r="C7" s="3099"/>
      <c r="D7" s="3100">
        <f>SUM(D9,D10,D11,D17,0)</f>
        <v>0</v>
      </c>
      <c r="E7" s="3101" t="e">
        <f>E9+E10+E11+E17</f>
        <v>#DIV/0!</v>
      </c>
      <c r="F7" s="3102"/>
      <c r="G7" s="3198"/>
      <c r="H7" s="3181"/>
      <c r="I7" s="3182"/>
      <c r="J7" s="3630"/>
      <c r="K7" s="3632"/>
      <c r="L7" s="3199" t="s">
        <v>2766</v>
      </c>
      <c r="M7" s="3200"/>
      <c r="N7" s="3200"/>
      <c r="O7" s="3201"/>
      <c r="P7" s="3201"/>
      <c r="Q7" s="3202">
        <v>365</v>
      </c>
      <c r="R7" s="3203">
        <f>ROUND(M7*N7*O7*P7*Q7/10000,0)</f>
        <v>0</v>
      </c>
      <c r="S7" s="3179"/>
      <c r="T7" s="3179" t="s">
        <v>2667</v>
      </c>
      <c r="U7" s="3179"/>
      <c r="V7" s="3182"/>
      <c r="W7" s="3181"/>
    </row>
    <row r="8" spans="1:23" s="3087" customFormat="1" ht="13.15" customHeight="1">
      <c r="A8" s="3103" t="s">
        <v>2668</v>
      </c>
      <c r="B8" s="3647" t="s">
        <v>2669</v>
      </c>
      <c r="C8" s="3648"/>
      <c r="D8" s="3104" t="s">
        <v>2670</v>
      </c>
      <c r="E8" s="3105" t="s">
        <v>2671</v>
      </c>
      <c r="F8" s="3088" t="s">
        <v>2672</v>
      </c>
      <c r="G8" s="3258" t="s">
        <v>2780</v>
      </c>
      <c r="H8" s="3181"/>
      <c r="I8" s="3182"/>
      <c r="J8" s="3630"/>
      <c r="K8" s="3632"/>
      <c r="L8" s="3199" t="s">
        <v>2767</v>
      </c>
      <c r="M8" s="3200"/>
      <c r="N8" s="3200"/>
      <c r="O8" s="3201"/>
      <c r="P8" s="3201"/>
      <c r="Q8" s="3202">
        <v>365</v>
      </c>
      <c r="R8" s="3203">
        <f t="shared" ref="R8:R13" si="0">ROUND(M8*N8*O8*P8*Q8/10000,0)</f>
        <v>0</v>
      </c>
      <c r="S8" s="3179"/>
      <c r="T8" s="3179" t="s">
        <v>2673</v>
      </c>
      <c r="U8" s="3179"/>
      <c r="V8" s="3182"/>
      <c r="W8" s="3181"/>
    </row>
    <row r="9" spans="1:23" s="3087" customFormat="1" ht="13.15" customHeight="1">
      <c r="A9" s="3103">
        <v>1</v>
      </c>
      <c r="B9" s="3647" t="s">
        <v>2674</v>
      </c>
      <c r="C9" s="3648"/>
      <c r="D9" s="3104">
        <f>ROUND(D6*E9,0)</f>
        <v>0</v>
      </c>
      <c r="E9" s="3151"/>
      <c r="F9" s="3106" t="s">
        <v>2675</v>
      </c>
      <c r="G9" s="3204" t="s">
        <v>2778</v>
      </c>
      <c r="H9" s="3181"/>
      <c r="I9" s="3182"/>
      <c r="J9" s="3630"/>
      <c r="K9" s="3632"/>
      <c r="L9" s="3199" t="s">
        <v>2768</v>
      </c>
      <c r="M9" s="3200"/>
      <c r="N9" s="3200"/>
      <c r="O9" s="3201"/>
      <c r="P9" s="3201"/>
      <c r="Q9" s="3202">
        <v>365</v>
      </c>
      <c r="R9" s="3203">
        <f t="shared" si="0"/>
        <v>0</v>
      </c>
      <c r="S9" s="3179"/>
      <c r="T9" s="3179"/>
      <c r="U9" s="3179"/>
      <c r="V9" s="3182"/>
      <c r="W9" s="3181"/>
    </row>
    <row r="10" spans="1:23" s="3087" customFormat="1" ht="13.15" customHeight="1">
      <c r="A10" s="3103">
        <v>2</v>
      </c>
      <c r="B10" s="3647" t="s">
        <v>2676</v>
      </c>
      <c r="C10" s="3648"/>
      <c r="D10" s="3104">
        <f>ROUND(D6*E10,0)</f>
        <v>0</v>
      </c>
      <c r="E10" s="3151"/>
      <c r="F10" s="3106" t="s">
        <v>2677</v>
      </c>
      <c r="G10" s="3204" t="s">
        <v>2779</v>
      </c>
      <c r="H10" s="3181"/>
      <c r="I10" s="3182"/>
      <c r="J10" s="3630"/>
      <c r="K10" s="3632"/>
      <c r="L10" s="3199" t="s">
        <v>2769</v>
      </c>
      <c r="M10" s="3200"/>
      <c r="N10" s="3200"/>
      <c r="O10" s="3201"/>
      <c r="P10" s="3201"/>
      <c r="Q10" s="3202">
        <v>365</v>
      </c>
      <c r="R10" s="3203">
        <f t="shared" si="0"/>
        <v>0</v>
      </c>
      <c r="S10" s="3179"/>
      <c r="T10" s="3179"/>
      <c r="U10" s="3179"/>
      <c r="V10" s="3182"/>
      <c r="W10" s="3181"/>
    </row>
    <row r="11" spans="1:23" s="3087" customFormat="1" ht="13.15" customHeight="1">
      <c r="A11" s="3103">
        <v>3</v>
      </c>
      <c r="B11" s="3647" t="s">
        <v>2678</v>
      </c>
      <c r="C11" s="3648"/>
      <c r="D11" s="3104">
        <f>D12+D14+D15+D16</f>
        <v>0</v>
      </c>
      <c r="E11" s="3107" t="e">
        <f>D11/D6</f>
        <v>#DIV/0!</v>
      </c>
      <c r="F11" s="3088"/>
      <c r="G11" s="3204"/>
      <c r="H11" s="3181"/>
      <c r="I11" s="3182"/>
      <c r="J11" s="3630"/>
      <c r="K11" s="3632"/>
      <c r="L11" s="3199" t="s">
        <v>2770</v>
      </c>
      <c r="M11" s="3200"/>
      <c r="N11" s="3200"/>
      <c r="O11" s="3201"/>
      <c r="P11" s="3201"/>
      <c r="Q11" s="3202">
        <v>365</v>
      </c>
      <c r="R11" s="3203">
        <f t="shared" si="0"/>
        <v>0</v>
      </c>
      <c r="S11" s="3179"/>
      <c r="T11" s="3179"/>
      <c r="U11" s="3179"/>
      <c r="V11" s="3182"/>
      <c r="W11" s="3181"/>
    </row>
    <row r="12" spans="1:23" s="3087" customFormat="1" ht="13.15" customHeight="1">
      <c r="A12" s="3108" t="s">
        <v>2679</v>
      </c>
      <c r="B12" s="3640" t="s">
        <v>2680</v>
      </c>
      <c r="C12" s="3641"/>
      <c r="D12" s="3109">
        <f>ROUND(D13*1.2%*(1-30%),0)</f>
        <v>0</v>
      </c>
      <c r="E12" s="3110">
        <v>1.2E-2</v>
      </c>
      <c r="F12" s="3088" t="s">
        <v>2681</v>
      </c>
      <c r="G12" s="3204"/>
      <c r="H12" s="3181"/>
      <c r="I12" s="3182"/>
      <c r="J12" s="3630"/>
      <c r="K12" s="3632"/>
      <c r="L12" s="3199" t="s">
        <v>2771</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2682</v>
      </c>
      <c r="D13" s="3152"/>
      <c r="E13" s="3113"/>
      <c r="F13" s="3088"/>
      <c r="G13" s="3204"/>
      <c r="H13" s="3181"/>
      <c r="I13" s="3182"/>
      <c r="J13" s="3630"/>
      <c r="K13" s="3632"/>
      <c r="L13" s="3199" t="s">
        <v>2772</v>
      </c>
      <c r="M13" s="3200"/>
      <c r="N13" s="3200"/>
      <c r="O13" s="3201"/>
      <c r="P13" s="3201"/>
      <c r="Q13" s="3202">
        <v>365</v>
      </c>
      <c r="R13" s="3203">
        <f t="shared" si="0"/>
        <v>0</v>
      </c>
      <c r="S13" s="3179"/>
      <c r="T13" s="3179"/>
      <c r="U13" s="3179"/>
      <c r="V13" s="3182"/>
      <c r="W13" s="3181"/>
    </row>
    <row r="14" spans="1:23" s="3087" customFormat="1" ht="13.15" customHeight="1">
      <c r="A14" s="3108" t="s">
        <v>2683</v>
      </c>
      <c r="B14" s="3640" t="s">
        <v>2684</v>
      </c>
      <c r="C14" s="3641"/>
      <c r="D14" s="3109">
        <f>ROUND(E14*B5/10000,0)</f>
        <v>0</v>
      </c>
      <c r="E14" s="3153"/>
      <c r="F14" s="3088" t="s">
        <v>2685</v>
      </c>
      <c r="G14" s="3204"/>
      <c r="H14" s="3181"/>
      <c r="I14" s="3182"/>
      <c r="J14" s="3630"/>
      <c r="K14" s="3633"/>
      <c r="L14" s="3205" t="s">
        <v>2686</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2687</v>
      </c>
      <c r="B15" s="3640" t="s">
        <v>2688</v>
      </c>
      <c r="C15" s="3641"/>
      <c r="D15" s="3109">
        <f>ROUND(D6*E15,0)</f>
        <v>0</v>
      </c>
      <c r="E15" s="3110">
        <v>5.5E-2</v>
      </c>
      <c r="F15" s="3088" t="s">
        <v>2689</v>
      </c>
      <c r="G15" s="3204"/>
      <c r="H15" s="3181"/>
      <c r="I15" s="3182"/>
      <c r="J15" s="3630">
        <v>2</v>
      </c>
      <c r="K15" s="3631" t="s">
        <v>2690</v>
      </c>
      <c r="L15" s="3209" t="s">
        <v>2691</v>
      </c>
      <c r="M15" s="3210" t="s">
        <v>2692</v>
      </c>
      <c r="N15" s="3210" t="s">
        <v>2693</v>
      </c>
      <c r="O15" s="3211" t="s">
        <v>2694</v>
      </c>
      <c r="P15" s="3211" t="s">
        <v>2695</v>
      </c>
      <c r="Q15" s="3148" t="s">
        <v>2696</v>
      </c>
      <c r="R15" s="3212" t="s">
        <v>2697</v>
      </c>
      <c r="S15" s="3179"/>
      <c r="T15" s="3179"/>
      <c r="U15" s="3179"/>
      <c r="V15" s="3182"/>
      <c r="W15" s="3181"/>
    </row>
    <row r="16" spans="1:23" s="3087" customFormat="1" ht="13.15" customHeight="1">
      <c r="A16" s="3108" t="s">
        <v>2698</v>
      </c>
      <c r="B16" s="3640" t="s">
        <v>2699</v>
      </c>
      <c r="C16" s="3641"/>
      <c r="D16" s="3154">
        <f>D6*E16</f>
        <v>0</v>
      </c>
      <c r="E16" s="3155"/>
      <c r="F16" s="3106" t="s">
        <v>2700</v>
      </c>
      <c r="G16" s="3204"/>
      <c r="H16" s="3181"/>
      <c r="I16" s="3182"/>
      <c r="J16" s="3630"/>
      <c r="K16" s="3632"/>
      <c r="L16" s="3199" t="s">
        <v>2773</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42" t="s">
        <v>2701</v>
      </c>
      <c r="C17" s="3643"/>
      <c r="D17" s="3115">
        <f>ROUND(D6*E17,0)</f>
        <v>0</v>
      </c>
      <c r="E17" s="3156"/>
      <c r="F17" s="3116" t="s">
        <v>2702</v>
      </c>
      <c r="G17" s="3257">
        <v>0.1</v>
      </c>
      <c r="H17" s="3181"/>
      <c r="I17" s="3182"/>
      <c r="J17" s="3630"/>
      <c r="K17" s="3632"/>
      <c r="L17" s="3199" t="s">
        <v>2774</v>
      </c>
      <c r="M17" s="3200"/>
      <c r="N17" s="3200"/>
      <c r="O17" s="3201"/>
      <c r="P17" s="3202">
        <v>365</v>
      </c>
      <c r="Q17" s="3200"/>
      <c r="R17" s="3213">
        <f>ROUND(M17*N17*O17*P17/10000,0)</f>
        <v>0</v>
      </c>
      <c r="S17" s="3179"/>
      <c r="T17" s="3179"/>
      <c r="U17" s="3179"/>
      <c r="V17" s="3182"/>
      <c r="W17" s="3181"/>
    </row>
    <row r="18" spans="1:23" s="3087" customFormat="1" ht="13.15" customHeight="1" thickBot="1">
      <c r="A18" s="3097" t="s">
        <v>2703</v>
      </c>
      <c r="B18" s="3098"/>
      <c r="C18" s="3098"/>
      <c r="D18" s="3117">
        <f>ROUND(D6*E18,0)</f>
        <v>0</v>
      </c>
      <c r="E18" s="3157"/>
      <c r="F18" s="3118" t="s">
        <v>2704</v>
      </c>
      <c r="G18" s="3257">
        <v>0.05</v>
      </c>
      <c r="H18" s="3181"/>
      <c r="I18" s="3182"/>
      <c r="J18" s="3630"/>
      <c r="K18" s="3632"/>
      <c r="L18" s="3199" t="s">
        <v>2775</v>
      </c>
      <c r="M18" s="3200"/>
      <c r="N18" s="3200"/>
      <c r="O18" s="3201"/>
      <c r="P18" s="3202">
        <v>365</v>
      </c>
      <c r="Q18" s="3200"/>
      <c r="R18" s="3213">
        <f>ROUND(M18*N18*O18*P18/10000,0)</f>
        <v>0</v>
      </c>
      <c r="S18" s="3179"/>
      <c r="T18" s="3179"/>
      <c r="U18" s="3179"/>
      <c r="V18" s="3182"/>
      <c r="W18" s="3181"/>
    </row>
    <row r="19" spans="1:23" s="3087" customFormat="1" ht="13.15" customHeight="1" thickBot="1">
      <c r="A19" s="3119" t="s">
        <v>2705</v>
      </c>
      <c r="B19" s="3094"/>
      <c r="C19" s="3094"/>
      <c r="D19" s="3094"/>
      <c r="E19" s="3094"/>
      <c r="F19" s="3095"/>
      <c r="G19" s="3204"/>
      <c r="H19" s="3181"/>
      <c r="I19" s="3182"/>
      <c r="J19" s="3630"/>
      <c r="K19" s="3633"/>
      <c r="L19" s="3205" t="s">
        <v>2686</v>
      </c>
      <c r="M19" s="3206"/>
      <c r="N19" s="3206">
        <f>SUM(N16:N18)</f>
        <v>0</v>
      </c>
      <c r="O19" s="3207"/>
      <c r="P19" s="3214" t="s">
        <v>2776</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30">
        <v>3</v>
      </c>
      <c r="K20" s="3631" t="s">
        <v>2706</v>
      </c>
      <c r="L20" s="3209" t="s">
        <v>2707</v>
      </c>
      <c r="M20" s="3210" t="s">
        <v>2708</v>
      </c>
      <c r="N20" s="3216" t="s">
        <v>2709</v>
      </c>
      <c r="O20" s="3211" t="s">
        <v>2710</v>
      </c>
      <c r="P20" s="3153" t="s">
        <v>2695</v>
      </c>
      <c r="Q20" s="3148" t="s">
        <v>2696</v>
      </c>
      <c r="R20" s="3212" t="s">
        <v>2697</v>
      </c>
      <c r="S20" s="3217"/>
      <c r="T20" s="3217"/>
      <c r="U20" s="3217"/>
      <c r="V20" s="3182"/>
      <c r="W20" s="3181"/>
    </row>
    <row r="21" spans="1:23" s="3087" customFormat="1" ht="13.15" customHeight="1">
      <c r="A21" s="3097"/>
      <c r="B21" s="3098"/>
      <c r="C21" s="3121" t="s">
        <v>2711</v>
      </c>
      <c r="D21" s="3122" t="s">
        <v>2712</v>
      </c>
      <c r="E21" s="3123" t="s">
        <v>2713</v>
      </c>
      <c r="F21" s="3120"/>
      <c r="G21" s="3204"/>
      <c r="H21" s="3181"/>
      <c r="I21" s="3182"/>
      <c r="J21" s="3630"/>
      <c r="K21" s="3632"/>
      <c r="L21" s="3209" t="s">
        <v>2714</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2715</v>
      </c>
      <c r="D22" s="3159" t="s">
        <v>2716</v>
      </c>
      <c r="E22" s="3160" t="s">
        <v>2717</v>
      </c>
      <c r="F22" s="3120"/>
      <c r="G22" s="3219"/>
      <c r="H22" s="3181"/>
      <c r="I22" s="3182"/>
      <c r="J22" s="3630"/>
      <c r="K22" s="3632"/>
      <c r="L22" s="3209" t="s">
        <v>2718</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2719</v>
      </c>
      <c r="C23" s="3125">
        <f>D6</f>
        <v>0</v>
      </c>
      <c r="D23" s="3126">
        <f>C23*(1+D24)</f>
        <v>0</v>
      </c>
      <c r="E23" s="3127">
        <f>D23*(1+E24)</f>
        <v>0</v>
      </c>
      <c r="F23" s="3128"/>
      <c r="G23" s="3220"/>
      <c r="H23" s="3181"/>
      <c r="I23" s="3182"/>
      <c r="J23" s="3630"/>
      <c r="K23" s="3632"/>
      <c r="L23" s="3209" t="s">
        <v>2720</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2721</v>
      </c>
      <c r="C24" s="3131"/>
      <c r="D24" s="3161"/>
      <c r="E24" s="3162"/>
      <c r="F24" s="3132"/>
      <c r="G24" s="3220"/>
      <c r="H24" s="3181"/>
      <c r="I24" s="3182"/>
      <c r="J24" s="3630"/>
      <c r="K24" s="3633"/>
      <c r="L24" s="3205" t="s">
        <v>2686</v>
      </c>
      <c r="M24" s="3206">
        <f>SUM(M21:M23)</f>
        <v>0</v>
      </c>
      <c r="N24" s="3206"/>
      <c r="O24" s="3207"/>
      <c r="P24" s="3214" t="s">
        <v>2776</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2722</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2723</v>
      </c>
      <c r="C26" s="3125">
        <f>D7</f>
        <v>0</v>
      </c>
      <c r="D26" s="3126">
        <f>D23*D27</f>
        <v>0</v>
      </c>
      <c r="E26" s="3127">
        <f>E23*E27</f>
        <v>0</v>
      </c>
      <c r="F26" s="3128"/>
      <c r="G26" s="3220"/>
      <c r="H26" s="3181"/>
      <c r="I26" s="3182"/>
      <c r="J26" s="3634">
        <v>5</v>
      </c>
      <c r="K26" s="3228" t="s">
        <v>2724</v>
      </c>
      <c r="L26" s="3229"/>
      <c r="M26" s="3230"/>
      <c r="N26" s="3231" t="s">
        <v>2725</v>
      </c>
      <c r="O26" s="3231" t="s">
        <v>2726</v>
      </c>
      <c r="P26" s="3232" t="s">
        <v>2727</v>
      </c>
      <c r="Q26" s="3232" t="s">
        <v>2728</v>
      </c>
      <c r="R26" s="3188" t="s">
        <v>2697</v>
      </c>
      <c r="S26" s="3233"/>
      <c r="T26" s="3233"/>
      <c r="U26" s="3233"/>
      <c r="V26" s="3226"/>
      <c r="W26" s="3227"/>
    </row>
    <row r="27" spans="1:23" s="3087" customFormat="1" ht="13.15" customHeight="1">
      <c r="A27" s="3129"/>
      <c r="B27" s="3130" t="s">
        <v>2729</v>
      </c>
      <c r="C27" s="3134" t="e">
        <f>E7</f>
        <v>#DIV/0!</v>
      </c>
      <c r="D27" s="3161"/>
      <c r="E27" s="3162"/>
      <c r="F27" s="3132"/>
      <c r="G27" s="3220"/>
      <c r="H27" s="3227"/>
      <c r="I27" s="3226"/>
      <c r="J27" s="3635"/>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2730</v>
      </c>
      <c r="F28" s="3132"/>
      <c r="G28" s="3219"/>
      <c r="H28" s="3227"/>
      <c r="I28" s="3226"/>
      <c r="J28" s="3239">
        <v>6</v>
      </c>
      <c r="K28" s="3240" t="s">
        <v>2731</v>
      </c>
      <c r="L28" s="3241" t="s">
        <v>2732</v>
      </c>
      <c r="M28" s="3242"/>
      <c r="N28" s="3241" t="s">
        <v>2733</v>
      </c>
      <c r="O28" s="3243"/>
      <c r="P28" s="3241" t="s">
        <v>2734</v>
      </c>
      <c r="Q28" s="3244">
        <v>1.4999999999999999E-2</v>
      </c>
      <c r="R28" s="3245"/>
      <c r="S28" s="3217"/>
      <c r="T28" s="3217"/>
      <c r="U28" s="3217"/>
      <c r="V28" s="3226"/>
      <c r="W28" s="3227"/>
    </row>
    <row r="29" spans="1:23" s="3133" customFormat="1" ht="13.15" customHeight="1">
      <c r="A29" s="3124">
        <v>3</v>
      </c>
      <c r="B29" s="3096" t="s">
        <v>2735</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2729</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2736</v>
      </c>
      <c r="K31" s="3177"/>
      <c r="L31" s="3177"/>
      <c r="M31" s="3177"/>
      <c r="N31" s="3177"/>
      <c r="O31" s="3177"/>
      <c r="P31" s="3177"/>
      <c r="Q31" s="3177"/>
      <c r="R31" s="3178"/>
      <c r="S31" s="3217"/>
      <c r="T31" s="3179"/>
      <c r="U31" s="3179"/>
      <c r="V31" s="3226"/>
      <c r="W31" s="3227"/>
    </row>
    <row r="32" spans="1:23" s="3133" customFormat="1" ht="13.15" customHeight="1">
      <c r="A32" s="3124">
        <v>4</v>
      </c>
      <c r="B32" s="3096" t="s">
        <v>2737</v>
      </c>
      <c r="C32" s="3125">
        <f>C23-C26-C29</f>
        <v>0</v>
      </c>
      <c r="D32" s="3126">
        <f>D23-D26-D29</f>
        <v>0</v>
      </c>
      <c r="E32" s="3127">
        <f>E23-E26-E29</f>
        <v>0</v>
      </c>
      <c r="F32" s="3128"/>
      <c r="G32" s="3219"/>
      <c r="H32" s="3181"/>
      <c r="I32" s="3182"/>
      <c r="J32" s="3636" t="s">
        <v>2738</v>
      </c>
      <c r="K32" s="3637"/>
      <c r="L32" s="3183" t="s">
        <v>2739</v>
      </c>
      <c r="M32" s="3183" t="s">
        <v>2642</v>
      </c>
      <c r="N32" s="3183" t="s">
        <v>2643</v>
      </c>
      <c r="O32" s="3183" t="s">
        <v>2644</v>
      </c>
      <c r="P32" s="3183" t="s">
        <v>2645</v>
      </c>
      <c r="Q32" s="3184" t="s">
        <v>2740</v>
      </c>
      <c r="R32" s="3246" t="s">
        <v>2741</v>
      </c>
      <c r="S32" s="3217"/>
      <c r="T32" s="3179"/>
      <c r="U32" s="3179"/>
      <c r="V32" s="3226"/>
      <c r="W32" s="3227"/>
    </row>
    <row r="33" spans="1:23" s="3087" customFormat="1" ht="13.15" customHeight="1">
      <c r="A33" s="3124"/>
      <c r="B33" s="3096"/>
      <c r="C33" s="3125"/>
      <c r="D33" s="3136"/>
      <c r="E33" s="3137"/>
      <c r="F33" s="3128"/>
      <c r="G33" s="3219"/>
      <c r="H33" s="3227"/>
      <c r="I33" s="3226"/>
      <c r="J33" s="3638" t="s">
        <v>2742</v>
      </c>
      <c r="K33" s="3639"/>
      <c r="L33" s="3186"/>
      <c r="M33" s="3186"/>
      <c r="N33" s="3186"/>
      <c r="O33" s="3186"/>
      <c r="P33" s="3186"/>
      <c r="Q33" s="3187"/>
      <c r="R33" s="3247">
        <f>SUM(L33:Q33)</f>
        <v>0</v>
      </c>
      <c r="S33" s="3217"/>
      <c r="T33" s="3179"/>
      <c r="U33" s="3179"/>
      <c r="V33" s="3182"/>
      <c r="W33" s="3181"/>
    </row>
    <row r="34" spans="1:23" s="3087" customFormat="1" ht="13.15" customHeight="1">
      <c r="A34" s="3124">
        <v>5</v>
      </c>
      <c r="B34" s="3096" t="s">
        <v>2743</v>
      </c>
      <c r="C34" s="3164"/>
      <c r="D34" s="3165"/>
      <c r="E34" s="3166"/>
      <c r="F34" s="3128"/>
      <c r="G34" s="3219"/>
      <c r="H34" s="3227"/>
      <c r="I34" s="3226"/>
      <c r="J34" s="3638" t="s">
        <v>2744</v>
      </c>
      <c r="K34" s="3639"/>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2745</v>
      </c>
      <c r="C35" s="3167"/>
      <c r="D35" s="3168"/>
      <c r="E35" s="3169"/>
      <c r="F35" s="3128"/>
      <c r="G35" s="3249"/>
      <c r="H35" s="3181"/>
      <c r="I35" s="3226"/>
      <c r="J35" s="3192" t="s">
        <v>2746</v>
      </c>
      <c r="K35" s="3193"/>
      <c r="L35" s="3193"/>
      <c r="M35" s="3194"/>
      <c r="N35" s="3194"/>
      <c r="O35" s="3194"/>
      <c r="P35" s="3194"/>
      <c r="Q35" s="3194"/>
      <c r="R35" s="3250">
        <f>R40+R41+R43</f>
        <v>0</v>
      </c>
      <c r="S35" s="3217"/>
      <c r="T35" s="3179" t="s">
        <v>2747</v>
      </c>
      <c r="U35" s="3179"/>
      <c r="V35" s="3182"/>
      <c r="W35" s="3181"/>
    </row>
    <row r="36" spans="1:23" s="3087" customFormat="1" ht="13.15" customHeight="1" thickBot="1">
      <c r="A36" s="3124">
        <v>7</v>
      </c>
      <c r="B36" s="3138" t="s">
        <v>2748</v>
      </c>
      <c r="C36" s="3170"/>
      <c r="D36" s="3171"/>
      <c r="E36" s="3172"/>
      <c r="F36" s="3139">
        <f>C36+D36+E36</f>
        <v>0</v>
      </c>
      <c r="G36" s="3219"/>
      <c r="H36" s="3181"/>
      <c r="I36" s="3182"/>
      <c r="J36" s="3630">
        <v>1</v>
      </c>
      <c r="K36" s="3631" t="s">
        <v>2749</v>
      </c>
      <c r="L36" s="3196"/>
      <c r="M36" s="3197"/>
      <c r="N36" s="3197"/>
      <c r="O36" s="3197"/>
      <c r="P36" s="3197"/>
      <c r="Q36" s="3197"/>
      <c r="R36" s="3188" t="s">
        <v>2697</v>
      </c>
      <c r="S36" s="3217"/>
      <c r="T36" s="3179" t="s">
        <v>2750</v>
      </c>
      <c r="U36" s="3179"/>
      <c r="V36" s="3182"/>
      <c r="W36" s="3181"/>
    </row>
    <row r="37" spans="1:23" s="3087" customFormat="1" ht="13.15" customHeight="1">
      <c r="A37" s="3124"/>
      <c r="B37" s="3096"/>
      <c r="C37" s="3096"/>
      <c r="D37" s="3096"/>
      <c r="E37" s="3096"/>
      <c r="F37" s="3128"/>
      <c r="G37" s="3219"/>
      <c r="H37" s="3181"/>
      <c r="I37" s="3182"/>
      <c r="J37" s="3630"/>
      <c r="K37" s="3632"/>
      <c r="L37" s="3209"/>
      <c r="M37" s="3210"/>
      <c r="N37" s="3148"/>
      <c r="O37" s="3211"/>
      <c r="P37" s="3211"/>
      <c r="Q37" s="3153"/>
      <c r="R37" s="3251"/>
      <c r="S37" s="3217"/>
      <c r="T37" s="3179" t="s">
        <v>2751</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30"/>
      <c r="K38" s="3632"/>
      <c r="L38" s="3209"/>
      <c r="M38" s="3210"/>
      <c r="N38" s="3148"/>
      <c r="O38" s="3211"/>
      <c r="P38" s="3211"/>
      <c r="Q38" s="3153"/>
      <c r="R38" s="3251"/>
      <c r="S38" s="3217"/>
      <c r="T38" s="3179" t="s">
        <v>2673</v>
      </c>
      <c r="U38" s="3179"/>
      <c r="V38" s="3182"/>
      <c r="W38" s="3181"/>
    </row>
    <row r="39" spans="1:23" s="3087" customFormat="1" ht="13.15" customHeight="1">
      <c r="A39" s="3124">
        <v>9</v>
      </c>
      <c r="B39" s="3096" t="s">
        <v>2752</v>
      </c>
      <c r="C39" s="3109" t="e">
        <f>C38</f>
        <v>#DIV/0!</v>
      </c>
      <c r="D39" s="3096">
        <f>D38/(1+D34)^C36</f>
        <v>0</v>
      </c>
      <c r="E39" s="3096">
        <f>E38/(1+E34)^(C36+D36)</f>
        <v>0</v>
      </c>
      <c r="F39" s="3128"/>
      <c r="G39" s="3252"/>
      <c r="H39" s="3181"/>
      <c r="I39" s="3182"/>
      <c r="J39" s="3630"/>
      <c r="K39" s="3632"/>
      <c r="L39" s="3209"/>
      <c r="M39" s="3210"/>
      <c r="N39" s="3148"/>
      <c r="O39" s="3211"/>
      <c r="P39" s="3211"/>
      <c r="Q39" s="3153"/>
      <c r="R39" s="3251"/>
      <c r="S39" s="3217"/>
      <c r="T39" s="3179"/>
      <c r="U39" s="3179"/>
      <c r="V39" s="3182"/>
      <c r="W39" s="3181"/>
    </row>
    <row r="40" spans="1:23" s="3087" customFormat="1" ht="13.15" customHeight="1">
      <c r="A40" s="3140">
        <v>10</v>
      </c>
      <c r="B40" s="3096" t="s">
        <v>2753</v>
      </c>
      <c r="C40" s="3141" t="e">
        <f>C39+D39+E39</f>
        <v>#DIV/0!</v>
      </c>
      <c r="D40" s="3142"/>
      <c r="E40" s="3142"/>
      <c r="F40" s="3143"/>
      <c r="G40" s="3219"/>
      <c r="H40" s="3181"/>
      <c r="I40" s="3182"/>
      <c r="J40" s="3630"/>
      <c r="K40" s="3633"/>
      <c r="L40" s="3205" t="s">
        <v>2754</v>
      </c>
      <c r="M40" s="3206"/>
      <c r="N40" s="3206"/>
      <c r="O40" s="3207"/>
      <c r="P40" s="3207"/>
      <c r="Q40" s="3208"/>
      <c r="R40" s="3185">
        <f>SUM(R37:R39)</f>
        <v>0</v>
      </c>
      <c r="S40" s="3217"/>
      <c r="T40" s="3179"/>
      <c r="U40" s="3179"/>
      <c r="V40" s="3182"/>
      <c r="W40" s="3181"/>
    </row>
    <row r="41" spans="1:23" s="3087" customFormat="1" ht="13.15" customHeight="1" thickBot="1">
      <c r="A41" s="3144">
        <v>11</v>
      </c>
      <c r="B41" s="3145" t="s">
        <v>2755</v>
      </c>
      <c r="C41" s="3145" t="e">
        <f>ROUND(C40*10000/B4,0)</f>
        <v>#DIV/0!</v>
      </c>
      <c r="D41" s="3146"/>
      <c r="E41" s="3146"/>
      <c r="F41" s="3147"/>
      <c r="G41" s="3253"/>
      <c r="H41" s="3181"/>
      <c r="I41" s="3182"/>
      <c r="J41" s="3221">
        <v>2</v>
      </c>
      <c r="K41" s="3222" t="s">
        <v>2756</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34">
        <v>3</v>
      </c>
      <c r="K42" s="3228" t="s">
        <v>2757</v>
      </c>
      <c r="L42" s="3229"/>
      <c r="M42" s="3230"/>
      <c r="N42" s="3231" t="s">
        <v>2758</v>
      </c>
      <c r="O42" s="3231" t="s">
        <v>2759</v>
      </c>
      <c r="P42" s="3232" t="s">
        <v>2760</v>
      </c>
      <c r="Q42" s="3232" t="s">
        <v>2761</v>
      </c>
      <c r="R42" s="3188" t="s">
        <v>2664</v>
      </c>
      <c r="S42" s="3233"/>
      <c r="T42" s="3233"/>
      <c r="U42" s="3179"/>
      <c r="V42" s="3182"/>
      <c r="W42" s="3181"/>
    </row>
    <row r="43" spans="1:23" ht="13.15" customHeight="1">
      <c r="A43" s="3087"/>
      <c r="B43" s="3087"/>
      <c r="C43" s="3087"/>
      <c r="D43" s="3087"/>
      <c r="E43" s="3087"/>
      <c r="F43" s="3087"/>
      <c r="I43" s="3174"/>
      <c r="J43" s="3635"/>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2762</v>
      </c>
      <c r="L44" s="3256" t="s">
        <v>2763</v>
      </c>
      <c r="M44" s="3242"/>
      <c r="N44" s="3256" t="s">
        <v>2764</v>
      </c>
      <c r="O44" s="3242"/>
      <c r="P44" s="3256" t="s">
        <v>2765</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829.41000000000008</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2005</v>
      </c>
      <c r="B4" s="1592"/>
      <c r="C4" s="3584" t="s">
        <v>2006</v>
      </c>
      <c r="D4" s="3585"/>
      <c r="E4" s="3586" t="s">
        <v>2007</v>
      </c>
      <c r="F4" s="3587"/>
      <c r="G4" s="3584" t="s">
        <v>2008</v>
      </c>
      <c r="H4" s="3585"/>
      <c r="I4" s="3584" t="s">
        <v>2009</v>
      </c>
      <c r="J4" s="3585"/>
      <c r="K4" s="1593" t="s">
        <v>2010</v>
      </c>
      <c r="L4" s="2914"/>
      <c r="M4" s="2915"/>
      <c r="N4" s="2915"/>
      <c r="O4" s="2915"/>
      <c r="P4" s="3588" t="s">
        <v>2011</v>
      </c>
      <c r="Q4" s="3589"/>
      <c r="R4" s="3594" t="s">
        <v>2007</v>
      </c>
      <c r="S4" s="3595"/>
      <c r="T4" s="3594" t="s">
        <v>2008</v>
      </c>
      <c r="U4" s="3595"/>
      <c r="V4" s="3600" t="s">
        <v>2009</v>
      </c>
      <c r="W4" s="3600"/>
      <c r="X4" s="1594"/>
      <c r="Y4" s="3594" t="s">
        <v>2011</v>
      </c>
      <c r="Z4" s="3595"/>
      <c r="AA4" s="3581" t="s">
        <v>2007</v>
      </c>
      <c r="AB4" s="3581" t="s">
        <v>2008</v>
      </c>
      <c r="AC4" s="3581" t="s">
        <v>2009</v>
      </c>
    </row>
    <row r="5" spans="1:29" ht="15">
      <c r="A5" s="1596"/>
      <c r="B5" s="1597"/>
      <c r="C5" s="3603" t="s">
        <v>2012</v>
      </c>
      <c r="D5" s="3578"/>
      <c r="E5" s="3649" t="s">
        <v>2013</v>
      </c>
      <c r="F5" s="3602"/>
      <c r="G5" s="3603" t="s">
        <v>2014</v>
      </c>
      <c r="H5" s="3578"/>
      <c r="I5" s="3603" t="s">
        <v>2015</v>
      </c>
      <c r="J5" s="3578"/>
      <c r="K5" s="1598"/>
      <c r="L5" s="2914"/>
      <c r="M5" s="2915"/>
      <c r="N5" s="2915"/>
      <c r="O5" s="2915"/>
      <c r="P5" s="3590"/>
      <c r="Q5" s="3591"/>
      <c r="R5" s="3596"/>
      <c r="S5" s="3597"/>
      <c r="T5" s="3596"/>
      <c r="U5" s="3597"/>
      <c r="V5" s="3600"/>
      <c r="W5" s="3600"/>
      <c r="X5" s="1594"/>
      <c r="Y5" s="3596"/>
      <c r="Z5" s="3597"/>
      <c r="AA5" s="3582"/>
      <c r="AB5" s="3582"/>
      <c r="AC5" s="3582"/>
    </row>
    <row r="6" spans="1:29" ht="15.75" thickBot="1">
      <c r="A6" s="1599"/>
      <c r="B6" s="1600"/>
      <c r="C6" s="3574" t="s">
        <v>2016</v>
      </c>
      <c r="D6" s="3575"/>
      <c r="E6" s="3572" t="s">
        <v>2016</v>
      </c>
      <c r="F6" s="3573"/>
      <c r="G6" s="3574" t="s">
        <v>2016</v>
      </c>
      <c r="H6" s="3575"/>
      <c r="I6" s="3574" t="s">
        <v>2016</v>
      </c>
      <c r="J6" s="3575"/>
      <c r="K6" s="1598" t="s">
        <v>2017</v>
      </c>
      <c r="L6" s="2914"/>
      <c r="M6" s="2915"/>
      <c r="N6" s="2915"/>
      <c r="O6" s="2915"/>
      <c r="P6" s="3592"/>
      <c r="Q6" s="3593"/>
      <c r="R6" s="3596"/>
      <c r="S6" s="3597"/>
      <c r="T6" s="3598"/>
      <c r="U6" s="3599"/>
      <c r="V6" s="3600"/>
      <c r="W6" s="3600"/>
      <c r="X6" s="1594"/>
      <c r="Y6" s="3598"/>
      <c r="Z6" s="3599"/>
      <c r="AA6" s="3583"/>
      <c r="AB6" s="3583"/>
      <c r="AC6" s="3583"/>
    </row>
    <row r="7" spans="1:29" s="1613" customFormat="1" ht="15.75" thickBot="1">
      <c r="A7" s="1601" t="s">
        <v>2018</v>
      </c>
      <c r="B7" s="1602"/>
      <c r="C7" s="1603">
        <f>'数据-取费表'!B2</f>
        <v>44776</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579" t="s">
        <v>2019</v>
      </c>
      <c r="Q7" s="3604"/>
      <c r="R7" s="1609" t="s">
        <v>34</v>
      </c>
      <c r="S7" s="1610">
        <f t="shared" ref="S7:S15" si="0">F7</f>
        <v>0</v>
      </c>
      <c r="T7" s="1609" t="s">
        <v>34</v>
      </c>
      <c r="U7" s="1610">
        <f t="shared" ref="U7:U15" si="1">H7</f>
        <v>0</v>
      </c>
      <c r="V7" s="1609" t="s">
        <v>34</v>
      </c>
      <c r="W7" s="1610">
        <f t="shared" ref="W7:W15" si="2">J7</f>
        <v>0</v>
      </c>
      <c r="X7" s="1611"/>
      <c r="Y7" s="3579" t="s">
        <v>2019</v>
      </c>
      <c r="Z7" s="3580"/>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579" t="s">
        <v>2022</v>
      </c>
      <c r="Q8" s="3580"/>
      <c r="R8" s="1609" t="s">
        <v>34</v>
      </c>
      <c r="S8" s="1610">
        <f t="shared" si="0"/>
        <v>0</v>
      </c>
      <c r="T8" s="1609" t="s">
        <v>34</v>
      </c>
      <c r="U8" s="1610">
        <f t="shared" si="1"/>
        <v>0</v>
      </c>
      <c r="V8" s="1609" t="s">
        <v>34</v>
      </c>
      <c r="W8" s="1610">
        <f t="shared" si="2"/>
        <v>0</v>
      </c>
      <c r="X8" s="1611"/>
      <c r="Y8" s="3579" t="s">
        <v>2022</v>
      </c>
      <c r="Z8" s="3580"/>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576" t="s">
        <v>2025</v>
      </c>
      <c r="Q9" s="1563" t="str">
        <f t="shared" ref="Q9:Q15" si="6">B9</f>
        <v>用途</v>
      </c>
      <c r="R9" s="1609" t="s">
        <v>25</v>
      </c>
      <c r="S9" s="1610">
        <f t="shared" si="0"/>
        <v>100</v>
      </c>
      <c r="T9" s="1609" t="s">
        <v>25</v>
      </c>
      <c r="U9" s="1610">
        <f t="shared" si="1"/>
        <v>100</v>
      </c>
      <c r="V9" s="1609" t="s">
        <v>25</v>
      </c>
      <c r="W9" s="1610">
        <f t="shared" si="2"/>
        <v>100</v>
      </c>
      <c r="X9" s="1611"/>
      <c r="Y9" s="3505"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576"/>
      <c r="Q10" s="1563" t="str">
        <f t="shared" si="6"/>
        <v>土地使用年限（年）</v>
      </c>
      <c r="R10" s="1609" t="s">
        <v>25</v>
      </c>
      <c r="S10" s="1610">
        <f t="shared" si="0"/>
        <v>100</v>
      </c>
      <c r="T10" s="1609" t="s">
        <v>25</v>
      </c>
      <c r="U10" s="1610">
        <f t="shared" si="1"/>
        <v>100</v>
      </c>
      <c r="V10" s="1609" t="s">
        <v>25</v>
      </c>
      <c r="W10" s="1610">
        <f t="shared" si="2"/>
        <v>100</v>
      </c>
      <c r="X10" s="1611"/>
      <c r="Y10" s="3505"/>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576"/>
      <c r="Q11" s="1563" t="str">
        <f t="shared" si="6"/>
        <v>容积率</v>
      </c>
      <c r="R11" s="1609" t="s">
        <v>28</v>
      </c>
      <c r="S11" s="1610" t="e">
        <f t="shared" si="0"/>
        <v>#N/A</v>
      </c>
      <c r="T11" s="1609" t="s">
        <v>28</v>
      </c>
      <c r="U11" s="1610" t="e">
        <f t="shared" si="1"/>
        <v>#N/A</v>
      </c>
      <c r="V11" s="1609" t="s">
        <v>28</v>
      </c>
      <c r="W11" s="1610" t="e">
        <f t="shared" si="2"/>
        <v>#N/A</v>
      </c>
      <c r="X11" s="1611"/>
      <c r="Y11" s="350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576"/>
      <c r="Q12" s="1563">
        <f t="shared" si="6"/>
        <v>111</v>
      </c>
      <c r="R12" s="1609" t="s">
        <v>28</v>
      </c>
      <c r="S12" s="1610">
        <f t="shared" si="0"/>
        <v>100</v>
      </c>
      <c r="T12" s="1609" t="s">
        <v>28</v>
      </c>
      <c r="U12" s="1610">
        <f t="shared" si="1"/>
        <v>100</v>
      </c>
      <c r="V12" s="1609" t="s">
        <v>28</v>
      </c>
      <c r="W12" s="1610">
        <f t="shared" si="2"/>
        <v>100</v>
      </c>
      <c r="X12" s="1611"/>
      <c r="Y12" s="350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576"/>
      <c r="Q13" s="1563">
        <f t="shared" si="6"/>
        <v>111</v>
      </c>
      <c r="R13" s="1609" t="s">
        <v>28</v>
      </c>
      <c r="S13" s="1610">
        <f t="shared" si="0"/>
        <v>100</v>
      </c>
      <c r="T13" s="1609" t="s">
        <v>28</v>
      </c>
      <c r="U13" s="1610">
        <f t="shared" si="1"/>
        <v>100</v>
      </c>
      <c r="V13" s="1609" t="s">
        <v>28</v>
      </c>
      <c r="W13" s="1610">
        <f t="shared" si="2"/>
        <v>100</v>
      </c>
      <c r="X13" s="1611"/>
      <c r="Y13" s="3505"/>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576"/>
      <c r="Q14" s="1563">
        <f t="shared" si="6"/>
        <v>111</v>
      </c>
      <c r="R14" s="1609" t="s">
        <v>28</v>
      </c>
      <c r="S14" s="1610">
        <f t="shared" si="0"/>
        <v>100</v>
      </c>
      <c r="T14" s="1609" t="s">
        <v>28</v>
      </c>
      <c r="U14" s="1610">
        <f t="shared" si="1"/>
        <v>100</v>
      </c>
      <c r="V14" s="1609" t="s">
        <v>28</v>
      </c>
      <c r="W14" s="1610">
        <f t="shared" si="2"/>
        <v>100</v>
      </c>
      <c r="X14" s="1611"/>
      <c r="Y14" s="3505"/>
      <c r="Z14" s="1622">
        <f t="shared" si="7"/>
        <v>111</v>
      </c>
      <c r="AA14" s="1612">
        <f t="shared" si="3"/>
        <v>1</v>
      </c>
      <c r="AB14" s="1612">
        <f t="shared" si="4"/>
        <v>1</v>
      </c>
      <c r="AC14" s="1612">
        <f t="shared" si="5"/>
        <v>1</v>
      </c>
    </row>
    <row r="15" spans="1:29" ht="15">
      <c r="A15" s="1646" t="s">
        <v>2029</v>
      </c>
      <c r="B15" s="1647" t="s">
        <v>1464</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05" t="s">
        <v>2030</v>
      </c>
      <c r="Q15" s="1544" t="str">
        <f t="shared" si="6"/>
        <v>居住社区成熟度</v>
      </c>
      <c r="R15" s="1654" t="s">
        <v>28</v>
      </c>
      <c r="S15" s="1655">
        <f t="shared" si="0"/>
        <v>100</v>
      </c>
      <c r="T15" s="1654" t="s">
        <v>28</v>
      </c>
      <c r="U15" s="1655">
        <f t="shared" si="1"/>
        <v>100</v>
      </c>
      <c r="V15" s="1654" t="s">
        <v>28</v>
      </c>
      <c r="W15" s="1655">
        <f t="shared" si="2"/>
        <v>100</v>
      </c>
      <c r="X15" s="1594"/>
      <c r="Y15" s="3607"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06"/>
      <c r="Q16" s="1544"/>
      <c r="R16" s="1654"/>
      <c r="S16" s="1655"/>
      <c r="T16" s="1654"/>
      <c r="U16" s="1655"/>
      <c r="V16" s="1654"/>
      <c r="W16" s="1655"/>
      <c r="X16" s="1594"/>
      <c r="Y16" s="3608"/>
      <c r="Z16" s="1656"/>
      <c r="AA16" s="1657">
        <v>1</v>
      </c>
      <c r="AB16" s="1657">
        <v>1</v>
      </c>
      <c r="AC16" s="1657">
        <v>1</v>
      </c>
    </row>
    <row r="17" spans="1:29" ht="1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06"/>
      <c r="Q17" s="1544" t="str">
        <f>B17</f>
        <v>交通便捷度</v>
      </c>
      <c r="R17" s="1654" t="s">
        <v>28</v>
      </c>
      <c r="S17" s="1655">
        <f>F17</f>
        <v>100</v>
      </c>
      <c r="T17" s="1654" t="s">
        <v>28</v>
      </c>
      <c r="U17" s="1655">
        <f>H17</f>
        <v>100</v>
      </c>
      <c r="V17" s="1654" t="s">
        <v>28</v>
      </c>
      <c r="W17" s="1655">
        <f>J17</f>
        <v>100</v>
      </c>
      <c r="X17" s="1594"/>
      <c r="Y17" s="3608"/>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06"/>
      <c r="Q18" s="1544"/>
      <c r="R18" s="1654"/>
      <c r="S18" s="1655"/>
      <c r="T18" s="1654"/>
      <c r="U18" s="1655"/>
      <c r="V18" s="1654"/>
      <c r="W18" s="1655"/>
      <c r="X18" s="1594"/>
      <c r="Y18" s="3608"/>
      <c r="Z18" s="1656"/>
      <c r="AA18" s="1657">
        <v>1</v>
      </c>
      <c r="AB18" s="1657">
        <v>1</v>
      </c>
      <c r="AC18" s="1657">
        <v>1</v>
      </c>
    </row>
    <row r="19" spans="1:29" ht="15">
      <c r="A19" s="1631"/>
      <c r="B19" s="1666" t="s">
        <v>1465</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06"/>
      <c r="Q19" s="1544" t="str">
        <f>B19</f>
        <v>公共配套设施</v>
      </c>
      <c r="R19" s="1654" t="s">
        <v>28</v>
      </c>
      <c r="S19" s="1655">
        <f>F19</f>
        <v>100</v>
      </c>
      <c r="T19" s="1654" t="s">
        <v>28</v>
      </c>
      <c r="U19" s="1655">
        <f>H19</f>
        <v>100</v>
      </c>
      <c r="V19" s="1654" t="s">
        <v>28</v>
      </c>
      <c r="W19" s="1655">
        <f>J19</f>
        <v>100</v>
      </c>
      <c r="X19" s="1594"/>
      <c r="Y19" s="3608"/>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06"/>
      <c r="Q20" s="1544"/>
      <c r="R20" s="1654"/>
      <c r="S20" s="1655"/>
      <c r="T20" s="1654"/>
      <c r="U20" s="1655"/>
      <c r="V20" s="1654"/>
      <c r="W20" s="1655"/>
      <c r="X20" s="1594"/>
      <c r="Y20" s="3608"/>
      <c r="Z20" s="1656"/>
      <c r="AA20" s="1657">
        <v>1</v>
      </c>
      <c r="AB20" s="1657">
        <v>1</v>
      </c>
      <c r="AC20" s="1657">
        <v>1</v>
      </c>
    </row>
    <row r="21" spans="1:29" ht="15">
      <c r="A21" s="1631"/>
      <c r="B21" s="1679" t="s">
        <v>1467</v>
      </c>
      <c r="C21" s="1667" t="str">
        <f>估价对象房地状况!C8</f>
        <v>六通</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06"/>
      <c r="Q21" s="1544" t="str">
        <f>B21</f>
        <v>基础设施水平</v>
      </c>
      <c r="R21" s="1654" t="s">
        <v>28</v>
      </c>
      <c r="S21" s="1655">
        <f>F21</f>
        <v>100</v>
      </c>
      <c r="T21" s="1654" t="s">
        <v>28</v>
      </c>
      <c r="U21" s="1655">
        <f>H21</f>
        <v>100</v>
      </c>
      <c r="V21" s="1654" t="s">
        <v>28</v>
      </c>
      <c r="W21" s="1655">
        <f>J21</f>
        <v>100</v>
      </c>
      <c r="X21" s="1594"/>
      <c r="Y21" s="3608"/>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06"/>
      <c r="Q22" s="1544"/>
      <c r="R22" s="1654"/>
      <c r="S22" s="1655"/>
      <c r="T22" s="1654"/>
      <c r="U22" s="1655"/>
      <c r="V22" s="1654"/>
      <c r="W22" s="1655"/>
      <c r="X22" s="1594"/>
      <c r="Y22" s="3608"/>
      <c r="Z22" s="1656"/>
      <c r="AA22" s="1657">
        <v>1</v>
      </c>
      <c r="AB22" s="1657">
        <v>1</v>
      </c>
      <c r="AC22" s="1657">
        <v>1</v>
      </c>
    </row>
    <row r="23" spans="1:29" ht="15">
      <c r="A23" s="1631"/>
      <c r="B23" s="1666" t="s">
        <v>1468</v>
      </c>
      <c r="C23" s="1667"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06"/>
      <c r="Q23" s="1544" t="str">
        <f>B23</f>
        <v>自然及人文环境</v>
      </c>
      <c r="R23" s="1654" t="s">
        <v>28</v>
      </c>
      <c r="S23" s="1655">
        <f>F23</f>
        <v>100</v>
      </c>
      <c r="T23" s="1654" t="s">
        <v>28</v>
      </c>
      <c r="U23" s="1655">
        <f>H23</f>
        <v>100</v>
      </c>
      <c r="V23" s="1654" t="s">
        <v>28</v>
      </c>
      <c r="W23" s="1655">
        <f>J23</f>
        <v>100</v>
      </c>
      <c r="X23" s="1594"/>
      <c r="Y23" s="3608"/>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06"/>
      <c r="Q24" s="1544"/>
      <c r="R24" s="1654"/>
      <c r="S24" s="1655"/>
      <c r="T24" s="1654"/>
      <c r="U24" s="1655"/>
      <c r="V24" s="1654"/>
      <c r="W24" s="1655"/>
      <c r="X24" s="1594"/>
      <c r="Y24" s="3608"/>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06"/>
      <c r="Q25" s="1544" t="str">
        <f t="shared" ref="Q25:Q46" si="11">B25</f>
        <v>楼层-1</v>
      </c>
      <c r="R25" s="1654" t="s">
        <v>28</v>
      </c>
      <c r="S25" s="1655">
        <f>F25</f>
        <v>100</v>
      </c>
      <c r="T25" s="1654" t="s">
        <v>28</v>
      </c>
      <c r="U25" s="1655">
        <f>H25</f>
        <v>100</v>
      </c>
      <c r="V25" s="1654" t="s">
        <v>28</v>
      </c>
      <c r="W25" s="1655">
        <f>J25</f>
        <v>100</v>
      </c>
      <c r="X25" s="1594"/>
      <c r="Y25" s="3608"/>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06"/>
      <c r="Q26" s="1544" t="str">
        <f t="shared" si="11"/>
        <v>朝向</v>
      </c>
      <c r="R26" s="1654" t="s">
        <v>28</v>
      </c>
      <c r="S26" s="1655">
        <f>F26</f>
        <v>100</v>
      </c>
      <c r="T26" s="1654" t="s">
        <v>28</v>
      </c>
      <c r="U26" s="1655">
        <f>H26</f>
        <v>100</v>
      </c>
      <c r="V26" s="1654" t="s">
        <v>28</v>
      </c>
      <c r="W26" s="1655">
        <f>J26</f>
        <v>100</v>
      </c>
      <c r="X26" s="1594"/>
      <c r="Y26" s="3608"/>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06"/>
      <c r="Q27" s="1563" t="str">
        <f t="shared" si="11"/>
        <v>道路级别</v>
      </c>
      <c r="R27" s="1609" t="s">
        <v>28</v>
      </c>
      <c r="S27" s="1610">
        <f>F27</f>
        <v>100</v>
      </c>
      <c r="T27" s="1609" t="s">
        <v>28</v>
      </c>
      <c r="U27" s="1610">
        <f>H27</f>
        <v>100</v>
      </c>
      <c r="V27" s="1609" t="s">
        <v>28</v>
      </c>
      <c r="W27" s="1610">
        <f>J27</f>
        <v>100</v>
      </c>
      <c r="X27" s="1611"/>
      <c r="Y27" s="3608"/>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60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8"/>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06"/>
      <c r="Q29" s="1544">
        <f t="shared" si="11"/>
        <v>111</v>
      </c>
      <c r="R29" s="1654" t="s">
        <v>28</v>
      </c>
      <c r="S29" s="1655">
        <f t="shared" si="12"/>
        <v>100</v>
      </c>
      <c r="T29" s="1654" t="s">
        <v>28</v>
      </c>
      <c r="U29" s="1655">
        <f t="shared" si="13"/>
        <v>100</v>
      </c>
      <c r="V29" s="1654" t="s">
        <v>28</v>
      </c>
      <c r="W29" s="1655">
        <f t="shared" si="14"/>
        <v>100</v>
      </c>
      <c r="X29" s="1594"/>
      <c r="Y29" s="3608"/>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06"/>
      <c r="Q30" s="1544">
        <f t="shared" si="11"/>
        <v>111</v>
      </c>
      <c r="R30" s="1654" t="s">
        <v>28</v>
      </c>
      <c r="S30" s="1655">
        <f t="shared" si="12"/>
        <v>100</v>
      </c>
      <c r="T30" s="1654" t="s">
        <v>28</v>
      </c>
      <c r="U30" s="1655">
        <f t="shared" si="13"/>
        <v>100</v>
      </c>
      <c r="V30" s="1654" t="s">
        <v>28</v>
      </c>
      <c r="W30" s="1655">
        <f t="shared" si="14"/>
        <v>100</v>
      </c>
      <c r="X30" s="1594"/>
      <c r="Y30" s="3608"/>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06"/>
      <c r="Q31" s="1544">
        <f t="shared" si="11"/>
        <v>111</v>
      </c>
      <c r="R31" s="1654" t="s">
        <v>28</v>
      </c>
      <c r="S31" s="1655">
        <f t="shared" si="12"/>
        <v>100</v>
      </c>
      <c r="T31" s="1654" t="s">
        <v>28</v>
      </c>
      <c r="U31" s="1655">
        <f t="shared" si="13"/>
        <v>100</v>
      </c>
      <c r="V31" s="1654" t="s">
        <v>28</v>
      </c>
      <c r="W31" s="1655">
        <f t="shared" si="14"/>
        <v>100</v>
      </c>
      <c r="X31" s="1594"/>
      <c r="Y31" s="3608"/>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609" t="s">
        <v>2036</v>
      </c>
      <c r="Q32" s="1544" t="str">
        <f t="shared" si="11"/>
        <v>建筑类型</v>
      </c>
      <c r="R32" s="1654" t="s">
        <v>28</v>
      </c>
      <c r="S32" s="1655">
        <f t="shared" si="12"/>
        <v>100</v>
      </c>
      <c r="T32" s="1654" t="s">
        <v>28</v>
      </c>
      <c r="U32" s="1655">
        <f t="shared" si="13"/>
        <v>100</v>
      </c>
      <c r="V32" s="1654" t="s">
        <v>28</v>
      </c>
      <c r="W32" s="1655">
        <f t="shared" si="14"/>
        <v>100</v>
      </c>
      <c r="X32" s="1594"/>
      <c r="Y32" s="3612"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610"/>
      <c r="Q33" s="1695" t="str">
        <f t="shared" si="11"/>
        <v>项目建筑规模</v>
      </c>
      <c r="R33" s="1696" t="s">
        <v>28</v>
      </c>
      <c r="S33" s="1697" t="e">
        <f t="shared" si="12"/>
        <v>#N/A</v>
      </c>
      <c r="T33" s="1696" t="s">
        <v>28</v>
      </c>
      <c r="U33" s="1697" t="e">
        <f t="shared" si="13"/>
        <v>#N/A</v>
      </c>
      <c r="V33" s="1696" t="s">
        <v>28</v>
      </c>
      <c r="W33" s="1697" t="e">
        <f t="shared" si="14"/>
        <v>#N/A</v>
      </c>
      <c r="X33" s="1698"/>
      <c r="Y33" s="3612"/>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610"/>
      <c r="Q34" s="1544" t="str">
        <f t="shared" si="11"/>
        <v>建筑结构</v>
      </c>
      <c r="R34" s="1654" t="s">
        <v>28</v>
      </c>
      <c r="S34" s="1655">
        <f t="shared" si="12"/>
        <v>100</v>
      </c>
      <c r="T34" s="1654" t="s">
        <v>28</v>
      </c>
      <c r="U34" s="1655">
        <f t="shared" si="13"/>
        <v>100</v>
      </c>
      <c r="V34" s="1654" t="s">
        <v>28</v>
      </c>
      <c r="W34" s="1655">
        <f t="shared" si="14"/>
        <v>100</v>
      </c>
      <c r="X34" s="1594"/>
      <c r="Y34" s="3612"/>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610"/>
      <c r="Q35" s="1544" t="str">
        <f t="shared" si="11"/>
        <v>建筑品质</v>
      </c>
      <c r="R35" s="1654" t="s">
        <v>28</v>
      </c>
      <c r="S35" s="1655">
        <f t="shared" si="12"/>
        <v>100</v>
      </c>
      <c r="T35" s="1654" t="s">
        <v>28</v>
      </c>
      <c r="U35" s="1655">
        <f t="shared" si="13"/>
        <v>100</v>
      </c>
      <c r="V35" s="1654" t="s">
        <v>28</v>
      </c>
      <c r="W35" s="1655">
        <f t="shared" si="14"/>
        <v>100</v>
      </c>
      <c r="X35" s="1594"/>
      <c r="Y35" s="3612"/>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610"/>
      <c r="Q36" s="1544" t="str">
        <f t="shared" si="11"/>
        <v>公共部分装修</v>
      </c>
      <c r="R36" s="1654" t="s">
        <v>28</v>
      </c>
      <c r="S36" s="1655">
        <f t="shared" si="12"/>
        <v>100</v>
      </c>
      <c r="T36" s="1654" t="s">
        <v>28</v>
      </c>
      <c r="U36" s="1655">
        <f t="shared" si="13"/>
        <v>100</v>
      </c>
      <c r="V36" s="1654" t="s">
        <v>28</v>
      </c>
      <c r="W36" s="1655">
        <f t="shared" si="14"/>
        <v>100</v>
      </c>
      <c r="X36" s="1594"/>
      <c r="Y36" s="3612"/>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610"/>
      <c r="Q37" s="1563" t="str">
        <f t="shared" si="11"/>
        <v>成新度</v>
      </c>
      <c r="R37" s="1609" t="s">
        <v>28</v>
      </c>
      <c r="S37" s="1610" t="e">
        <f t="shared" si="12"/>
        <v>#N/A</v>
      </c>
      <c r="T37" s="1609" t="s">
        <v>28</v>
      </c>
      <c r="U37" s="1610" t="e">
        <f t="shared" si="13"/>
        <v>#N/A</v>
      </c>
      <c r="V37" s="1609" t="s">
        <v>28</v>
      </c>
      <c r="W37" s="1610" t="e">
        <f t="shared" si="14"/>
        <v>#N/A</v>
      </c>
      <c r="X37" s="1611"/>
      <c r="Y37" s="3612"/>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610" t="s">
        <v>2036</v>
      </c>
      <c r="Q38" s="1544" t="str">
        <f t="shared" si="11"/>
        <v>物业管理</v>
      </c>
      <c r="R38" s="1654" t="s">
        <v>28</v>
      </c>
      <c r="S38" s="1655">
        <f t="shared" si="12"/>
        <v>100</v>
      </c>
      <c r="T38" s="1654" t="s">
        <v>28</v>
      </c>
      <c r="U38" s="1655">
        <f t="shared" si="13"/>
        <v>100</v>
      </c>
      <c r="V38" s="1654" t="s">
        <v>28</v>
      </c>
      <c r="W38" s="1655">
        <f t="shared" si="14"/>
        <v>100</v>
      </c>
      <c r="X38" s="1594"/>
      <c r="Y38" s="3612"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610"/>
      <c r="Q39" s="1544" t="str">
        <f t="shared" si="11"/>
        <v>市政基础设施</v>
      </c>
      <c r="R39" s="1654" t="s">
        <v>28</v>
      </c>
      <c r="S39" s="1655">
        <f t="shared" si="12"/>
        <v>100</v>
      </c>
      <c r="T39" s="1654" t="s">
        <v>28</v>
      </c>
      <c r="U39" s="1655">
        <f t="shared" si="13"/>
        <v>100</v>
      </c>
      <c r="V39" s="1654" t="s">
        <v>28</v>
      </c>
      <c r="W39" s="1655">
        <f t="shared" si="14"/>
        <v>100</v>
      </c>
      <c r="X39" s="1594"/>
      <c r="Y39" s="3612"/>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610"/>
      <c r="Q40" s="1544" t="str">
        <f t="shared" si="11"/>
        <v>房型</v>
      </c>
      <c r="R40" s="1654" t="s">
        <v>28</v>
      </c>
      <c r="S40" s="1655">
        <f t="shared" si="12"/>
        <v>100</v>
      </c>
      <c r="T40" s="1654" t="s">
        <v>28</v>
      </c>
      <c r="U40" s="1655">
        <f t="shared" si="13"/>
        <v>100</v>
      </c>
      <c r="V40" s="1654" t="s">
        <v>28</v>
      </c>
      <c r="W40" s="1655">
        <f t="shared" si="14"/>
        <v>100</v>
      </c>
      <c r="X40" s="1594"/>
      <c r="Y40" s="3612"/>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610"/>
      <c r="Q41" s="1695" t="str">
        <f t="shared" si="11"/>
        <v>单套/主力户型建筑面积</v>
      </c>
      <c r="R41" s="1696" t="s">
        <v>28</v>
      </c>
      <c r="S41" s="1697">
        <f t="shared" si="12"/>
        <v>100</v>
      </c>
      <c r="T41" s="1696" t="s">
        <v>28</v>
      </c>
      <c r="U41" s="1697">
        <f t="shared" si="13"/>
        <v>100</v>
      </c>
      <c r="V41" s="1696" t="s">
        <v>28</v>
      </c>
      <c r="W41" s="1697">
        <f t="shared" si="14"/>
        <v>100</v>
      </c>
      <c r="X41" s="1698"/>
      <c r="Y41" s="3612"/>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610"/>
      <c r="Q42" s="1544" t="str">
        <f t="shared" si="11"/>
        <v>内部装修</v>
      </c>
      <c r="R42" s="1654" t="s">
        <v>28</v>
      </c>
      <c r="S42" s="1655">
        <f t="shared" si="12"/>
        <v>100</v>
      </c>
      <c r="T42" s="1654" t="s">
        <v>28</v>
      </c>
      <c r="U42" s="1655">
        <f t="shared" si="13"/>
        <v>100</v>
      </c>
      <c r="V42" s="1654" t="s">
        <v>28</v>
      </c>
      <c r="W42" s="1655">
        <f t="shared" si="14"/>
        <v>100</v>
      </c>
      <c r="X42" s="1594"/>
      <c r="Y42" s="3612"/>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610"/>
      <c r="Q43" s="1544" t="str">
        <f t="shared" si="11"/>
        <v>内部装修维护情况</v>
      </c>
      <c r="R43" s="1654" t="s">
        <v>28</v>
      </c>
      <c r="S43" s="1655">
        <f t="shared" si="12"/>
        <v>100</v>
      </c>
      <c r="T43" s="1654" t="s">
        <v>28</v>
      </c>
      <c r="U43" s="1655">
        <f t="shared" si="13"/>
        <v>100</v>
      </c>
      <c r="V43" s="1654" t="s">
        <v>28</v>
      </c>
      <c r="W43" s="1655">
        <f t="shared" si="14"/>
        <v>100</v>
      </c>
      <c r="X43" s="1594"/>
      <c r="Y43" s="3612"/>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610"/>
      <c r="Q44" s="1563">
        <f t="shared" si="11"/>
        <v>111</v>
      </c>
      <c r="R44" s="1609" t="s">
        <v>28</v>
      </c>
      <c r="S44" s="1610">
        <f t="shared" si="12"/>
        <v>100</v>
      </c>
      <c r="T44" s="1609" t="s">
        <v>28</v>
      </c>
      <c r="U44" s="1610">
        <f t="shared" si="13"/>
        <v>100</v>
      </c>
      <c r="V44" s="1609" t="s">
        <v>28</v>
      </c>
      <c r="W44" s="1610">
        <f t="shared" si="14"/>
        <v>100</v>
      </c>
      <c r="X44" s="1611"/>
      <c r="Y44" s="3612"/>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10"/>
      <c r="Q45" s="1544">
        <f t="shared" si="11"/>
        <v>111</v>
      </c>
      <c r="R45" s="1654" t="s">
        <v>28</v>
      </c>
      <c r="S45" s="1655">
        <f t="shared" si="12"/>
        <v>100</v>
      </c>
      <c r="T45" s="1654" t="s">
        <v>28</v>
      </c>
      <c r="U45" s="1655">
        <f t="shared" si="13"/>
        <v>100</v>
      </c>
      <c r="V45" s="1654" t="s">
        <v>28</v>
      </c>
      <c r="W45" s="1655">
        <f t="shared" si="14"/>
        <v>100</v>
      </c>
      <c r="X45" s="1594"/>
      <c r="Y45" s="3612"/>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11"/>
      <c r="Q46" s="1544">
        <f t="shared" si="11"/>
        <v>111</v>
      </c>
      <c r="R46" s="1654" t="s">
        <v>27</v>
      </c>
      <c r="S46" s="1655">
        <f t="shared" si="12"/>
        <v>100</v>
      </c>
      <c r="T46" s="1654" t="s">
        <v>27</v>
      </c>
      <c r="U46" s="1655">
        <f t="shared" si="13"/>
        <v>100</v>
      </c>
      <c r="V46" s="1654" t="s">
        <v>27</v>
      </c>
      <c r="W46" s="1655">
        <f t="shared" si="14"/>
        <v>100</v>
      </c>
      <c r="X46" s="1594"/>
      <c r="Y46" s="3613"/>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0"/>
      <c r="N47" s="2915"/>
      <c r="P47" s="3614" t="str">
        <f>A47</f>
        <v>成交单价（元/平方米）</v>
      </c>
      <c r="Q47" s="3614"/>
      <c r="R47" s="3615">
        <f>E47</f>
        <v>0</v>
      </c>
      <c r="S47" s="3615"/>
      <c r="T47" s="3615">
        <f>G47</f>
        <v>0</v>
      </c>
      <c r="U47" s="3615"/>
      <c r="V47" s="3615">
        <f>I47</f>
        <v>0</v>
      </c>
      <c r="W47" s="3615"/>
      <c r="X47" s="1720"/>
      <c r="Y47" s="1721"/>
      <c r="Z47" s="1720"/>
      <c r="AA47" s="1720"/>
      <c r="AB47" s="1720"/>
      <c r="AC47" s="1720"/>
    </row>
    <row r="48" spans="1:29" ht="15.75" thickBot="1">
      <c r="A48" s="1722" t="s">
        <v>2049</v>
      </c>
      <c r="B48" s="1723"/>
      <c r="C48" s="1724" t="e">
        <f>R49</f>
        <v>#DIV/0!</v>
      </c>
      <c r="D48" s="1725" t="s">
        <v>2499</v>
      </c>
      <c r="E48" s="1726" t="e">
        <f>R48</f>
        <v>#DIV/0!</v>
      </c>
      <c r="F48" s="1727"/>
      <c r="G48" s="1724" t="e">
        <f>T48</f>
        <v>#DIV/0!</v>
      </c>
      <c r="H48" s="1727"/>
      <c r="I48" s="1726" t="e">
        <f>V48</f>
        <v>#DIV/0!</v>
      </c>
      <c r="J48" s="1727"/>
      <c r="K48" s="2430">
        <f>F48+H48+J48</f>
        <v>0</v>
      </c>
      <c r="L48" s="2920"/>
      <c r="P48" s="3614" t="str">
        <f>A48</f>
        <v>比较价值（元/平方米）</v>
      </c>
      <c r="Q48" s="3614"/>
      <c r="R48" s="3615" t="e">
        <f>IF(E1="售价",ROUND(PRODUCT(R47,AA7:AA46),0),ROUND(PRODUCT(R47,AA7:AA46),1))</f>
        <v>#DIV/0!</v>
      </c>
      <c r="S48" s="3615"/>
      <c r="T48" s="3650" t="e">
        <f>IF(E1="售价",ROUND(PRODUCT(T47,AB7:AB46),0),ROUND(PRODUCT(T47,AB7:AB46),1))</f>
        <v>#DIV/0!</v>
      </c>
      <c r="U48" s="3651"/>
      <c r="V48" s="3615" t="e">
        <f>IF(E1="售价",ROUND(PRODUCT(V47,AC7:AC46),0),ROUND(PRODUCT(V47,AC7:AC46),1))</f>
        <v>#DIV/0!</v>
      </c>
      <c r="W48" s="3615"/>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0"/>
      <c r="P49" s="3616" t="str">
        <f>A49</f>
        <v>估价对象XX用房的比较价值（楼面单价，元/平方米）</v>
      </c>
      <c r="Q49" s="3617"/>
      <c r="R49" s="3618" t="e">
        <f>IF(E1="售价",ROUND(IF(D48="简单平均",AVERAGE(R48:V48),R48*F48+T48*H48+V48*J48),0),ROUND(IF(D48="简单平均",AVERAGE(R48:V48),R48*F48+T48*H48+V48*J48),1))</f>
        <v>#DIV/0!</v>
      </c>
      <c r="S49" s="3618"/>
      <c r="T49" s="3618"/>
      <c r="U49" s="3618"/>
      <c r="V49" s="3618"/>
      <c r="W49" s="3618"/>
      <c r="X49" s="1720"/>
      <c r="Y49" s="1720"/>
      <c r="Z49" s="1720"/>
      <c r="AA49" s="1720"/>
      <c r="AB49" s="1720"/>
      <c r="AC49" s="1720"/>
    </row>
    <row r="50" spans="1:29">
      <c r="G50" s="2924"/>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75" thickBot="1">
      <c r="A57" s="1745" t="s">
        <v>2054</v>
      </c>
      <c r="B57" s="1720"/>
      <c r="C57" s="1746"/>
      <c r="D57" s="1746"/>
      <c r="E57" s="1746"/>
      <c r="F57" s="1746"/>
      <c r="G57" s="1746"/>
      <c r="H57" s="1746"/>
      <c r="I57" s="1746"/>
      <c r="J57" s="1746"/>
      <c r="K57" s="1747"/>
      <c r="L57" s="2922"/>
      <c r="M57" s="2923"/>
      <c r="N57" s="2923"/>
      <c r="O57" s="2923"/>
      <c r="P57" s="1749"/>
      <c r="Q57" s="1750"/>
    </row>
    <row r="58" spans="1:29" s="1756" customFormat="1" ht="15">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c r="D1" s="1566"/>
      <c r="E1" s="1569"/>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2004</v>
      </c>
      <c r="D3" s="1588">
        <f>IF(C1="仅计算典型户型",'数据-取费表'!E5,'数据-取费表'!B5)</f>
        <v>829.41000000000008</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2005</v>
      </c>
      <c r="B4" s="1592"/>
      <c r="C4" s="3584" t="s">
        <v>2006</v>
      </c>
      <c r="D4" s="3585"/>
      <c r="E4" s="3586" t="s">
        <v>2007</v>
      </c>
      <c r="F4" s="3587"/>
      <c r="G4" s="3584" t="s">
        <v>2008</v>
      </c>
      <c r="H4" s="3585"/>
      <c r="I4" s="3584" t="s">
        <v>2009</v>
      </c>
      <c r="J4" s="3585"/>
      <c r="K4" s="1894" t="s">
        <v>2010</v>
      </c>
      <c r="L4" s="2914"/>
      <c r="M4" s="2915"/>
      <c r="N4" s="2915"/>
      <c r="O4" s="2915"/>
      <c r="P4" s="3588" t="s">
        <v>2011</v>
      </c>
      <c r="Q4" s="3589"/>
      <c r="R4" s="3594" t="s">
        <v>2007</v>
      </c>
      <c r="S4" s="3595"/>
      <c r="T4" s="3594" t="s">
        <v>2008</v>
      </c>
      <c r="U4" s="3595"/>
      <c r="V4" s="3600" t="s">
        <v>2009</v>
      </c>
      <c r="W4" s="3600"/>
      <c r="X4" s="2003"/>
      <c r="Y4" s="3594" t="s">
        <v>2011</v>
      </c>
      <c r="Z4" s="3595"/>
      <c r="AA4" s="3581" t="s">
        <v>2007</v>
      </c>
      <c r="AB4" s="3581" t="s">
        <v>2008</v>
      </c>
      <c r="AC4" s="3581" t="s">
        <v>2009</v>
      </c>
    </row>
    <row r="5" spans="1:29" ht="15">
      <c r="A5" s="1596"/>
      <c r="B5" s="1597"/>
      <c r="C5" s="3603" t="s">
        <v>2012</v>
      </c>
      <c r="D5" s="3578"/>
      <c r="E5" s="3649" t="s">
        <v>2013</v>
      </c>
      <c r="F5" s="3602"/>
      <c r="G5" s="3603" t="s">
        <v>2014</v>
      </c>
      <c r="H5" s="3578"/>
      <c r="I5" s="3603" t="s">
        <v>2015</v>
      </c>
      <c r="J5" s="3578"/>
      <c r="K5" s="1894"/>
      <c r="L5" s="2914"/>
      <c r="M5" s="2915"/>
      <c r="N5" s="2915"/>
      <c r="O5" s="2915"/>
      <c r="P5" s="3590"/>
      <c r="Q5" s="3591"/>
      <c r="R5" s="3596"/>
      <c r="S5" s="3597"/>
      <c r="T5" s="3596"/>
      <c r="U5" s="3597"/>
      <c r="V5" s="3600"/>
      <c r="W5" s="3600"/>
      <c r="X5" s="2003"/>
      <c r="Y5" s="3596"/>
      <c r="Z5" s="3597"/>
      <c r="AA5" s="3582"/>
      <c r="AB5" s="3582"/>
      <c r="AC5" s="3582"/>
    </row>
    <row r="6" spans="1:29" ht="15.75" thickBot="1">
      <c r="A6" s="1599"/>
      <c r="B6" s="1600"/>
      <c r="C6" s="3574" t="s">
        <v>2016</v>
      </c>
      <c r="D6" s="3575"/>
      <c r="E6" s="3572" t="s">
        <v>2016</v>
      </c>
      <c r="F6" s="3573"/>
      <c r="G6" s="3574" t="s">
        <v>2016</v>
      </c>
      <c r="H6" s="3575"/>
      <c r="I6" s="3574" t="s">
        <v>2016</v>
      </c>
      <c r="J6" s="3575"/>
      <c r="K6" s="1894" t="s">
        <v>2017</v>
      </c>
      <c r="L6" s="2914"/>
      <c r="M6" s="2915"/>
      <c r="N6" s="2915"/>
      <c r="O6" s="2915"/>
      <c r="P6" s="3592"/>
      <c r="Q6" s="3593"/>
      <c r="R6" s="3596"/>
      <c r="S6" s="3597"/>
      <c r="T6" s="3598"/>
      <c r="U6" s="3599"/>
      <c r="V6" s="3600"/>
      <c r="W6" s="3600"/>
      <c r="X6" s="2003"/>
      <c r="Y6" s="3598"/>
      <c r="Z6" s="3599"/>
      <c r="AA6" s="3583"/>
      <c r="AB6" s="3583"/>
      <c r="AC6" s="3583"/>
    </row>
    <row r="7" spans="1:29" s="1613" customFormat="1" ht="15.75" thickBot="1">
      <c r="A7" s="1601" t="s">
        <v>2018</v>
      </c>
      <c r="B7" s="1602"/>
      <c r="C7" s="1603">
        <f>'数据-取费表'!B2</f>
        <v>44776</v>
      </c>
      <c r="D7" s="1604">
        <v>100</v>
      </c>
      <c r="E7" s="1605"/>
      <c r="F7" s="1606">
        <f>SUMIF(59:59,YEAR(E7)&amp;"-"&amp;MONTH(E7),60:60)</f>
        <v>0</v>
      </c>
      <c r="G7" s="1895"/>
      <c r="H7" s="1604">
        <f>SUMIF(59:59,YEAR(G7)&amp;"-"&amp;MONTH(G7),60:60)</f>
        <v>0</v>
      </c>
      <c r="I7" s="1895"/>
      <c r="J7" s="1604">
        <f>SUMIF(59:59,YEAR(I7)&amp;"-"&amp;MONTH(I7),60:60)</f>
        <v>0</v>
      </c>
      <c r="K7" s="1896"/>
      <c r="L7" s="2914"/>
      <c r="M7" s="2887"/>
      <c r="N7" s="2887"/>
      <c r="O7" s="2887"/>
      <c r="P7" s="3579" t="s">
        <v>2019</v>
      </c>
      <c r="Q7" s="3604"/>
      <c r="R7" s="1609" t="s">
        <v>25</v>
      </c>
      <c r="S7" s="1610">
        <f t="shared" ref="S7:S15" si="0">F7</f>
        <v>0</v>
      </c>
      <c r="T7" s="1609" t="s">
        <v>25</v>
      </c>
      <c r="U7" s="1610">
        <f t="shared" ref="U7:U15" si="1">H7</f>
        <v>0</v>
      </c>
      <c r="V7" s="1609" t="s">
        <v>25</v>
      </c>
      <c r="W7" s="1610">
        <f t="shared" ref="W7:W15" si="2">J7</f>
        <v>0</v>
      </c>
      <c r="X7" s="1611"/>
      <c r="Y7" s="3579" t="s">
        <v>2019</v>
      </c>
      <c r="Z7" s="3580"/>
      <c r="AA7" s="1612" t="e">
        <f>D7/F7</f>
        <v>#DIV/0!</v>
      </c>
      <c r="AB7" s="1612" t="e">
        <f>D7/H7</f>
        <v>#DIV/0!</v>
      </c>
      <c r="AC7" s="1612" t="e">
        <f>D7/J7</f>
        <v>#DIV/0!</v>
      </c>
    </row>
    <row r="8" spans="1:29" s="1613" customFormat="1" ht="15.75" thickBot="1">
      <c r="A8" s="1601" t="s">
        <v>2020</v>
      </c>
      <c r="B8" s="1602"/>
      <c r="C8" s="1614" t="s">
        <v>2021</v>
      </c>
      <c r="D8" s="1604">
        <v>100</v>
      </c>
      <c r="E8" s="1614"/>
      <c r="F8" s="1606">
        <f>SUMIF(62:62,E8,63:63)-SUMIF(62:62,C8,63:63)+100</f>
        <v>0</v>
      </c>
      <c r="G8" s="1614"/>
      <c r="H8" s="1604">
        <f>SUMIF(62:62,G8,63:63)-SUMIF(62:62,C8,63:63)+100</f>
        <v>0</v>
      </c>
      <c r="I8" s="1614"/>
      <c r="J8" s="1604">
        <f>SUMIF(62:62,I8,63:63)-SUMIF(62:62,C8,63:63)+100</f>
        <v>0</v>
      </c>
      <c r="K8" s="1896"/>
      <c r="L8" s="2914"/>
      <c r="M8" s="2887"/>
      <c r="N8" s="2887"/>
      <c r="O8" s="2887"/>
      <c r="P8" s="3579" t="s">
        <v>2022</v>
      </c>
      <c r="Q8" s="3580"/>
      <c r="R8" s="1609" t="s">
        <v>25</v>
      </c>
      <c r="S8" s="1610">
        <f t="shared" si="0"/>
        <v>0</v>
      </c>
      <c r="T8" s="1609" t="s">
        <v>25</v>
      </c>
      <c r="U8" s="1610">
        <f t="shared" si="1"/>
        <v>0</v>
      </c>
      <c r="V8" s="1609" t="s">
        <v>25</v>
      </c>
      <c r="W8" s="1610">
        <f t="shared" si="2"/>
        <v>0</v>
      </c>
      <c r="X8" s="1611"/>
      <c r="Y8" s="3579" t="s">
        <v>2022</v>
      </c>
      <c r="Z8" s="3580"/>
      <c r="AA8" s="1612" t="e">
        <f t="shared" ref="AA8:AA47" si="3">D8/F8</f>
        <v>#DIV/0!</v>
      </c>
      <c r="AB8" s="1612" t="e">
        <f t="shared" ref="AB8:AB47" si="4">D8/H8</f>
        <v>#DIV/0!</v>
      </c>
      <c r="AC8" s="1612" t="e">
        <f t="shared" ref="AC8:AC47" si="5">D8/J8</f>
        <v>#DIV/0!</v>
      </c>
    </row>
    <row r="9" spans="1:29" s="1613" customFormat="1">
      <c r="A9" s="1995" t="s">
        <v>2023</v>
      </c>
      <c r="B9" s="1616" t="s">
        <v>2024</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614" t="s">
        <v>2025</v>
      </c>
      <c r="Q9" s="2832" t="str">
        <f t="shared" ref="Q9:Q15" si="6">B9</f>
        <v>用途</v>
      </c>
      <c r="R9" s="1609" t="s">
        <v>25</v>
      </c>
      <c r="S9" s="1610">
        <f t="shared" si="0"/>
        <v>100</v>
      </c>
      <c r="T9" s="1609" t="s">
        <v>25</v>
      </c>
      <c r="U9" s="1610">
        <f t="shared" si="1"/>
        <v>100</v>
      </c>
      <c r="V9" s="1609" t="s">
        <v>25</v>
      </c>
      <c r="W9" s="1610">
        <f t="shared" si="2"/>
        <v>100</v>
      </c>
      <c r="X9" s="1611"/>
      <c r="Y9" s="3505"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614"/>
      <c r="Q10" s="2832" t="str">
        <f t="shared" si="6"/>
        <v>土地使用年限（年）</v>
      </c>
      <c r="R10" s="1609" t="s">
        <v>25</v>
      </c>
      <c r="S10" s="1610">
        <f t="shared" si="0"/>
        <v>100</v>
      </c>
      <c r="T10" s="1609" t="s">
        <v>25</v>
      </c>
      <c r="U10" s="1610">
        <f t="shared" si="1"/>
        <v>100</v>
      </c>
      <c r="V10" s="1609" t="s">
        <v>25</v>
      </c>
      <c r="W10" s="1610">
        <f t="shared" si="2"/>
        <v>100</v>
      </c>
      <c r="X10" s="1611"/>
      <c r="Y10" s="3505"/>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8"/>
      <c r="M11" s="2915"/>
      <c r="N11" s="2915"/>
      <c r="O11" s="2915"/>
      <c r="P11" s="3614"/>
      <c r="Q11" s="2832" t="str">
        <f t="shared" si="6"/>
        <v>容积率</v>
      </c>
      <c r="R11" s="1609" t="s">
        <v>25</v>
      </c>
      <c r="S11" s="1610" t="e">
        <f t="shared" si="0"/>
        <v>#N/A</v>
      </c>
      <c r="T11" s="1609" t="s">
        <v>25</v>
      </c>
      <c r="U11" s="1610" t="e">
        <f t="shared" si="1"/>
        <v>#N/A</v>
      </c>
      <c r="V11" s="1609" t="s">
        <v>25</v>
      </c>
      <c r="W11" s="1610" t="e">
        <f t="shared" si="2"/>
        <v>#N/A</v>
      </c>
      <c r="X11" s="1611"/>
      <c r="Y11" s="350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614"/>
      <c r="Q12" s="2832">
        <f t="shared" si="6"/>
        <v>111</v>
      </c>
      <c r="R12" s="1609" t="s">
        <v>25</v>
      </c>
      <c r="S12" s="1610">
        <f t="shared" si="0"/>
        <v>100</v>
      </c>
      <c r="T12" s="1609" t="s">
        <v>25</v>
      </c>
      <c r="U12" s="1610">
        <f t="shared" si="1"/>
        <v>100</v>
      </c>
      <c r="V12" s="1609" t="s">
        <v>25</v>
      </c>
      <c r="W12" s="1610">
        <f t="shared" si="2"/>
        <v>100</v>
      </c>
      <c r="X12" s="1611"/>
      <c r="Y12" s="3505"/>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614"/>
      <c r="Q13" s="2832">
        <f t="shared" si="6"/>
        <v>111</v>
      </c>
      <c r="R13" s="1609" t="s">
        <v>25</v>
      </c>
      <c r="S13" s="1610">
        <f t="shared" si="0"/>
        <v>100</v>
      </c>
      <c r="T13" s="1609" t="s">
        <v>25</v>
      </c>
      <c r="U13" s="1610">
        <f t="shared" si="1"/>
        <v>100</v>
      </c>
      <c r="V13" s="1609" t="s">
        <v>25</v>
      </c>
      <c r="W13" s="1610">
        <f t="shared" si="2"/>
        <v>100</v>
      </c>
      <c r="X13" s="1611"/>
      <c r="Y13" s="3505"/>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614"/>
      <c r="Q14" s="2832">
        <f t="shared" si="6"/>
        <v>111</v>
      </c>
      <c r="R14" s="1609" t="s">
        <v>25</v>
      </c>
      <c r="S14" s="1610">
        <f t="shared" si="0"/>
        <v>100</v>
      </c>
      <c r="T14" s="1609" t="s">
        <v>25</v>
      </c>
      <c r="U14" s="1610">
        <f t="shared" si="1"/>
        <v>100</v>
      </c>
      <c r="V14" s="1609" t="s">
        <v>25</v>
      </c>
      <c r="W14" s="1610">
        <f t="shared" si="2"/>
        <v>100</v>
      </c>
      <c r="X14" s="1611"/>
      <c r="Y14" s="3505"/>
      <c r="Z14" s="1622">
        <f t="shared" si="7"/>
        <v>111</v>
      </c>
      <c r="AA14" s="1612">
        <f t="shared" si="3"/>
        <v>1</v>
      </c>
      <c r="AB14" s="1612">
        <f t="shared" si="4"/>
        <v>1</v>
      </c>
      <c r="AC14" s="1612">
        <f t="shared" si="5"/>
        <v>1</v>
      </c>
    </row>
    <row r="15" spans="1:29" ht="15">
      <c r="A15" s="1646" t="s">
        <v>2029</v>
      </c>
      <c r="B15" s="2411" t="s">
        <v>2144</v>
      </c>
      <c r="C15" s="1902">
        <f>估价对象房地状况!C5</f>
        <v>0</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607" t="s">
        <v>2030</v>
      </c>
      <c r="Q15" s="2833" t="str">
        <f t="shared" si="6"/>
        <v>办公集聚程度</v>
      </c>
      <c r="R15" s="1654" t="s">
        <v>25</v>
      </c>
      <c r="S15" s="1655">
        <f t="shared" si="0"/>
        <v>100</v>
      </c>
      <c r="T15" s="1654" t="s">
        <v>25</v>
      </c>
      <c r="U15" s="1655">
        <f t="shared" si="1"/>
        <v>100</v>
      </c>
      <c r="V15" s="1654" t="s">
        <v>25</v>
      </c>
      <c r="W15" s="1655">
        <f t="shared" si="2"/>
        <v>100</v>
      </c>
      <c r="X15" s="2003"/>
      <c r="Y15" s="3607" t="s">
        <v>2030</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608"/>
      <c r="Q16" s="2833"/>
      <c r="R16" s="1654"/>
      <c r="S16" s="1655"/>
      <c r="T16" s="1654"/>
      <c r="U16" s="1655"/>
      <c r="V16" s="1654"/>
      <c r="W16" s="1655"/>
      <c r="X16" s="2003"/>
      <c r="Y16" s="3608"/>
      <c r="Z16" s="2007"/>
      <c r="AA16" s="1998">
        <v>1</v>
      </c>
      <c r="AB16" s="1998">
        <v>1</v>
      </c>
      <c r="AC16" s="1998">
        <v>1</v>
      </c>
    </row>
    <row r="17" spans="1:29" ht="15">
      <c r="A17" s="1631"/>
      <c r="B17" s="2413" t="s">
        <v>1466</v>
      </c>
      <c r="C17" s="1909" t="str">
        <f>估价对象房地状况!C6</f>
        <v>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608"/>
      <c r="Q17" s="2833" t="str">
        <f>B17</f>
        <v>交通便捷度</v>
      </c>
      <c r="R17" s="1654" t="s">
        <v>25</v>
      </c>
      <c r="S17" s="1655">
        <f>F17</f>
        <v>100</v>
      </c>
      <c r="T17" s="1654" t="s">
        <v>25</v>
      </c>
      <c r="U17" s="1655">
        <f>H17</f>
        <v>100</v>
      </c>
      <c r="V17" s="1654" t="s">
        <v>25</v>
      </c>
      <c r="W17" s="1655">
        <f>J17</f>
        <v>100</v>
      </c>
      <c r="X17" s="2003"/>
      <c r="Y17" s="3608"/>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608"/>
      <c r="Q18" s="2833"/>
      <c r="R18" s="1654"/>
      <c r="S18" s="1655"/>
      <c r="T18" s="1654"/>
      <c r="U18" s="1655"/>
      <c r="V18" s="1654"/>
      <c r="W18" s="1655"/>
      <c r="X18" s="2003"/>
      <c r="Y18" s="3608"/>
      <c r="Z18" s="2007"/>
      <c r="AA18" s="1998">
        <v>1</v>
      </c>
      <c r="AB18" s="1998">
        <v>1</v>
      </c>
      <c r="AC18" s="1998">
        <v>1</v>
      </c>
    </row>
    <row r="19" spans="1:29" ht="15">
      <c r="A19" s="1631"/>
      <c r="B19" s="2413" t="s">
        <v>2145</v>
      </c>
      <c r="C19" s="1909" t="str">
        <f>估价对象房地状况!C7</f>
        <v>较好</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608"/>
      <c r="Q19" s="2833" t="str">
        <f>B19</f>
        <v>公共配套设施</v>
      </c>
      <c r="R19" s="1654" t="s">
        <v>25</v>
      </c>
      <c r="S19" s="1655">
        <f>F19</f>
        <v>100</v>
      </c>
      <c r="T19" s="1654" t="s">
        <v>25</v>
      </c>
      <c r="U19" s="1655">
        <f>H19</f>
        <v>100</v>
      </c>
      <c r="V19" s="1654" t="s">
        <v>25</v>
      </c>
      <c r="W19" s="1655">
        <f>J19</f>
        <v>100</v>
      </c>
      <c r="X19" s="2003"/>
      <c r="Y19" s="3608"/>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608"/>
      <c r="Q20" s="2833"/>
      <c r="R20" s="1654"/>
      <c r="S20" s="1655"/>
      <c r="T20" s="1654"/>
      <c r="U20" s="1655"/>
      <c r="V20" s="1654"/>
      <c r="W20" s="1655"/>
      <c r="X20" s="2003"/>
      <c r="Y20" s="3608"/>
      <c r="Z20" s="2007"/>
      <c r="AA20" s="1998">
        <v>1</v>
      </c>
      <c r="AB20" s="1998">
        <v>1</v>
      </c>
      <c r="AC20" s="1998">
        <v>1</v>
      </c>
    </row>
    <row r="21" spans="1:29" ht="15">
      <c r="A21" s="1631"/>
      <c r="B21" s="2415" t="s">
        <v>2146</v>
      </c>
      <c r="C21" s="1909" t="str">
        <f>估价对象房地状况!C8</f>
        <v>六通</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608"/>
      <c r="Q21" s="2833" t="str">
        <f>B21</f>
        <v>基础设施水平</v>
      </c>
      <c r="R21" s="1654" t="s">
        <v>25</v>
      </c>
      <c r="S21" s="1655">
        <f>F21</f>
        <v>100</v>
      </c>
      <c r="T21" s="1654" t="s">
        <v>25</v>
      </c>
      <c r="U21" s="1655">
        <f>H21</f>
        <v>100</v>
      </c>
      <c r="V21" s="1654" t="s">
        <v>25</v>
      </c>
      <c r="W21" s="1655">
        <f>J21</f>
        <v>100</v>
      </c>
      <c r="X21" s="2003"/>
      <c r="Y21" s="3608"/>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608"/>
      <c r="Q22" s="2833"/>
      <c r="R22" s="1654"/>
      <c r="S22" s="1655"/>
      <c r="T22" s="1654"/>
      <c r="U22" s="1655"/>
      <c r="V22" s="1654"/>
      <c r="W22" s="1655"/>
      <c r="X22" s="2003"/>
      <c r="Y22" s="3608"/>
      <c r="Z22" s="2007"/>
      <c r="AA22" s="1998">
        <v>1</v>
      </c>
      <c r="AB22" s="1998">
        <v>1</v>
      </c>
      <c r="AC22" s="1998">
        <v>1</v>
      </c>
    </row>
    <row r="23" spans="1:29" ht="15">
      <c r="A23" s="1631"/>
      <c r="B23" s="2413" t="s">
        <v>2147</v>
      </c>
      <c r="C23" s="1909" t="str">
        <f>估价对象房地状况!C9</f>
        <v>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608"/>
      <c r="Q23" s="2833" t="str">
        <f>B23</f>
        <v>环境质量</v>
      </c>
      <c r="R23" s="1654" t="s">
        <v>25</v>
      </c>
      <c r="S23" s="1655">
        <f>F23</f>
        <v>100</v>
      </c>
      <c r="T23" s="1654" t="s">
        <v>25</v>
      </c>
      <c r="U23" s="1655">
        <f>H23</f>
        <v>100</v>
      </c>
      <c r="V23" s="1654" t="s">
        <v>25</v>
      </c>
      <c r="W23" s="1655">
        <f>J23</f>
        <v>100</v>
      </c>
      <c r="X23" s="2003"/>
      <c r="Y23" s="3608"/>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608"/>
      <c r="Q24" s="2833"/>
      <c r="R24" s="1654"/>
      <c r="S24" s="1655"/>
      <c r="T24" s="1654"/>
      <c r="U24" s="1655"/>
      <c r="V24" s="1654"/>
      <c r="W24" s="1655"/>
      <c r="X24" s="2003"/>
      <c r="Y24" s="3608"/>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608"/>
      <c r="Q25" s="2833" t="str">
        <f>B25</f>
        <v>毗邻道路的类型与等级</v>
      </c>
      <c r="R25" s="1654" t="s">
        <v>25</v>
      </c>
      <c r="S25" s="1655">
        <f>F25</f>
        <v>100</v>
      </c>
      <c r="T25" s="1654" t="s">
        <v>25</v>
      </c>
      <c r="U25" s="1655">
        <f>H25</f>
        <v>100</v>
      </c>
      <c r="V25" s="1654" t="s">
        <v>25</v>
      </c>
      <c r="W25" s="1655">
        <f>J25</f>
        <v>100</v>
      </c>
      <c r="X25" s="2003"/>
      <c r="Y25" s="3608"/>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608"/>
      <c r="Q26" s="2833"/>
      <c r="R26" s="1654"/>
      <c r="S26" s="1655"/>
      <c r="T26" s="1654"/>
      <c r="U26" s="1655"/>
      <c r="V26" s="1654"/>
      <c r="W26" s="1655"/>
      <c r="X26" s="2003"/>
      <c r="Y26" s="3608"/>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19"/>
      <c r="M27" s="2915"/>
      <c r="N27" s="2915"/>
      <c r="O27" s="2915"/>
      <c r="P27" s="3608"/>
      <c r="Q27" s="2833" t="str">
        <f t="shared" ref="Q27:Q47" si="11">B27</f>
        <v>楼层</v>
      </c>
      <c r="R27" s="1654" t="s">
        <v>25</v>
      </c>
      <c r="S27" s="1655">
        <f>F27</f>
        <v>100</v>
      </c>
      <c r="T27" s="1654" t="s">
        <v>25</v>
      </c>
      <c r="U27" s="1655">
        <f>H27</f>
        <v>100</v>
      </c>
      <c r="V27" s="1654" t="s">
        <v>25</v>
      </c>
      <c r="W27" s="1655">
        <f>J27</f>
        <v>100</v>
      </c>
      <c r="X27" s="2003"/>
      <c r="Y27" s="3608"/>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608"/>
      <c r="Q28" s="2832" t="str">
        <f t="shared" si="11"/>
        <v>朝向</v>
      </c>
      <c r="R28" s="1609" t="s">
        <v>25</v>
      </c>
      <c r="S28" s="1610">
        <f>F28</f>
        <v>100</v>
      </c>
      <c r="T28" s="1609" t="s">
        <v>25</v>
      </c>
      <c r="U28" s="1610">
        <f>H28</f>
        <v>100</v>
      </c>
      <c r="V28" s="1609" t="s">
        <v>25</v>
      </c>
      <c r="W28" s="1610">
        <f>J28</f>
        <v>100</v>
      </c>
      <c r="X28" s="1611"/>
      <c r="Y28" s="3608"/>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608"/>
      <c r="Q29" s="2833">
        <f t="shared" si="11"/>
        <v>111</v>
      </c>
      <c r="R29" s="1654" t="s">
        <v>25</v>
      </c>
      <c r="S29" s="1655">
        <f t="shared" ref="S29:S47" si="12">F29</f>
        <v>100</v>
      </c>
      <c r="T29" s="1654" t="s">
        <v>25</v>
      </c>
      <c r="U29" s="1655">
        <f t="shared" ref="U29:U47" si="13">H29</f>
        <v>100</v>
      </c>
      <c r="V29" s="1654" t="s">
        <v>25</v>
      </c>
      <c r="W29" s="1655">
        <f t="shared" ref="W29:W47" si="14">J29</f>
        <v>100</v>
      </c>
      <c r="X29" s="2003"/>
      <c r="Y29" s="3608"/>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608"/>
      <c r="Q30" s="2833">
        <f t="shared" si="11"/>
        <v>111</v>
      </c>
      <c r="R30" s="1654" t="s">
        <v>25</v>
      </c>
      <c r="S30" s="1655">
        <f t="shared" si="12"/>
        <v>100</v>
      </c>
      <c r="T30" s="1654" t="s">
        <v>25</v>
      </c>
      <c r="U30" s="1655">
        <f t="shared" si="13"/>
        <v>100</v>
      </c>
      <c r="V30" s="1654" t="s">
        <v>25</v>
      </c>
      <c r="W30" s="1655">
        <f t="shared" si="14"/>
        <v>100</v>
      </c>
      <c r="X30" s="2003"/>
      <c r="Y30" s="3608"/>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608"/>
      <c r="Q31" s="2833">
        <f t="shared" si="11"/>
        <v>111</v>
      </c>
      <c r="R31" s="1654" t="s">
        <v>25</v>
      </c>
      <c r="S31" s="1655">
        <f t="shared" si="12"/>
        <v>100</v>
      </c>
      <c r="T31" s="1654" t="s">
        <v>25</v>
      </c>
      <c r="U31" s="1655">
        <f t="shared" si="13"/>
        <v>100</v>
      </c>
      <c r="V31" s="1654" t="s">
        <v>25</v>
      </c>
      <c r="W31" s="1655">
        <f t="shared" si="14"/>
        <v>100</v>
      </c>
      <c r="X31" s="2003"/>
      <c r="Y31" s="3608"/>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608"/>
      <c r="Q32" s="2833">
        <f t="shared" si="11"/>
        <v>111</v>
      </c>
      <c r="R32" s="1654" t="s">
        <v>25</v>
      </c>
      <c r="S32" s="1655">
        <f t="shared" si="12"/>
        <v>100</v>
      </c>
      <c r="T32" s="1654" t="s">
        <v>25</v>
      </c>
      <c r="U32" s="1655">
        <f t="shared" si="13"/>
        <v>100</v>
      </c>
      <c r="V32" s="1654" t="s">
        <v>25</v>
      </c>
      <c r="W32" s="1655">
        <f t="shared" si="14"/>
        <v>100</v>
      </c>
      <c r="X32" s="2003"/>
      <c r="Y32" s="3608"/>
      <c r="Z32" s="2007">
        <f t="shared" si="15"/>
        <v>111</v>
      </c>
      <c r="AA32" s="1998">
        <f t="shared" si="3"/>
        <v>1</v>
      </c>
      <c r="AB32" s="1998">
        <f t="shared" si="4"/>
        <v>1</v>
      </c>
      <c r="AC32" s="1998">
        <f t="shared" si="5"/>
        <v>1</v>
      </c>
    </row>
    <row r="33" spans="1:29" ht="15">
      <c r="A33" s="1646" t="s">
        <v>2034</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9"/>
      <c r="M33" s="2915"/>
      <c r="N33" s="2915"/>
      <c r="O33" s="2915"/>
      <c r="P33" s="3652" t="s">
        <v>2036</v>
      </c>
      <c r="Q33" s="2833" t="str">
        <f t="shared" si="11"/>
        <v>建筑类型</v>
      </c>
      <c r="R33" s="1654" t="s">
        <v>25</v>
      </c>
      <c r="S33" s="1655">
        <f t="shared" si="12"/>
        <v>100</v>
      </c>
      <c r="T33" s="1654" t="s">
        <v>25</v>
      </c>
      <c r="U33" s="1655">
        <f t="shared" si="13"/>
        <v>100</v>
      </c>
      <c r="V33" s="1654" t="s">
        <v>25</v>
      </c>
      <c r="W33" s="1655">
        <f t="shared" si="14"/>
        <v>100</v>
      </c>
      <c r="X33" s="2003"/>
      <c r="Y33" s="3612" t="s">
        <v>2036</v>
      </c>
      <c r="Z33" s="2007" t="str">
        <f t="shared" si="15"/>
        <v>建筑类型</v>
      </c>
      <c r="AA33" s="1998">
        <f t="shared" si="3"/>
        <v>1</v>
      </c>
      <c r="AB33" s="1998">
        <f t="shared" si="4"/>
        <v>1</v>
      </c>
      <c r="AC33" s="1998">
        <f t="shared" si="5"/>
        <v>1</v>
      </c>
    </row>
    <row r="34" spans="1:29" s="1700" customFormat="1" ht="15">
      <c r="A34" s="1693"/>
      <c r="B34" s="1624" t="s">
        <v>2037</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8"/>
      <c r="M34" s="1988"/>
      <c r="N34" s="1988"/>
      <c r="O34" s="1988"/>
      <c r="P34" s="3612"/>
      <c r="Q34" s="1695" t="str">
        <f t="shared" si="11"/>
        <v>项目建筑规模</v>
      </c>
      <c r="R34" s="1696" t="s">
        <v>25</v>
      </c>
      <c r="S34" s="1697" t="e">
        <f t="shared" si="12"/>
        <v>#N/A</v>
      </c>
      <c r="T34" s="1696" t="s">
        <v>25</v>
      </c>
      <c r="U34" s="1697" t="e">
        <f t="shared" si="13"/>
        <v>#N/A</v>
      </c>
      <c r="V34" s="1696" t="s">
        <v>25</v>
      </c>
      <c r="W34" s="1697" t="e">
        <f t="shared" si="14"/>
        <v>#N/A</v>
      </c>
      <c r="X34" s="1698"/>
      <c r="Y34" s="3612"/>
      <c r="Z34" s="1699" t="str">
        <f t="shared" si="15"/>
        <v>项目建筑规模</v>
      </c>
      <c r="AA34" s="1998" t="e">
        <f t="shared" si="3"/>
        <v>#N/A</v>
      </c>
      <c r="AB34" s="1998" t="e">
        <f t="shared" si="4"/>
        <v>#N/A</v>
      </c>
      <c r="AC34" s="1998" t="e">
        <f t="shared" si="5"/>
        <v>#N/A</v>
      </c>
    </row>
    <row r="35" spans="1:29" ht="15">
      <c r="A35" s="1701"/>
      <c r="B35" s="1624" t="s">
        <v>2038</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612"/>
      <c r="Q35" s="2833" t="str">
        <f t="shared" si="11"/>
        <v>建筑结构</v>
      </c>
      <c r="R35" s="1654" t="s">
        <v>25</v>
      </c>
      <c r="S35" s="1655">
        <f t="shared" si="12"/>
        <v>100</v>
      </c>
      <c r="T35" s="1654" t="s">
        <v>25</v>
      </c>
      <c r="U35" s="1655">
        <f t="shared" si="13"/>
        <v>100</v>
      </c>
      <c r="V35" s="1654" t="s">
        <v>25</v>
      </c>
      <c r="W35" s="1655">
        <f t="shared" si="14"/>
        <v>100</v>
      </c>
      <c r="X35" s="2003"/>
      <c r="Y35" s="3612"/>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612"/>
      <c r="Q36" s="2833" t="str">
        <f t="shared" si="11"/>
        <v>公共部分装修</v>
      </c>
      <c r="R36" s="1654" t="s">
        <v>25</v>
      </c>
      <c r="S36" s="1655">
        <f t="shared" si="12"/>
        <v>100</v>
      </c>
      <c r="T36" s="1654" t="s">
        <v>25</v>
      </c>
      <c r="U36" s="1655">
        <f t="shared" si="13"/>
        <v>100</v>
      </c>
      <c r="V36" s="1654" t="s">
        <v>25</v>
      </c>
      <c r="W36" s="1655">
        <f t="shared" si="14"/>
        <v>100</v>
      </c>
      <c r="X36" s="2003"/>
      <c r="Y36" s="3612"/>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9"/>
      <c r="M37" s="2915"/>
      <c r="N37" s="2915"/>
      <c r="O37" s="2915"/>
      <c r="P37" s="3612"/>
      <c r="Q37" s="2833" t="str">
        <f t="shared" si="11"/>
        <v>成新度</v>
      </c>
      <c r="R37" s="1654" t="s">
        <v>25</v>
      </c>
      <c r="S37" s="1655" t="e">
        <f t="shared" si="12"/>
        <v>#N/A</v>
      </c>
      <c r="T37" s="1654" t="s">
        <v>25</v>
      </c>
      <c r="U37" s="1655" t="e">
        <f t="shared" si="13"/>
        <v>#N/A</v>
      </c>
      <c r="V37" s="1654" t="s">
        <v>25</v>
      </c>
      <c r="W37" s="1655" t="e">
        <f t="shared" si="14"/>
        <v>#N/A</v>
      </c>
      <c r="X37" s="2003"/>
      <c r="Y37" s="3612"/>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612"/>
      <c r="Q38" s="2832" t="str">
        <f t="shared" si="11"/>
        <v>写字楼等级</v>
      </c>
      <c r="R38" s="1609" t="s">
        <v>25</v>
      </c>
      <c r="S38" s="1610">
        <f t="shared" si="12"/>
        <v>100</v>
      </c>
      <c r="T38" s="1609" t="s">
        <v>25</v>
      </c>
      <c r="U38" s="1610">
        <f t="shared" si="13"/>
        <v>100</v>
      </c>
      <c r="V38" s="1609" t="s">
        <v>25</v>
      </c>
      <c r="W38" s="1610">
        <f t="shared" si="14"/>
        <v>100</v>
      </c>
      <c r="X38" s="1611"/>
      <c r="Y38" s="3612"/>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612" t="s">
        <v>2036</v>
      </c>
      <c r="Q39" s="2833" t="str">
        <f t="shared" si="11"/>
        <v>物业管理</v>
      </c>
      <c r="R39" s="1654" t="s">
        <v>25</v>
      </c>
      <c r="S39" s="1655">
        <f t="shared" si="12"/>
        <v>100</v>
      </c>
      <c r="T39" s="1654" t="s">
        <v>25</v>
      </c>
      <c r="U39" s="1655">
        <f t="shared" si="13"/>
        <v>100</v>
      </c>
      <c r="V39" s="1654" t="s">
        <v>25</v>
      </c>
      <c r="W39" s="1655">
        <f t="shared" si="14"/>
        <v>100</v>
      </c>
      <c r="X39" s="2003"/>
      <c r="Y39" s="3612" t="s">
        <v>2036</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612"/>
      <c r="Q40" s="2833" t="str">
        <f t="shared" si="11"/>
        <v>市政基础设施</v>
      </c>
      <c r="R40" s="1654" t="s">
        <v>25</v>
      </c>
      <c r="S40" s="1655">
        <f t="shared" si="12"/>
        <v>100</v>
      </c>
      <c r="T40" s="1654" t="s">
        <v>25</v>
      </c>
      <c r="U40" s="1655">
        <f t="shared" si="13"/>
        <v>100</v>
      </c>
      <c r="V40" s="1654" t="s">
        <v>25</v>
      </c>
      <c r="W40" s="1655">
        <f t="shared" si="14"/>
        <v>100</v>
      </c>
      <c r="X40" s="2003"/>
      <c r="Y40" s="3612"/>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612"/>
      <c r="Q41" s="2833" t="str">
        <f t="shared" si="11"/>
        <v>层高</v>
      </c>
      <c r="R41" s="1654" t="s">
        <v>25</v>
      </c>
      <c r="S41" s="1655">
        <f t="shared" si="12"/>
        <v>100</v>
      </c>
      <c r="T41" s="1654" t="s">
        <v>25</v>
      </c>
      <c r="U41" s="1655">
        <f t="shared" si="13"/>
        <v>100</v>
      </c>
      <c r="V41" s="1654" t="s">
        <v>25</v>
      </c>
      <c r="W41" s="1655">
        <f t="shared" si="14"/>
        <v>100</v>
      </c>
      <c r="X41" s="2003"/>
      <c r="Y41" s="3612"/>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612"/>
      <c r="Q42" s="1695" t="str">
        <f t="shared" si="11"/>
        <v>单套建筑面积</v>
      </c>
      <c r="R42" s="1696" t="s">
        <v>25</v>
      </c>
      <c r="S42" s="1697">
        <f t="shared" si="12"/>
        <v>100</v>
      </c>
      <c r="T42" s="1696" t="s">
        <v>25</v>
      </c>
      <c r="U42" s="1697">
        <f t="shared" si="13"/>
        <v>100</v>
      </c>
      <c r="V42" s="1696" t="s">
        <v>25</v>
      </c>
      <c r="W42" s="1697">
        <f t="shared" si="14"/>
        <v>100</v>
      </c>
      <c r="X42" s="1698"/>
      <c r="Y42" s="3612"/>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612"/>
      <c r="Q43" s="2833" t="str">
        <f t="shared" si="11"/>
        <v>内部装修</v>
      </c>
      <c r="R43" s="1654" t="s">
        <v>25</v>
      </c>
      <c r="S43" s="1655">
        <f t="shared" si="12"/>
        <v>100</v>
      </c>
      <c r="T43" s="1654" t="s">
        <v>25</v>
      </c>
      <c r="U43" s="1655">
        <f t="shared" si="13"/>
        <v>100</v>
      </c>
      <c r="V43" s="1654" t="s">
        <v>25</v>
      </c>
      <c r="W43" s="1655">
        <f t="shared" si="14"/>
        <v>100</v>
      </c>
      <c r="X43" s="2003"/>
      <c r="Y43" s="3612"/>
      <c r="Z43" s="2007" t="str">
        <f t="shared" si="15"/>
        <v>内部装修</v>
      </c>
      <c r="AA43" s="1998">
        <f t="shared" si="3"/>
        <v>1</v>
      </c>
      <c r="AB43" s="1998">
        <f t="shared" si="4"/>
        <v>1</v>
      </c>
      <c r="AC43" s="1998">
        <f t="shared" si="5"/>
        <v>1</v>
      </c>
    </row>
    <row r="44" spans="1:29" ht="15">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612"/>
      <c r="Q44" s="2833" t="str">
        <f t="shared" si="11"/>
        <v>内部装修维护情况</v>
      </c>
      <c r="R44" s="1654" t="s">
        <v>25</v>
      </c>
      <c r="S44" s="1655">
        <f t="shared" si="12"/>
        <v>100</v>
      </c>
      <c r="T44" s="1654" t="s">
        <v>25</v>
      </c>
      <c r="U44" s="1655">
        <f t="shared" si="13"/>
        <v>100</v>
      </c>
      <c r="V44" s="1654" t="s">
        <v>25</v>
      </c>
      <c r="W44" s="1655">
        <f t="shared" si="14"/>
        <v>100</v>
      </c>
      <c r="X44" s="2003"/>
      <c r="Y44" s="3612"/>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612"/>
      <c r="Q45" s="2832">
        <f t="shared" si="11"/>
        <v>111</v>
      </c>
      <c r="R45" s="1609" t="s">
        <v>25</v>
      </c>
      <c r="S45" s="1610">
        <f t="shared" si="12"/>
        <v>100</v>
      </c>
      <c r="T45" s="1609" t="s">
        <v>25</v>
      </c>
      <c r="U45" s="1610">
        <f t="shared" si="13"/>
        <v>100</v>
      </c>
      <c r="V45" s="1609" t="s">
        <v>25</v>
      </c>
      <c r="W45" s="1610">
        <f t="shared" si="14"/>
        <v>100</v>
      </c>
      <c r="X45" s="1611"/>
      <c r="Y45" s="3612"/>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612"/>
      <c r="Q46" s="2833">
        <f t="shared" si="11"/>
        <v>111</v>
      </c>
      <c r="R46" s="1654" t="s">
        <v>25</v>
      </c>
      <c r="S46" s="1655">
        <f t="shared" si="12"/>
        <v>100</v>
      </c>
      <c r="T46" s="1654" t="s">
        <v>25</v>
      </c>
      <c r="U46" s="1655">
        <f t="shared" si="13"/>
        <v>100</v>
      </c>
      <c r="V46" s="1654" t="s">
        <v>25</v>
      </c>
      <c r="W46" s="1655">
        <f t="shared" si="14"/>
        <v>100</v>
      </c>
      <c r="X46" s="2003"/>
      <c r="Y46" s="3612"/>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613"/>
      <c r="Q47" s="2833">
        <f t="shared" si="11"/>
        <v>111</v>
      </c>
      <c r="R47" s="1654" t="s">
        <v>25</v>
      </c>
      <c r="S47" s="1655">
        <f t="shared" si="12"/>
        <v>100</v>
      </c>
      <c r="T47" s="1654" t="s">
        <v>25</v>
      </c>
      <c r="U47" s="1655">
        <f t="shared" si="13"/>
        <v>100</v>
      </c>
      <c r="V47" s="1654" t="s">
        <v>25</v>
      </c>
      <c r="W47" s="1655">
        <f t="shared" si="14"/>
        <v>100</v>
      </c>
      <c r="X47" s="2003"/>
      <c r="Y47" s="3613"/>
      <c r="Z47" s="2007">
        <f t="shared" si="15"/>
        <v>111</v>
      </c>
      <c r="AA47" s="1998">
        <f t="shared" si="3"/>
        <v>1</v>
      </c>
      <c r="AB47" s="1998">
        <f t="shared" si="4"/>
        <v>1</v>
      </c>
      <c r="AC47" s="1998">
        <f t="shared" si="5"/>
        <v>1</v>
      </c>
    </row>
    <row r="48" spans="1:29" ht="15">
      <c r="A48" s="1710" t="s">
        <v>2048</v>
      </c>
      <c r="B48" s="1711"/>
      <c r="C48" s="1712" t="s">
        <v>1</v>
      </c>
      <c r="D48" s="1713"/>
      <c r="E48" s="1714"/>
      <c r="F48" s="1715"/>
      <c r="G48" s="1716"/>
      <c r="H48" s="1717"/>
      <c r="I48" s="1714"/>
      <c r="J48" s="1717"/>
      <c r="K48" s="1942"/>
      <c r="L48" s="2920"/>
      <c r="M48" s="2915"/>
      <c r="N48" s="2915"/>
      <c r="O48" s="2915"/>
      <c r="P48" s="3614" t="str">
        <f>A48</f>
        <v>成交单价（元/平方米）</v>
      </c>
      <c r="Q48" s="3614"/>
      <c r="R48" s="3615">
        <f>E48</f>
        <v>0</v>
      </c>
      <c r="S48" s="3615"/>
      <c r="T48" s="3615">
        <f>G48</f>
        <v>0</v>
      </c>
      <c r="U48" s="3615"/>
      <c r="V48" s="3615">
        <f>I48</f>
        <v>0</v>
      </c>
      <c r="W48" s="3615"/>
      <c r="X48" s="1720"/>
      <c r="Y48" s="2002"/>
      <c r="Z48" s="1720"/>
      <c r="AA48" s="1720"/>
      <c r="AB48" s="1720"/>
      <c r="AC48" s="1720"/>
    </row>
    <row r="49" spans="1:29" ht="15.75" thickBot="1">
      <c r="A49" s="1722" t="s">
        <v>2131</v>
      </c>
      <c r="B49" s="1723"/>
      <c r="C49" s="1724" t="e">
        <f>R50</f>
        <v>#DIV/0!</v>
      </c>
      <c r="D49" s="1725" t="s">
        <v>2499</v>
      </c>
      <c r="E49" s="1726" t="e">
        <f>R49</f>
        <v>#DIV/0!</v>
      </c>
      <c r="F49" s="1727"/>
      <c r="G49" s="1724" t="e">
        <f>T49</f>
        <v>#DIV/0!</v>
      </c>
      <c r="H49" s="1727"/>
      <c r="I49" s="1726" t="e">
        <f>V49</f>
        <v>#DIV/0!</v>
      </c>
      <c r="J49" s="1727"/>
      <c r="K49" s="2429">
        <f>F49+H49+J49</f>
        <v>0</v>
      </c>
      <c r="L49" s="2920"/>
      <c r="M49" s="2915"/>
      <c r="N49" s="2915"/>
      <c r="O49" s="2915"/>
      <c r="P49" s="3614" t="str">
        <f>A49</f>
        <v>比较价值（元/平方米）</v>
      </c>
      <c r="Q49" s="3614"/>
      <c r="R49" s="3615" t="e">
        <f>IF(E1="售价",ROUND(PRODUCT(R48,AA7:AA47),0),ROUND(PRODUCT(R48,AA7:AA47),1))</f>
        <v>#DIV/0!</v>
      </c>
      <c r="S49" s="3615"/>
      <c r="T49" s="3615" t="e">
        <f>IF(E1="售价",ROUND(PRODUCT(T48,AB7:AB47),0),ROUND(PRODUCT(T48,AB7:AB47),1))</f>
        <v>#DIV/0!</v>
      </c>
      <c r="U49" s="3615"/>
      <c r="V49" s="3615" t="e">
        <f>IF(E1="售价",ROUND(PRODUCT(V48,AC7:AC47),0),ROUND(PRODUCT(V48,AC7:AC47),1))</f>
        <v>#DIV/0!</v>
      </c>
      <c r="W49" s="3615"/>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0"/>
      <c r="M50" s="2915"/>
      <c r="N50" s="2915"/>
      <c r="O50" s="2915"/>
      <c r="P50" s="3616" t="str">
        <f>A50</f>
        <v>估价对象XX用房的比较价值（楼面单价，元/平方米）</v>
      </c>
      <c r="Q50" s="3617"/>
      <c r="R50" s="3618" t="e">
        <f>IF(E1="售价",ROUND(IF(D49="简单平均",AVERAGE(R49:V49),R49*F49+T49*H49+V49*J49),0),ROUND(IF(D49="简单平均",AVERAGE(R49:V49),R49*F49+T49*H49+V49*J49),1))</f>
        <v>#DIV/0!</v>
      </c>
      <c r="S50" s="3618"/>
      <c r="T50" s="3618"/>
      <c r="U50" s="3618"/>
      <c r="V50" s="3618"/>
      <c r="W50" s="3618"/>
      <c r="X50" s="1720"/>
      <c r="Y50" s="1720"/>
      <c r="Z50" s="1720"/>
      <c r="AA50" s="1720"/>
      <c r="AB50" s="1720"/>
      <c r="AC50" s="1720"/>
    </row>
    <row r="51" spans="1:29">
      <c r="G51" s="2924"/>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7"/>
      <c r="L55" s="2921"/>
    </row>
    <row r="56" spans="1:29" s="1742" customFormat="1">
      <c r="B56" s="2925"/>
      <c r="C56" s="2926"/>
      <c r="K56" s="2927"/>
      <c r="L56" s="2921"/>
    </row>
    <row r="57" spans="1:29">
      <c r="B57" s="2925"/>
      <c r="C57" s="2926"/>
    </row>
    <row r="58" spans="1:29" ht="21.75" thickBot="1">
      <c r="A58" s="1745" t="s">
        <v>2136</v>
      </c>
      <c r="B58" s="1720"/>
      <c r="C58" s="1746"/>
      <c r="D58" s="1746"/>
      <c r="E58" s="1746"/>
      <c r="F58" s="1746"/>
      <c r="G58" s="1746"/>
      <c r="H58" s="1746"/>
      <c r="I58" s="1746"/>
      <c r="J58" s="1746"/>
      <c r="K58" s="1747"/>
      <c r="L58" s="1748"/>
      <c r="M58" s="1746"/>
      <c r="N58" s="2923"/>
      <c r="O58" s="2923"/>
      <c r="P58" s="1974"/>
      <c r="Q58" s="1750"/>
    </row>
    <row r="59" spans="1:29" s="1756" customFormat="1" ht="15">
      <c r="A59" s="1751" t="s">
        <v>2018</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2059</v>
      </c>
      <c r="B64" s="1776" t="s">
        <v>2024</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2028</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c r="D69" s="1796"/>
      <c r="E69" s="1796"/>
      <c r="F69" s="1796"/>
      <c r="G69" s="1796"/>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2157</v>
      </c>
      <c r="C87" s="468"/>
      <c r="D87" s="468"/>
      <c r="E87" s="468"/>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75" thickTop="1">
      <c r="A89" s="1818"/>
      <c r="B89" s="1787" t="str">
        <f>B27</f>
        <v>楼层</v>
      </c>
      <c r="C89" s="468"/>
      <c r="D89" s="468"/>
      <c r="E89" s="468"/>
      <c r="F89" s="1821"/>
      <c r="G89" s="468"/>
      <c r="H89" s="468"/>
      <c r="I89" s="468"/>
      <c r="J89" s="468"/>
      <c r="K89" s="468"/>
      <c r="L89" s="468"/>
      <c r="M89" s="1819"/>
      <c r="N89" s="2932"/>
      <c r="O89" s="2932"/>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2034</v>
      </c>
      <c r="B101" s="1776" t="s">
        <v>2083</v>
      </c>
      <c r="C101" s="1778"/>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c r="D104" s="1830"/>
      <c r="E104" s="1830"/>
      <c r="F104" s="1830"/>
      <c r="G104" s="1830"/>
      <c r="H104" s="1830"/>
      <c r="I104" s="1830"/>
      <c r="J104" s="485"/>
      <c r="K104" s="485"/>
      <c r="L104" s="485"/>
      <c r="M104" s="1831"/>
      <c r="N104" s="2935"/>
      <c r="O104" s="2935"/>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4"/>
      <c r="O105" s="2934"/>
      <c r="P105" s="1987"/>
      <c r="Q105" s="1802"/>
    </row>
    <row r="106" spans="1:17" ht="15" thickTop="1">
      <c r="A106" s="1832"/>
      <c r="B106" s="1787" t="s">
        <v>2085</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2087</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2089</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2090</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4" t="s">
        <v>2159</v>
      </c>
      <c r="C119" s="1506"/>
      <c r="D119" s="1506"/>
      <c r="E119" s="1506"/>
      <c r="F119" s="1506"/>
      <c r="G119" s="1506"/>
      <c r="H119" s="1506"/>
      <c r="I119" s="1506"/>
      <c r="J119" s="1506"/>
      <c r="K119" s="1506"/>
      <c r="L119" s="1506"/>
      <c r="M119" s="2425"/>
      <c r="N119" s="2934"/>
      <c r="O119" s="2934"/>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2092</v>
      </c>
      <c r="C123" s="468"/>
      <c r="D123" s="468"/>
      <c r="E123" s="468"/>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829.41000000000008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2"/>
      <c r="M4" s="2943"/>
      <c r="N4" s="2943"/>
      <c r="O4" s="2943"/>
      <c r="P4" s="3669" t="s">
        <v>2011</v>
      </c>
      <c r="Q4" s="3670"/>
      <c r="R4" s="3675" t="s">
        <v>2007</v>
      </c>
      <c r="S4" s="3676"/>
      <c r="T4" s="3675" t="s">
        <v>2008</v>
      </c>
      <c r="U4" s="3676"/>
      <c r="V4" s="3681" t="s">
        <v>2009</v>
      </c>
      <c r="W4" s="3681"/>
      <c r="X4" s="1263"/>
      <c r="Y4" s="3675" t="s">
        <v>2011</v>
      </c>
      <c r="Z4" s="3676"/>
      <c r="AA4" s="3662" t="s">
        <v>2007</v>
      </c>
      <c r="AB4" s="3663" t="s">
        <v>2008</v>
      </c>
      <c r="AC4" s="3662" t="s">
        <v>2009</v>
      </c>
    </row>
    <row r="5" spans="1:29" ht="15">
      <c r="A5" s="297"/>
      <c r="B5" s="298"/>
      <c r="C5" s="3658" t="s">
        <v>2012</v>
      </c>
      <c r="D5" s="3659"/>
      <c r="E5" s="3682" t="s">
        <v>2013</v>
      </c>
      <c r="F5" s="3683"/>
      <c r="G5" s="3658" t="s">
        <v>2014</v>
      </c>
      <c r="H5" s="3659"/>
      <c r="I5" s="3658" t="s">
        <v>2015</v>
      </c>
      <c r="J5" s="3659"/>
      <c r="K5" s="496"/>
      <c r="L5" s="2942"/>
      <c r="M5" s="2943"/>
      <c r="N5" s="2943"/>
      <c r="O5" s="2943"/>
      <c r="P5" s="3671"/>
      <c r="Q5" s="3672"/>
      <c r="R5" s="3677"/>
      <c r="S5" s="3678"/>
      <c r="T5" s="3677"/>
      <c r="U5" s="3678"/>
      <c r="V5" s="3681"/>
      <c r="W5" s="3681"/>
      <c r="X5" s="1263"/>
      <c r="Y5" s="3677"/>
      <c r="Z5" s="3678"/>
      <c r="AA5" s="3663"/>
      <c r="AB5" s="3663"/>
      <c r="AC5" s="3663"/>
    </row>
    <row r="6" spans="1:29" ht="15.75" thickBot="1">
      <c r="A6" s="299"/>
      <c r="B6" s="300"/>
      <c r="C6" s="3655" t="s">
        <v>2016</v>
      </c>
      <c r="D6" s="3656"/>
      <c r="E6" s="3653" t="s">
        <v>2016</v>
      </c>
      <c r="F6" s="3654"/>
      <c r="G6" s="3655" t="s">
        <v>2016</v>
      </c>
      <c r="H6" s="3656"/>
      <c r="I6" s="3655" t="s">
        <v>2016</v>
      </c>
      <c r="J6" s="3656"/>
      <c r="K6" s="496" t="s">
        <v>2017</v>
      </c>
      <c r="L6" s="2942"/>
      <c r="M6" s="2943"/>
      <c r="N6" s="2943"/>
      <c r="O6" s="2943"/>
      <c r="P6" s="3673"/>
      <c r="Q6" s="3674"/>
      <c r="R6" s="3677"/>
      <c r="S6" s="3678"/>
      <c r="T6" s="3679"/>
      <c r="U6" s="3680"/>
      <c r="V6" s="3681"/>
      <c r="W6" s="3681"/>
      <c r="X6" s="1263"/>
      <c r="Y6" s="3679"/>
      <c r="Z6" s="3680"/>
      <c r="AA6" s="3664"/>
      <c r="AB6" s="3664"/>
      <c r="AC6" s="3664"/>
    </row>
    <row r="7" spans="1:29" s="25" customFormat="1" ht="15.75" thickBot="1">
      <c r="A7" s="301" t="s">
        <v>2018</v>
      </c>
      <c r="B7" s="302"/>
      <c r="C7" s="303">
        <f>'数据-取费表'!B2</f>
        <v>44776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60" t="s">
        <v>2019</v>
      </c>
      <c r="Q7" s="3684"/>
      <c r="R7" s="627" t="s">
        <v>25</v>
      </c>
      <c r="S7" s="628">
        <f t="shared" ref="S7:S15" si="0">F7</f>
        <v>0</v>
      </c>
      <c r="T7" s="627" t="s">
        <v>25</v>
      </c>
      <c r="U7" s="628">
        <f t="shared" ref="U7:U15" si="1">H7</f>
        <v>0</v>
      </c>
      <c r="V7" s="627" t="s">
        <v>25</v>
      </c>
      <c r="W7" s="628">
        <f t="shared" ref="W7:W15" si="2">J7</f>
        <v>0</v>
      </c>
      <c r="X7" s="629"/>
      <c r="Y7" s="3660" t="s">
        <v>2019</v>
      </c>
      <c r="Z7" s="3661"/>
      <c r="AA7" s="630" t="e">
        <f>D7/F7</f>
        <v>#DIV/0!</v>
      </c>
      <c r="AB7" s="630" t="e">
        <f>D7/H7</f>
        <v>#DIV/0!</v>
      </c>
      <c r="AC7" s="630" t="e">
        <f>D7/J7</f>
        <v>#DIV/0!</v>
      </c>
    </row>
    <row r="8" spans="1:29" s="25" customFormat="1" ht="15.75" thickBot="1">
      <c r="A8" s="301" t="s">
        <v>2020</v>
      </c>
      <c r="B8" s="302"/>
      <c r="C8" s="307" t="s">
        <v>2626</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60" t="s">
        <v>2022</v>
      </c>
      <c r="Q8" s="3661"/>
      <c r="R8" s="627" t="s">
        <v>25</v>
      </c>
      <c r="S8" s="628">
        <f t="shared" si="0"/>
        <v>0</v>
      </c>
      <c r="T8" s="627" t="s">
        <v>25</v>
      </c>
      <c r="U8" s="628">
        <f t="shared" si="1"/>
        <v>0</v>
      </c>
      <c r="V8" s="627" t="s">
        <v>25</v>
      </c>
      <c r="W8" s="628">
        <f t="shared" si="2"/>
        <v>0</v>
      </c>
      <c r="X8" s="629"/>
      <c r="Y8" s="3660" t="s">
        <v>2022</v>
      </c>
      <c r="Z8" s="3661"/>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57" t="s">
        <v>2025</v>
      </c>
      <c r="Q9" s="1255" t="str">
        <f t="shared" ref="Q9:Q15" si="6">B9</f>
        <v>用途</v>
      </c>
      <c r="R9" s="627" t="s">
        <v>25</v>
      </c>
      <c r="S9" s="628">
        <f t="shared" si="0"/>
        <v>100</v>
      </c>
      <c r="T9" s="627" t="s">
        <v>25</v>
      </c>
      <c r="U9" s="628">
        <f t="shared" si="1"/>
        <v>100</v>
      </c>
      <c r="V9" s="627" t="s">
        <v>25</v>
      </c>
      <c r="W9" s="628">
        <f t="shared" si="2"/>
        <v>100</v>
      </c>
      <c r="X9" s="629"/>
      <c r="Y9" s="3687"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57"/>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57"/>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15">
      <c r="A15" s="329" t="s">
        <v>2029</v>
      </c>
      <c r="B15" s="22" t="s">
        <v>2161</v>
      </c>
      <c r="C15" s="1509">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85" t="s">
        <v>2030</v>
      </c>
      <c r="Q15" s="1262" t="str">
        <f t="shared" si="6"/>
        <v>产业集聚程度</v>
      </c>
      <c r="R15" s="631" t="s">
        <v>25</v>
      </c>
      <c r="S15" s="632">
        <f t="shared" si="0"/>
        <v>100</v>
      </c>
      <c r="T15" s="631" t="s">
        <v>25</v>
      </c>
      <c r="U15" s="632">
        <f t="shared" si="1"/>
        <v>100</v>
      </c>
      <c r="V15" s="631" t="s">
        <v>25</v>
      </c>
      <c r="W15" s="632">
        <f t="shared" si="2"/>
        <v>100</v>
      </c>
      <c r="X15" s="1263"/>
      <c r="Y15" s="3685"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86"/>
      <c r="Q16" s="1262"/>
      <c r="R16" s="631"/>
      <c r="S16" s="632"/>
      <c r="T16" s="631"/>
      <c r="U16" s="632"/>
      <c r="V16" s="631"/>
      <c r="W16" s="632"/>
      <c r="X16" s="1263"/>
      <c r="Y16" s="3686"/>
      <c r="Z16" s="1264"/>
      <c r="AA16" s="1265">
        <v>1</v>
      </c>
      <c r="AB16" s="1265">
        <v>1</v>
      </c>
      <c r="AC16" s="1265">
        <v>1</v>
      </c>
    </row>
    <row r="17" spans="1:29" ht="15">
      <c r="A17" s="318"/>
      <c r="B17" s="340" t="s">
        <v>1466</v>
      </c>
      <c r="C17" s="1495">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86"/>
      <c r="Q18" s="1262"/>
      <c r="R18" s="631"/>
      <c r="S18" s="632"/>
      <c r="T18" s="631"/>
      <c r="U18" s="632"/>
      <c r="V18" s="631"/>
      <c r="W18" s="632"/>
      <c r="X18" s="1263"/>
      <c r="Y18" s="3686"/>
      <c r="Z18" s="1264"/>
      <c r="AA18" s="1265">
        <v>1</v>
      </c>
      <c r="AB18" s="1265">
        <v>1</v>
      </c>
      <c r="AC18" s="1265">
        <v>1</v>
      </c>
    </row>
    <row r="19" spans="1:29" ht="15">
      <c r="A19" s="318"/>
      <c r="B19" s="513" t="s">
        <v>2145</v>
      </c>
      <c r="C19" s="1495">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86"/>
      <c r="Q19" s="1262" t="str">
        <f>B19</f>
        <v>公共配套设施</v>
      </c>
      <c r="R19" s="631" t="s">
        <v>25</v>
      </c>
      <c r="S19" s="632">
        <f>F19</f>
        <v>100</v>
      </c>
      <c r="T19" s="631" t="s">
        <v>25</v>
      </c>
      <c r="U19" s="632">
        <f>H19</f>
        <v>100</v>
      </c>
      <c r="V19" s="631" t="s">
        <v>25</v>
      </c>
      <c r="W19" s="632">
        <f>J19</f>
        <v>100</v>
      </c>
      <c r="X19" s="1263"/>
      <c r="Y19" s="368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86"/>
      <c r="Q20" s="1262"/>
      <c r="R20" s="631"/>
      <c r="S20" s="632"/>
      <c r="T20" s="631"/>
      <c r="U20" s="632"/>
      <c r="V20" s="631"/>
      <c r="W20" s="632"/>
      <c r="X20" s="1263"/>
      <c r="Y20" s="3686"/>
      <c r="Z20" s="1264"/>
      <c r="AA20" s="1265">
        <v>1</v>
      </c>
      <c r="AB20" s="1265">
        <v>1</v>
      </c>
      <c r="AC20" s="1265">
        <v>1</v>
      </c>
    </row>
    <row r="21" spans="1:29" ht="15">
      <c r="A21" s="318"/>
      <c r="B21" s="515" t="s">
        <v>2146</v>
      </c>
      <c r="C21" s="1495">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86"/>
      <c r="Q21" s="1262" t="str">
        <f>B21</f>
        <v>基础设施水平</v>
      </c>
      <c r="R21" s="631" t="s">
        <v>25</v>
      </c>
      <c r="S21" s="632">
        <f>F21</f>
        <v>100</v>
      </c>
      <c r="T21" s="631" t="s">
        <v>25</v>
      </c>
      <c r="U21" s="632">
        <f>H21</f>
        <v>100</v>
      </c>
      <c r="V21" s="631" t="s">
        <v>25</v>
      </c>
      <c r="W21" s="632">
        <f>J21</f>
        <v>100</v>
      </c>
      <c r="X21" s="1263"/>
      <c r="Y21" s="368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86"/>
      <c r="Q22" s="1262"/>
      <c r="R22" s="631"/>
      <c r="S22" s="632"/>
      <c r="T22" s="631"/>
      <c r="U22" s="632"/>
      <c r="V22" s="631"/>
      <c r="W22" s="632"/>
      <c r="X22" s="1263"/>
      <c r="Y22" s="3686"/>
      <c r="Z22" s="1264"/>
      <c r="AA22" s="1265">
        <v>1</v>
      </c>
      <c r="AB22" s="1265">
        <v>1</v>
      </c>
      <c r="AC22" s="1265">
        <v>1</v>
      </c>
    </row>
    <row r="23" spans="1:29" ht="15">
      <c r="A23" s="318"/>
      <c r="B23" s="340" t="s">
        <v>2147</v>
      </c>
      <c r="C23" s="1495">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86"/>
      <c r="Q23" s="1262" t="str">
        <f>B23</f>
        <v>环境质量</v>
      </c>
      <c r="R23" s="631" t="s">
        <v>25</v>
      </c>
      <c r="S23" s="632">
        <f>F23</f>
        <v>100</v>
      </c>
      <c r="T23" s="631" t="s">
        <v>25</v>
      </c>
      <c r="U23" s="632">
        <f>H23</f>
        <v>100</v>
      </c>
      <c r="V23" s="631" t="s">
        <v>25</v>
      </c>
      <c r="W23" s="632">
        <f>J23</f>
        <v>100</v>
      </c>
      <c r="X23" s="1263"/>
      <c r="Y23" s="368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86"/>
      <c r="Q24" s="1262"/>
      <c r="R24" s="631"/>
      <c r="S24" s="632"/>
      <c r="T24" s="631"/>
      <c r="U24" s="632"/>
      <c r="V24" s="631"/>
      <c r="W24" s="632"/>
      <c r="X24" s="1263"/>
      <c r="Y24" s="368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86"/>
      <c r="Q25" s="1262">
        <f>B25</f>
        <v>111</v>
      </c>
      <c r="R25" s="631" t="s">
        <v>25</v>
      </c>
      <c r="S25" s="632">
        <f>F25</f>
        <v>100</v>
      </c>
      <c r="T25" s="631" t="s">
        <v>25</v>
      </c>
      <c r="U25" s="632">
        <f>H25</f>
        <v>100</v>
      </c>
      <c r="V25" s="631" t="s">
        <v>25</v>
      </c>
      <c r="W25" s="632">
        <f>J25</f>
        <v>100</v>
      </c>
      <c r="X25" s="1263"/>
      <c r="Y25" s="368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86"/>
      <c r="Q26" s="1262">
        <f t="shared" ref="Q26:Q40" si="11">B26</f>
        <v>111</v>
      </c>
      <c r="R26" s="631" t="s">
        <v>25</v>
      </c>
      <c r="S26" s="632">
        <f>F26</f>
        <v>100</v>
      </c>
      <c r="T26" s="631" t="s">
        <v>25</v>
      </c>
      <c r="U26" s="632">
        <f>H26</f>
        <v>100</v>
      </c>
      <c r="V26" s="631" t="s">
        <v>25</v>
      </c>
      <c r="W26" s="632">
        <f>J26</f>
        <v>100</v>
      </c>
      <c r="X26" s="1263"/>
      <c r="Y26" s="368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86"/>
      <c r="Q27" s="1255">
        <f t="shared" si="11"/>
        <v>111</v>
      </c>
      <c r="R27" s="627" t="s">
        <v>25</v>
      </c>
      <c r="S27" s="628">
        <f>F27</f>
        <v>100</v>
      </c>
      <c r="T27" s="627" t="s">
        <v>25</v>
      </c>
      <c r="U27" s="628">
        <f>H27</f>
        <v>100</v>
      </c>
      <c r="V27" s="627" t="s">
        <v>25</v>
      </c>
      <c r="W27" s="628">
        <f>J27</f>
        <v>100</v>
      </c>
      <c r="X27" s="629"/>
      <c r="Y27" s="368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86"/>
      <c r="Q28" s="1262">
        <f t="shared" si="11"/>
        <v>111</v>
      </c>
      <c r="R28" s="631" t="s">
        <v>25</v>
      </c>
      <c r="S28" s="632">
        <f t="shared" ref="S28:S40" si="12">F28</f>
        <v>100</v>
      </c>
      <c r="T28" s="631" t="s">
        <v>25</v>
      </c>
      <c r="U28" s="632">
        <f t="shared" ref="U28:U40" si="13">H28</f>
        <v>100</v>
      </c>
      <c r="V28" s="631" t="s">
        <v>25</v>
      </c>
      <c r="W28" s="632">
        <f t="shared" ref="W28:W40" si="14">J28</f>
        <v>100</v>
      </c>
      <c r="X28" s="1263"/>
      <c r="Y28" s="3686"/>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88" t="s">
        <v>2036</v>
      </c>
      <c r="Q29" s="1262" t="str">
        <f t="shared" si="11"/>
        <v>建筑类型</v>
      </c>
      <c r="R29" s="631" t="s">
        <v>25</v>
      </c>
      <c r="S29" s="632">
        <f t="shared" si="12"/>
        <v>100</v>
      </c>
      <c r="T29" s="631" t="s">
        <v>25</v>
      </c>
      <c r="U29" s="632">
        <f t="shared" si="13"/>
        <v>100</v>
      </c>
      <c r="V29" s="631" t="s">
        <v>25</v>
      </c>
      <c r="W29" s="632">
        <f t="shared" si="14"/>
        <v>100</v>
      </c>
      <c r="X29" s="1263"/>
      <c r="Y29" s="3689"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89"/>
      <c r="Q30" s="633" t="str">
        <f t="shared" si="11"/>
        <v>项目建筑规模</v>
      </c>
      <c r="R30" s="634" t="s">
        <v>25</v>
      </c>
      <c r="S30" s="635" t="e">
        <f t="shared" si="12"/>
        <v>#N/A</v>
      </c>
      <c r="T30" s="634" t="s">
        <v>25</v>
      </c>
      <c r="U30" s="635" t="e">
        <f t="shared" si="13"/>
        <v>#N/A</v>
      </c>
      <c r="V30" s="634" t="s">
        <v>25</v>
      </c>
      <c r="W30" s="635" t="e">
        <f t="shared" si="14"/>
        <v>#N/A</v>
      </c>
      <c r="X30" s="636"/>
      <c r="Y30" s="3689"/>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89"/>
      <c r="Q31" s="1262" t="str">
        <f t="shared" si="11"/>
        <v>建筑结构</v>
      </c>
      <c r="R31" s="631" t="s">
        <v>25</v>
      </c>
      <c r="S31" s="632">
        <f t="shared" si="12"/>
        <v>100</v>
      </c>
      <c r="T31" s="631" t="s">
        <v>25</v>
      </c>
      <c r="U31" s="632">
        <f t="shared" si="13"/>
        <v>100</v>
      </c>
      <c r="V31" s="631" t="s">
        <v>25</v>
      </c>
      <c r="W31" s="632">
        <f t="shared" si="14"/>
        <v>100</v>
      </c>
      <c r="X31" s="1263"/>
      <c r="Y31" s="3689"/>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89"/>
      <c r="Q32" s="1262" t="str">
        <f t="shared" si="11"/>
        <v>公共部分装修</v>
      </c>
      <c r="R32" s="631" t="s">
        <v>25</v>
      </c>
      <c r="S32" s="632">
        <f t="shared" si="12"/>
        <v>100</v>
      </c>
      <c r="T32" s="631" t="s">
        <v>25</v>
      </c>
      <c r="U32" s="632">
        <f t="shared" si="13"/>
        <v>100</v>
      </c>
      <c r="V32" s="631" t="s">
        <v>25</v>
      </c>
      <c r="W32" s="632">
        <f t="shared" si="14"/>
        <v>100</v>
      </c>
      <c r="X32" s="1263"/>
      <c r="Y32" s="3689"/>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89"/>
      <c r="Q33" s="1262" t="str">
        <f t="shared" si="11"/>
        <v>成新度</v>
      </c>
      <c r="R33" s="631" t="s">
        <v>25</v>
      </c>
      <c r="S33" s="632" t="e">
        <f t="shared" si="12"/>
        <v>#N/A</v>
      </c>
      <c r="T33" s="631" t="s">
        <v>25</v>
      </c>
      <c r="U33" s="632" t="e">
        <f t="shared" si="13"/>
        <v>#N/A</v>
      </c>
      <c r="V33" s="631" t="s">
        <v>25</v>
      </c>
      <c r="W33" s="632" t="e">
        <f t="shared" si="14"/>
        <v>#N/A</v>
      </c>
      <c r="X33" s="1263"/>
      <c r="Y33" s="3689"/>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89"/>
      <c r="Q34" s="1255" t="str">
        <f t="shared" si="11"/>
        <v>物业管理</v>
      </c>
      <c r="R34" s="627" t="s">
        <v>25</v>
      </c>
      <c r="S34" s="628">
        <f t="shared" si="12"/>
        <v>100</v>
      </c>
      <c r="T34" s="627" t="s">
        <v>25</v>
      </c>
      <c r="U34" s="628">
        <f t="shared" si="13"/>
        <v>100</v>
      </c>
      <c r="V34" s="627" t="s">
        <v>25</v>
      </c>
      <c r="W34" s="628">
        <f t="shared" si="14"/>
        <v>100</v>
      </c>
      <c r="X34" s="629"/>
      <c r="Y34" s="3689"/>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89" t="s">
        <v>2036</v>
      </c>
      <c r="Q35" s="1262" t="str">
        <f t="shared" si="11"/>
        <v>市政基础设施</v>
      </c>
      <c r="R35" s="631" t="s">
        <v>25</v>
      </c>
      <c r="S35" s="632">
        <f t="shared" si="12"/>
        <v>100</v>
      </c>
      <c r="T35" s="631" t="s">
        <v>25</v>
      </c>
      <c r="U35" s="632">
        <f t="shared" si="13"/>
        <v>100</v>
      </c>
      <c r="V35" s="631" t="s">
        <v>25</v>
      </c>
      <c r="W35" s="632">
        <f t="shared" si="14"/>
        <v>100</v>
      </c>
      <c r="X35" s="1263"/>
      <c r="Y35" s="3689"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89"/>
      <c r="Q36" s="1262" t="str">
        <f t="shared" si="11"/>
        <v>内部装修</v>
      </c>
      <c r="R36" s="631" t="s">
        <v>25</v>
      </c>
      <c r="S36" s="632">
        <f t="shared" si="12"/>
        <v>100</v>
      </c>
      <c r="T36" s="631" t="s">
        <v>25</v>
      </c>
      <c r="U36" s="632">
        <f t="shared" si="13"/>
        <v>100</v>
      </c>
      <c r="V36" s="631" t="s">
        <v>25</v>
      </c>
      <c r="W36" s="632">
        <f t="shared" si="14"/>
        <v>100</v>
      </c>
      <c r="X36" s="1263"/>
      <c r="Y36" s="3689"/>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89"/>
      <c r="Q37" s="1262" t="str">
        <f t="shared" si="11"/>
        <v>内部装修状况</v>
      </c>
      <c r="R37" s="631" t="s">
        <v>25</v>
      </c>
      <c r="S37" s="632">
        <f t="shared" si="12"/>
        <v>100</v>
      </c>
      <c r="T37" s="631" t="s">
        <v>25</v>
      </c>
      <c r="U37" s="632">
        <f t="shared" si="13"/>
        <v>100</v>
      </c>
      <c r="V37" s="631" t="s">
        <v>25</v>
      </c>
      <c r="W37" s="632">
        <f t="shared" si="14"/>
        <v>100</v>
      </c>
      <c r="X37" s="1263"/>
      <c r="Y37" s="368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89"/>
      <c r="Q38" s="633">
        <f t="shared" si="11"/>
        <v>111</v>
      </c>
      <c r="R38" s="634" t="s">
        <v>25</v>
      </c>
      <c r="S38" s="635">
        <f t="shared" si="12"/>
        <v>100</v>
      </c>
      <c r="T38" s="634" t="s">
        <v>25</v>
      </c>
      <c r="U38" s="635">
        <f t="shared" si="13"/>
        <v>100</v>
      </c>
      <c r="V38" s="634" t="s">
        <v>25</v>
      </c>
      <c r="W38" s="635">
        <f t="shared" si="14"/>
        <v>100</v>
      </c>
      <c r="X38" s="636"/>
      <c r="Y38" s="368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89"/>
      <c r="Q39" s="1262">
        <f t="shared" si="11"/>
        <v>111</v>
      </c>
      <c r="R39" s="631" t="s">
        <v>25</v>
      </c>
      <c r="S39" s="632">
        <f t="shared" si="12"/>
        <v>100</v>
      </c>
      <c r="T39" s="631" t="s">
        <v>25</v>
      </c>
      <c r="U39" s="632">
        <f t="shared" si="13"/>
        <v>100</v>
      </c>
      <c r="V39" s="631" t="s">
        <v>25</v>
      </c>
      <c r="W39" s="632">
        <f t="shared" si="14"/>
        <v>100</v>
      </c>
      <c r="X39" s="1263"/>
      <c r="Y39" s="368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90"/>
      <c r="Q40" s="1262">
        <f t="shared" si="11"/>
        <v>111</v>
      </c>
      <c r="R40" s="631" t="s">
        <v>25</v>
      </c>
      <c r="S40" s="632">
        <f t="shared" si="12"/>
        <v>100</v>
      </c>
      <c r="T40" s="631" t="s">
        <v>25</v>
      </c>
      <c r="U40" s="632">
        <f t="shared" si="13"/>
        <v>100</v>
      </c>
      <c r="V40" s="631" t="s">
        <v>25</v>
      </c>
      <c r="W40" s="632">
        <f t="shared" si="14"/>
        <v>100</v>
      </c>
      <c r="X40" s="1263"/>
      <c r="Y40" s="3690"/>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4"/>
      <c r="N41" s="2943"/>
      <c r="P41" s="3657" t="str">
        <f>A41</f>
        <v>成交单价（元/平方米）</v>
      </c>
      <c r="Q41" s="3657"/>
      <c r="R41" s="3691">
        <f>E41</f>
        <v>0</v>
      </c>
      <c r="S41" s="3691"/>
      <c r="T41" s="3691">
        <f>G41</f>
        <v>0</v>
      </c>
      <c r="U41" s="3691"/>
      <c r="V41" s="3691">
        <f>I41</f>
        <v>0</v>
      </c>
      <c r="W41" s="3691"/>
      <c r="X41" s="618"/>
      <c r="Y41" s="638"/>
      <c r="Z41" s="618"/>
      <c r="AA41" s="618"/>
      <c r="AB41" s="618"/>
      <c r="AC41" s="618"/>
    </row>
    <row r="42" spans="1:29" ht="15.75" thickBot="1">
      <c r="A42" s="374" t="s">
        <v>2131</v>
      </c>
      <c r="B42" s="375"/>
      <c r="C42" s="1088" t="e">
        <f>R43</f>
        <v>#DIV/0!</v>
      </c>
      <c r="D42" s="1725" t="s">
        <v>2499</v>
      </c>
      <c r="E42" s="1089" t="e">
        <f>R42</f>
        <v>#DIV/0!</v>
      </c>
      <c r="F42" s="1727"/>
      <c r="G42" s="1088" t="e">
        <f>T42</f>
        <v>#DIV/0!</v>
      </c>
      <c r="H42" s="1727"/>
      <c r="I42" s="1089" t="e">
        <f>V42</f>
        <v>#DIV/0!</v>
      </c>
      <c r="J42" s="1727"/>
      <c r="K42" s="2429">
        <f>F42+H42+J42</f>
        <v>0</v>
      </c>
      <c r="L42" s="2954"/>
      <c r="N42" s="2943"/>
      <c r="P42" s="3657" t="str">
        <f>A42</f>
        <v>比较价值（元/平方米）</v>
      </c>
      <c r="Q42" s="3657"/>
      <c r="R42" s="3691" t="e">
        <f>IF(E1="售价",ROUND(PRODUCT(R41,AA7:AA40),0),ROUND(PRODUCT(R41,AA7:AA40),1))</f>
        <v>#DIV/0!</v>
      </c>
      <c r="S42" s="3691"/>
      <c r="T42" s="3691" t="e">
        <f>IF(E1="售价",ROUND(PRODUCT(T41,AB7:AB40),0),ROUND(PRODUCT(T41,AB7:AB40),1))</f>
        <v>#DIV/0!</v>
      </c>
      <c r="U42" s="3691"/>
      <c r="V42" s="3691" t="e">
        <f>IF(E1="售价",ROUND(PRODUCT(V41,AC7:AC40),0),ROUND(PRODUCT(V41,AC7:AC40),1))</f>
        <v>#DIV/0!</v>
      </c>
      <c r="W42" s="3691"/>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4"/>
      <c r="P43" s="3692" t="str">
        <f>A43</f>
        <v>估价对象XX用房的比较价值（楼面单价，元/平方米）</v>
      </c>
      <c r="Q43" s="3693"/>
      <c r="R43" s="3694" t="e">
        <f>IF(E1="售价",ROUND(IF(D42="简单平均",AVERAGE(R42:V42),R42*F42+T42*H42+V42*J42),0),ROUND(IF(D42="简单平均",AVERAGE(R42:V42),R42*F42+T42*H42+V42*J42),1))</f>
        <v>#DIV/0!</v>
      </c>
      <c r="S43" s="3694"/>
      <c r="T43" s="3694"/>
      <c r="U43" s="3694"/>
      <c r="V43" s="3694"/>
      <c r="W43" s="3694"/>
      <c r="X43" s="618"/>
      <c r="Y43" s="618"/>
      <c r="Z43" s="618"/>
      <c r="AA43" s="618"/>
      <c r="AB43" s="618"/>
      <c r="AC43" s="618"/>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2136</v>
      </c>
      <c r="B51" s="618"/>
      <c r="C51" s="621"/>
      <c r="D51" s="621"/>
      <c r="E51" s="621"/>
      <c r="F51" s="622"/>
      <c r="G51" s="622"/>
      <c r="H51" s="621"/>
      <c r="I51" s="621"/>
      <c r="J51" s="621"/>
      <c r="K51" s="623"/>
      <c r="L51" s="624"/>
      <c r="M51" s="621"/>
      <c r="N51" s="2960"/>
      <c r="O51" s="2960"/>
      <c r="P51" s="389"/>
      <c r="Q51" s="390"/>
    </row>
    <row r="52" spans="1:17" s="394" customFormat="1" ht="15">
      <c r="A52" s="391" t="s">
        <v>2018</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829.41000000000008</v>
      </c>
      <c r="E3" s="797" t="s">
        <v>2166</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2"/>
      <c r="M4" s="2943"/>
      <c r="N4" s="2943"/>
      <c r="O4" s="2943"/>
      <c r="P4" s="3669" t="s">
        <v>2011</v>
      </c>
      <c r="Q4" s="3670"/>
      <c r="R4" s="3675" t="s">
        <v>2007</v>
      </c>
      <c r="S4" s="3676"/>
      <c r="T4" s="3675" t="s">
        <v>2008</v>
      </c>
      <c r="U4" s="3676"/>
      <c r="V4" s="3681" t="s">
        <v>2009</v>
      </c>
      <c r="W4" s="3681"/>
      <c r="X4" s="1263"/>
      <c r="Y4" s="3675" t="s">
        <v>2011</v>
      </c>
      <c r="Z4" s="3676"/>
      <c r="AA4" s="3662" t="s">
        <v>2007</v>
      </c>
      <c r="AB4" s="3663" t="s">
        <v>2008</v>
      </c>
      <c r="AC4" s="3662" t="s">
        <v>2009</v>
      </c>
    </row>
    <row r="5" spans="1:29" ht="15">
      <c r="A5" s="297"/>
      <c r="B5" s="298"/>
      <c r="C5" s="3658" t="s">
        <v>2012</v>
      </c>
      <c r="D5" s="3659"/>
      <c r="E5" s="3682" t="s">
        <v>2013</v>
      </c>
      <c r="F5" s="3683"/>
      <c r="G5" s="3658" t="s">
        <v>2014</v>
      </c>
      <c r="H5" s="3659"/>
      <c r="I5" s="3658" t="s">
        <v>2015</v>
      </c>
      <c r="J5" s="3659"/>
      <c r="K5" s="496"/>
      <c r="L5" s="2942"/>
      <c r="M5" s="2943"/>
      <c r="N5" s="2943"/>
      <c r="O5" s="2943"/>
      <c r="P5" s="3671"/>
      <c r="Q5" s="3672"/>
      <c r="R5" s="3677"/>
      <c r="S5" s="3678"/>
      <c r="T5" s="3677"/>
      <c r="U5" s="3678"/>
      <c r="V5" s="3681"/>
      <c r="W5" s="3681"/>
      <c r="X5" s="1263"/>
      <c r="Y5" s="3677"/>
      <c r="Z5" s="3678"/>
      <c r="AA5" s="3663"/>
      <c r="AB5" s="3663"/>
      <c r="AC5" s="3663"/>
    </row>
    <row r="6" spans="1:29" ht="15.75" thickBot="1">
      <c r="A6" s="299"/>
      <c r="B6" s="300"/>
      <c r="C6" s="3655" t="s">
        <v>2016</v>
      </c>
      <c r="D6" s="3656"/>
      <c r="E6" s="3653" t="s">
        <v>2016</v>
      </c>
      <c r="F6" s="3654"/>
      <c r="G6" s="3655" t="s">
        <v>2016</v>
      </c>
      <c r="H6" s="3656"/>
      <c r="I6" s="3655" t="s">
        <v>2016</v>
      </c>
      <c r="J6" s="3656"/>
      <c r="K6" s="496" t="s">
        <v>2017</v>
      </c>
      <c r="L6" s="2942"/>
      <c r="M6" s="2943"/>
      <c r="N6" s="2943"/>
      <c r="O6" s="2943"/>
      <c r="P6" s="3673"/>
      <c r="Q6" s="3674"/>
      <c r="R6" s="3677"/>
      <c r="S6" s="3678"/>
      <c r="T6" s="3679"/>
      <c r="U6" s="3680"/>
      <c r="V6" s="3681"/>
      <c r="W6" s="3681"/>
      <c r="X6" s="1263"/>
      <c r="Y6" s="3679"/>
      <c r="Z6" s="3680"/>
      <c r="AA6" s="3664"/>
      <c r="AB6" s="3664"/>
      <c r="AC6" s="3664"/>
    </row>
    <row r="7" spans="1:29" s="25" customFormat="1" ht="15.75" thickBot="1">
      <c r="A7" s="301" t="s">
        <v>2018</v>
      </c>
      <c r="B7" s="302"/>
      <c r="C7" s="303">
        <f>'数据-取费表'!B2</f>
        <v>44776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60" t="s">
        <v>2019</v>
      </c>
      <c r="Q7" s="3684"/>
      <c r="R7" s="627" t="s">
        <v>25</v>
      </c>
      <c r="S7" s="628">
        <f t="shared" ref="S7:S14" si="0">F7</f>
        <v>0</v>
      </c>
      <c r="T7" s="627" t="s">
        <v>25</v>
      </c>
      <c r="U7" s="628">
        <f t="shared" ref="U7:U14" si="1">H7</f>
        <v>0</v>
      </c>
      <c r="V7" s="627" t="s">
        <v>25</v>
      </c>
      <c r="W7" s="628">
        <f t="shared" ref="W7:W14" si="2">J7</f>
        <v>0</v>
      </c>
      <c r="X7" s="629"/>
      <c r="Y7" s="3660" t="s">
        <v>2019</v>
      </c>
      <c r="Z7" s="3661"/>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60" t="s">
        <v>2022</v>
      </c>
      <c r="Q8" s="3661"/>
      <c r="R8" s="627" t="s">
        <v>25</v>
      </c>
      <c r="S8" s="628">
        <f t="shared" si="0"/>
        <v>0</v>
      </c>
      <c r="T8" s="627" t="s">
        <v>25</v>
      </c>
      <c r="U8" s="628">
        <f t="shared" si="1"/>
        <v>0</v>
      </c>
      <c r="V8" s="627" t="s">
        <v>25</v>
      </c>
      <c r="W8" s="628">
        <f t="shared" si="2"/>
        <v>0</v>
      </c>
      <c r="X8" s="629"/>
      <c r="Y8" s="3660" t="s">
        <v>2022</v>
      </c>
      <c r="Z8" s="3661"/>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57" t="s">
        <v>2025</v>
      </c>
      <c r="Q9" s="1255" t="str">
        <f t="shared" ref="Q9:Q14" si="6">B9</f>
        <v>用途</v>
      </c>
      <c r="R9" s="627" t="s">
        <v>25</v>
      </c>
      <c r="S9" s="628">
        <f t="shared" si="0"/>
        <v>100</v>
      </c>
      <c r="T9" s="627" t="s">
        <v>25</v>
      </c>
      <c r="U9" s="628">
        <f t="shared" si="1"/>
        <v>100</v>
      </c>
      <c r="V9" s="627" t="s">
        <v>25</v>
      </c>
      <c r="W9" s="628">
        <f t="shared" si="2"/>
        <v>100</v>
      </c>
      <c r="X9" s="629"/>
      <c r="Y9" s="3687"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57"/>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
      <c r="A14" s="294" t="s">
        <v>2029</v>
      </c>
      <c r="B14" s="511" t="s">
        <v>2167</v>
      </c>
      <c r="C14" s="1072" t="str">
        <f>IF(B1="工业",估价对象房地状况!G4,估价对象房地状况!C6)</f>
        <v>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85" t="s">
        <v>2030</v>
      </c>
      <c r="Q14" s="1262" t="str">
        <f t="shared" si="6"/>
        <v>交通便捷度</v>
      </c>
      <c r="R14" s="631" t="s">
        <v>25</v>
      </c>
      <c r="S14" s="632">
        <f t="shared" si="0"/>
        <v>100</v>
      </c>
      <c r="T14" s="631" t="s">
        <v>25</v>
      </c>
      <c r="U14" s="632">
        <f t="shared" si="1"/>
        <v>100</v>
      </c>
      <c r="V14" s="631" t="s">
        <v>25</v>
      </c>
      <c r="W14" s="632">
        <f t="shared" si="2"/>
        <v>100</v>
      </c>
      <c r="X14" s="1263"/>
      <c r="Y14" s="3685"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86"/>
      <c r="Q15" s="1262"/>
      <c r="R15" s="631"/>
      <c r="S15" s="632"/>
      <c r="T15" s="631"/>
      <c r="U15" s="632"/>
      <c r="V15" s="631"/>
      <c r="W15" s="632"/>
      <c r="X15" s="1263"/>
      <c r="Y15" s="3686"/>
      <c r="Z15" s="1264"/>
      <c r="AA15" s="1265">
        <v>1</v>
      </c>
      <c r="AB15" s="1265">
        <v>1</v>
      </c>
      <c r="AC15" s="1265">
        <v>1</v>
      </c>
    </row>
    <row r="16" spans="1:29" ht="15">
      <c r="A16" s="297"/>
      <c r="B16" s="513" t="s">
        <v>2145</v>
      </c>
      <c r="C16" s="1074" t="str">
        <f>IF(B1="工业",估价对象房地状况!G5,估价对象房地状况!C7)</f>
        <v>较好</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86"/>
      <c r="Q17" s="1262"/>
      <c r="R17" s="631"/>
      <c r="S17" s="632"/>
      <c r="T17" s="631"/>
      <c r="U17" s="632"/>
      <c r="V17" s="631"/>
      <c r="W17" s="632"/>
      <c r="X17" s="1263"/>
      <c r="Y17" s="3686"/>
      <c r="Z17" s="1264"/>
      <c r="AA17" s="1265">
        <v>1</v>
      </c>
      <c r="AB17" s="1265">
        <v>1</v>
      </c>
      <c r="AC17" s="1265">
        <v>1</v>
      </c>
    </row>
    <row r="18" spans="1:29" ht="15">
      <c r="A18" s="297"/>
      <c r="B18" s="515" t="s">
        <v>2146</v>
      </c>
      <c r="C18" s="1074" t="str">
        <f>IF(B1="工业",估价对象房地状况!G6,估价对象房地状况!C8)</f>
        <v>六通</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86"/>
      <c r="Q19" s="1262"/>
      <c r="R19" s="631"/>
      <c r="S19" s="632"/>
      <c r="T19" s="631"/>
      <c r="U19" s="632"/>
      <c r="V19" s="631"/>
      <c r="W19" s="632"/>
      <c r="X19" s="1263"/>
      <c r="Y19" s="3686"/>
      <c r="Z19" s="1264"/>
      <c r="AA19" s="1265">
        <v>1</v>
      </c>
      <c r="AB19" s="1265">
        <v>1</v>
      </c>
      <c r="AC19" s="1265">
        <v>1</v>
      </c>
    </row>
    <row r="20" spans="1:29" ht="15">
      <c r="A20" s="297"/>
      <c r="B20" s="513" t="s">
        <v>2168</v>
      </c>
      <c r="C20" s="1074" t="str">
        <f>IF(B1="工业",估价对象房地状况!G7,估价对象房地状况!C9)</f>
        <v>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86"/>
      <c r="Q21" s="1262"/>
      <c r="R21" s="631"/>
      <c r="S21" s="632"/>
      <c r="T21" s="631"/>
      <c r="U21" s="632"/>
      <c r="V21" s="631"/>
      <c r="W21" s="632"/>
      <c r="X21" s="1263"/>
      <c r="Y21" s="3686"/>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86"/>
      <c r="Q24" s="1262">
        <f t="shared" ref="Q24:Q36"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88"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9"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89"/>
      <c r="Q27" s="633" t="str">
        <f t="shared" si="11"/>
        <v>项目停车位配比</v>
      </c>
      <c r="R27" s="634" t="s">
        <v>25</v>
      </c>
      <c r="S27" s="635">
        <f t="shared" si="12"/>
        <v>100</v>
      </c>
      <c r="T27" s="634" t="s">
        <v>25</v>
      </c>
      <c r="U27" s="635">
        <f t="shared" si="13"/>
        <v>100</v>
      </c>
      <c r="V27" s="634" t="s">
        <v>25</v>
      </c>
      <c r="W27" s="635">
        <f t="shared" si="14"/>
        <v>100</v>
      </c>
      <c r="X27" s="636"/>
      <c r="Y27" s="3689"/>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89"/>
      <c r="Q28" s="1262" t="str">
        <f t="shared" si="11"/>
        <v>公共部分装修</v>
      </c>
      <c r="R28" s="631" t="s">
        <v>25</v>
      </c>
      <c r="S28" s="632">
        <f t="shared" si="12"/>
        <v>100</v>
      </c>
      <c r="T28" s="631" t="s">
        <v>25</v>
      </c>
      <c r="U28" s="632">
        <f t="shared" si="13"/>
        <v>100</v>
      </c>
      <c r="V28" s="631" t="s">
        <v>25</v>
      </c>
      <c r="W28" s="632">
        <f t="shared" si="14"/>
        <v>100</v>
      </c>
      <c r="X28" s="1263"/>
      <c r="Y28" s="3689"/>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89"/>
      <c r="Q29" s="1262" t="str">
        <f t="shared" si="11"/>
        <v>成新率</v>
      </c>
      <c r="R29" s="631" t="s">
        <v>25</v>
      </c>
      <c r="S29" s="632" t="e">
        <f t="shared" si="12"/>
        <v>#N/A</v>
      </c>
      <c r="T29" s="631" t="s">
        <v>25</v>
      </c>
      <c r="U29" s="632" t="e">
        <f t="shared" si="13"/>
        <v>#N/A</v>
      </c>
      <c r="V29" s="631" t="s">
        <v>25</v>
      </c>
      <c r="W29" s="632" t="e">
        <f t="shared" si="14"/>
        <v>#N/A</v>
      </c>
      <c r="X29" s="1263"/>
      <c r="Y29" s="3689"/>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89"/>
      <c r="Q30" s="1262" t="str">
        <f t="shared" si="11"/>
        <v>物业等级</v>
      </c>
      <c r="R30" s="631" t="s">
        <v>25</v>
      </c>
      <c r="S30" s="632">
        <f t="shared" si="12"/>
        <v>100</v>
      </c>
      <c r="T30" s="631" t="s">
        <v>25</v>
      </c>
      <c r="U30" s="632">
        <f t="shared" si="13"/>
        <v>100</v>
      </c>
      <c r="V30" s="631" t="s">
        <v>25</v>
      </c>
      <c r="W30" s="632">
        <f t="shared" si="14"/>
        <v>100</v>
      </c>
      <c r="X30" s="1263"/>
      <c r="Y30" s="3689"/>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89"/>
      <c r="Q31" s="1255" t="str">
        <f t="shared" si="11"/>
        <v>停车位面积</v>
      </c>
      <c r="R31" s="627" t="s">
        <v>25</v>
      </c>
      <c r="S31" s="628" t="e">
        <f t="shared" si="12"/>
        <v>#N/A</v>
      </c>
      <c r="T31" s="627" t="s">
        <v>25</v>
      </c>
      <c r="U31" s="628" t="e">
        <f t="shared" si="13"/>
        <v>#N/A</v>
      </c>
      <c r="V31" s="627" t="s">
        <v>25</v>
      </c>
      <c r="W31" s="628" t="e">
        <f t="shared" si="14"/>
        <v>#N/A</v>
      </c>
      <c r="X31" s="629"/>
      <c r="Y31" s="3689"/>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89" t="s">
        <v>2036</v>
      </c>
      <c r="Q32" s="1262" t="str">
        <f t="shared" si="11"/>
        <v>车位类型</v>
      </c>
      <c r="R32" s="631" t="s">
        <v>25</v>
      </c>
      <c r="S32" s="632">
        <f t="shared" si="12"/>
        <v>100</v>
      </c>
      <c r="T32" s="631" t="s">
        <v>25</v>
      </c>
      <c r="U32" s="632">
        <f t="shared" si="13"/>
        <v>100</v>
      </c>
      <c r="V32" s="631" t="s">
        <v>25</v>
      </c>
      <c r="W32" s="632">
        <f t="shared" si="14"/>
        <v>100</v>
      </c>
      <c r="X32" s="1263"/>
      <c r="Y32" s="3689"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89"/>
      <c r="Q33" s="1262" t="str">
        <f t="shared" si="11"/>
        <v>是否直接入户</v>
      </c>
      <c r="R33" s="631" t="s">
        <v>25</v>
      </c>
      <c r="S33" s="632">
        <f t="shared" si="12"/>
        <v>100</v>
      </c>
      <c r="T33" s="631" t="s">
        <v>25</v>
      </c>
      <c r="U33" s="632">
        <f t="shared" si="13"/>
        <v>100</v>
      </c>
      <c r="V33" s="631" t="s">
        <v>25</v>
      </c>
      <c r="W33" s="632">
        <f t="shared" si="14"/>
        <v>100</v>
      </c>
      <c r="X33" s="1263"/>
      <c r="Y33" s="368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89"/>
      <c r="Q34" s="1262">
        <f t="shared" si="11"/>
        <v>111</v>
      </c>
      <c r="R34" s="631" t="s">
        <v>25</v>
      </c>
      <c r="S34" s="632">
        <f t="shared" si="12"/>
        <v>100</v>
      </c>
      <c r="T34" s="631" t="s">
        <v>25</v>
      </c>
      <c r="U34" s="632">
        <f t="shared" si="13"/>
        <v>100</v>
      </c>
      <c r="V34" s="631" t="s">
        <v>25</v>
      </c>
      <c r="W34" s="632">
        <f t="shared" si="14"/>
        <v>100</v>
      </c>
      <c r="X34" s="1263"/>
      <c r="Y34" s="368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89"/>
      <c r="Q35" s="633">
        <f t="shared" si="11"/>
        <v>111</v>
      </c>
      <c r="R35" s="634" t="s">
        <v>25</v>
      </c>
      <c r="S35" s="635">
        <f t="shared" si="12"/>
        <v>100</v>
      </c>
      <c r="T35" s="634" t="s">
        <v>25</v>
      </c>
      <c r="U35" s="635">
        <f t="shared" si="13"/>
        <v>100</v>
      </c>
      <c r="V35" s="634" t="s">
        <v>25</v>
      </c>
      <c r="W35" s="635">
        <f t="shared" si="14"/>
        <v>100</v>
      </c>
      <c r="X35" s="636"/>
      <c r="Y35" s="368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89"/>
      <c r="Q36" s="1262">
        <f t="shared" si="11"/>
        <v>111</v>
      </c>
      <c r="R36" s="631" t="s">
        <v>25</v>
      </c>
      <c r="S36" s="632">
        <f t="shared" si="12"/>
        <v>100</v>
      </c>
      <c r="T36" s="631" t="s">
        <v>25</v>
      </c>
      <c r="U36" s="632">
        <f t="shared" si="13"/>
        <v>100</v>
      </c>
      <c r="V36" s="631" t="s">
        <v>25</v>
      </c>
      <c r="W36" s="632">
        <f t="shared" si="14"/>
        <v>100</v>
      </c>
      <c r="X36" s="1263"/>
      <c r="Y36" s="3689"/>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4"/>
      <c r="N37" s="2943"/>
      <c r="P37" s="3657" t="str">
        <f>A37</f>
        <v>成交单价</v>
      </c>
      <c r="Q37" s="3657"/>
      <c r="R37" s="3691">
        <f>E37</f>
        <v>0</v>
      </c>
      <c r="S37" s="3691"/>
      <c r="T37" s="3691">
        <f>G37</f>
        <v>0</v>
      </c>
      <c r="U37" s="3691"/>
      <c r="V37" s="3691">
        <f>I37</f>
        <v>0</v>
      </c>
      <c r="W37" s="3691"/>
      <c r="X37" s="618"/>
      <c r="Y37" s="638"/>
      <c r="Z37" s="618"/>
      <c r="AA37" s="618"/>
      <c r="AB37" s="618"/>
      <c r="AC37" s="618"/>
    </row>
    <row r="38" spans="1:29" ht="15.75" thickBot="1">
      <c r="A38" s="374" t="s">
        <v>2180</v>
      </c>
      <c r="B38" s="375" t="str">
        <f>B37</f>
        <v>元/平方米</v>
      </c>
      <c r="C38" s="1088" t="e">
        <f>R39</f>
        <v>#DIV/0!</v>
      </c>
      <c r="D38" s="1725" t="s">
        <v>2499</v>
      </c>
      <c r="E38" s="1089" t="e">
        <f>R38</f>
        <v>#DIV/0!</v>
      </c>
      <c r="F38" s="1727"/>
      <c r="G38" s="1088" t="e">
        <f>T38</f>
        <v>#DIV/0!</v>
      </c>
      <c r="H38" s="1727"/>
      <c r="I38" s="1089" t="e">
        <f>V38</f>
        <v>#DIV/0!</v>
      </c>
      <c r="J38" s="1727"/>
      <c r="K38" s="2429">
        <f>F38+H38+J38</f>
        <v>0</v>
      </c>
      <c r="L38" s="2954"/>
      <c r="P38" s="3657" t="str">
        <f>A38</f>
        <v>比较价值</v>
      </c>
      <c r="Q38" s="3657"/>
      <c r="R38" s="3691" t="e">
        <f>IF(E1="售价",ROUND(PRODUCT(R37,AA7:AA36),0),ROUND(PRODUCT(R37,AA7:AA36),1))</f>
        <v>#DIV/0!</v>
      </c>
      <c r="S38" s="3691"/>
      <c r="T38" s="3691" t="e">
        <f>IF(E1="售价",ROUND(PRODUCT(T37,AB7:AB36),0),ROUND(PRODUCT(T37,AB7:AB36),1))</f>
        <v>#DIV/0!</v>
      </c>
      <c r="U38" s="3691"/>
      <c r="V38" s="3691" t="e">
        <f>IF(E1="售价",ROUND(PRODUCT(V37,AC7:AC36),0),ROUND(PRODUCT(V37,AC7:AC36),1))</f>
        <v>#DIV/0!</v>
      </c>
      <c r="W38" s="3691"/>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4"/>
      <c r="P39" s="3692" t="str">
        <f>A39</f>
        <v>估价对象XX用房的比较价值（楼面单价，元/平方米）</v>
      </c>
      <c r="Q39" s="3693"/>
      <c r="R39" s="3694" t="e">
        <f>IF(E1="售价",ROUND(IF(D38="简单平均",AVERAGE(R38:W38),R38*F38+T38*H38+V38*J38),0),ROUND(IF(D38="简单平均",AVERAGE(R38:V38),R38*F38+T38*H38+V38*J38),1))</f>
        <v>#DIV/0!</v>
      </c>
      <c r="S39" s="3694"/>
      <c r="T39" s="3694"/>
      <c r="U39" s="3694"/>
      <c r="V39" s="3694"/>
      <c r="W39" s="369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2500</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829.41000000000008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2"/>
      <c r="M4" s="2943"/>
      <c r="N4" s="2943"/>
      <c r="O4" s="2943"/>
      <c r="P4" s="3669" t="s">
        <v>2011</v>
      </c>
      <c r="Q4" s="3670"/>
      <c r="R4" s="3675" t="s">
        <v>2007</v>
      </c>
      <c r="S4" s="3676"/>
      <c r="T4" s="3675" t="s">
        <v>2008</v>
      </c>
      <c r="U4" s="3676"/>
      <c r="V4" s="3681" t="s">
        <v>2009</v>
      </c>
      <c r="W4" s="3681"/>
      <c r="X4" s="1263"/>
      <c r="Y4" s="3675" t="s">
        <v>2011</v>
      </c>
      <c r="Z4" s="3676"/>
      <c r="AA4" s="3662" t="s">
        <v>2007</v>
      </c>
      <c r="AB4" s="3663" t="s">
        <v>2008</v>
      </c>
      <c r="AC4" s="3662" t="s">
        <v>2009</v>
      </c>
    </row>
    <row r="5" spans="1:29" ht="15">
      <c r="A5" s="297"/>
      <c r="B5" s="298"/>
      <c r="C5" s="3658" t="s">
        <v>2012</v>
      </c>
      <c r="D5" s="3659"/>
      <c r="E5" s="3682" t="s">
        <v>2013</v>
      </c>
      <c r="F5" s="3683"/>
      <c r="G5" s="3658" t="s">
        <v>2014</v>
      </c>
      <c r="H5" s="3659"/>
      <c r="I5" s="3658" t="s">
        <v>2015</v>
      </c>
      <c r="J5" s="3659"/>
      <c r="K5" s="496"/>
      <c r="L5" s="2942"/>
      <c r="M5" s="2943"/>
      <c r="N5" s="2943"/>
      <c r="O5" s="2943"/>
      <c r="P5" s="3671"/>
      <c r="Q5" s="3672"/>
      <c r="R5" s="3677"/>
      <c r="S5" s="3678"/>
      <c r="T5" s="3677"/>
      <c r="U5" s="3678"/>
      <c r="V5" s="3681"/>
      <c r="W5" s="3681"/>
      <c r="X5" s="1263"/>
      <c r="Y5" s="3677"/>
      <c r="Z5" s="3678"/>
      <c r="AA5" s="3663"/>
      <c r="AB5" s="3663"/>
      <c r="AC5" s="3663"/>
    </row>
    <row r="6" spans="1:29" ht="15.75" thickBot="1">
      <c r="A6" s="299"/>
      <c r="B6" s="300"/>
      <c r="C6" s="3655" t="s">
        <v>2016</v>
      </c>
      <c r="D6" s="3656"/>
      <c r="E6" s="3653" t="s">
        <v>2016</v>
      </c>
      <c r="F6" s="3654"/>
      <c r="G6" s="3655" t="s">
        <v>2016</v>
      </c>
      <c r="H6" s="3656"/>
      <c r="I6" s="3655" t="s">
        <v>2016</v>
      </c>
      <c r="J6" s="3656"/>
      <c r="K6" s="496" t="s">
        <v>2017</v>
      </c>
      <c r="L6" s="2942"/>
      <c r="M6" s="2943"/>
      <c r="N6" s="2943"/>
      <c r="O6" s="2943"/>
      <c r="P6" s="3673"/>
      <c r="Q6" s="3674"/>
      <c r="R6" s="3677"/>
      <c r="S6" s="3678"/>
      <c r="T6" s="3679"/>
      <c r="U6" s="3680"/>
      <c r="V6" s="3681"/>
      <c r="W6" s="3681"/>
      <c r="X6" s="1263"/>
      <c r="Y6" s="3679"/>
      <c r="Z6" s="3680"/>
      <c r="AA6" s="3664"/>
      <c r="AB6" s="3664"/>
      <c r="AC6" s="3664"/>
    </row>
    <row r="7" spans="1:29" s="25" customFormat="1" ht="15.75" thickBot="1">
      <c r="A7" s="301" t="s">
        <v>2018</v>
      </c>
      <c r="B7" s="302"/>
      <c r="C7" s="303">
        <f>'数据-取费表'!B2</f>
        <v>44776</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60" t="s">
        <v>2019</v>
      </c>
      <c r="Q7" s="3684"/>
      <c r="R7" s="627" t="s">
        <v>25</v>
      </c>
      <c r="S7" s="628">
        <f t="shared" ref="S7:S14" si="0">F7</f>
        <v>0</v>
      </c>
      <c r="T7" s="627" t="s">
        <v>25</v>
      </c>
      <c r="U7" s="628">
        <f t="shared" ref="U7:U14" si="1">H7</f>
        <v>0</v>
      </c>
      <c r="V7" s="627" t="s">
        <v>25</v>
      </c>
      <c r="W7" s="628">
        <f t="shared" ref="W7:W14" si="2">J7</f>
        <v>0</v>
      </c>
      <c r="X7" s="629"/>
      <c r="Y7" s="3660" t="s">
        <v>2019</v>
      </c>
      <c r="Z7" s="3661"/>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60" t="s">
        <v>2022</v>
      </c>
      <c r="Q8" s="3661"/>
      <c r="R8" s="627" t="s">
        <v>25</v>
      </c>
      <c r="S8" s="628">
        <f t="shared" si="0"/>
        <v>0</v>
      </c>
      <c r="T8" s="627" t="s">
        <v>25</v>
      </c>
      <c r="U8" s="628">
        <f t="shared" si="1"/>
        <v>0</v>
      </c>
      <c r="V8" s="627" t="s">
        <v>25</v>
      </c>
      <c r="W8" s="628">
        <f t="shared" si="2"/>
        <v>0</v>
      </c>
      <c r="X8" s="629"/>
      <c r="Y8" s="3660" t="s">
        <v>2022</v>
      </c>
      <c r="Z8" s="3661"/>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57" t="s">
        <v>2025</v>
      </c>
      <c r="Q9" s="1255" t="str">
        <f t="shared" ref="Q9:Q14" si="6">B9</f>
        <v>用途</v>
      </c>
      <c r="R9" s="627" t="s">
        <v>25</v>
      </c>
      <c r="S9" s="628">
        <f t="shared" si="0"/>
        <v>100</v>
      </c>
      <c r="T9" s="627" t="s">
        <v>25</v>
      </c>
      <c r="U9" s="628">
        <f t="shared" si="1"/>
        <v>100</v>
      </c>
      <c r="V9" s="627" t="s">
        <v>25</v>
      </c>
      <c r="W9" s="628">
        <f t="shared" si="2"/>
        <v>100</v>
      </c>
      <c r="X9" s="629"/>
      <c r="Y9" s="3687"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57"/>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
      <c r="A14" s="329" t="s">
        <v>2029</v>
      </c>
      <c r="B14" s="22" t="s">
        <v>2167</v>
      </c>
      <c r="C14" s="1509"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85" t="s">
        <v>2030</v>
      </c>
      <c r="Q14" s="1262" t="str">
        <f t="shared" si="6"/>
        <v>交通便捷度</v>
      </c>
      <c r="R14" s="631" t="s">
        <v>25</v>
      </c>
      <c r="S14" s="632">
        <f t="shared" si="0"/>
        <v>100</v>
      </c>
      <c r="T14" s="631" t="s">
        <v>25</v>
      </c>
      <c r="U14" s="632">
        <f t="shared" si="1"/>
        <v>100</v>
      </c>
      <c r="V14" s="631" t="s">
        <v>25</v>
      </c>
      <c r="W14" s="632">
        <f t="shared" si="2"/>
        <v>100</v>
      </c>
      <c r="X14" s="1263"/>
      <c r="Y14" s="3685"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86"/>
      <c r="Q15" s="1262"/>
      <c r="R15" s="631"/>
      <c r="S15" s="632"/>
      <c r="T15" s="631"/>
      <c r="U15" s="632"/>
      <c r="V15" s="631"/>
      <c r="W15" s="632"/>
      <c r="X15" s="1263"/>
      <c r="Y15" s="3686"/>
      <c r="Z15" s="1264"/>
      <c r="AA15" s="1265">
        <v>1</v>
      </c>
      <c r="AB15" s="1265">
        <v>1</v>
      </c>
      <c r="AC15" s="1265">
        <v>1</v>
      </c>
    </row>
    <row r="16" spans="1:29" ht="15">
      <c r="A16" s="318"/>
      <c r="B16" s="513" t="s">
        <v>2145</v>
      </c>
      <c r="C16" s="1495"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86"/>
      <c r="Q17" s="1262"/>
      <c r="R17" s="631"/>
      <c r="S17" s="632"/>
      <c r="T17" s="631"/>
      <c r="U17" s="632"/>
      <c r="V17" s="631"/>
      <c r="W17" s="632"/>
      <c r="X17" s="1263"/>
      <c r="Y17" s="3686"/>
      <c r="Z17" s="1264"/>
      <c r="AA17" s="1265">
        <v>1</v>
      </c>
      <c r="AB17" s="1265">
        <v>1</v>
      </c>
      <c r="AC17" s="1265">
        <v>1</v>
      </c>
    </row>
    <row r="18" spans="1:29" ht="15">
      <c r="A18" s="318"/>
      <c r="B18" s="515" t="s">
        <v>2146</v>
      </c>
      <c r="C18" s="1495" t="str">
        <f>IF(B1="工业",估价对象房地状况!G6,估价对象房地状况!C8)</f>
        <v>六通</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86"/>
      <c r="Q19" s="1262"/>
      <c r="R19" s="631"/>
      <c r="S19" s="632"/>
      <c r="T19" s="631"/>
      <c r="U19" s="632"/>
      <c r="V19" s="631"/>
      <c r="W19" s="632"/>
      <c r="X19" s="1263"/>
      <c r="Y19" s="3686"/>
      <c r="Z19" s="1264"/>
      <c r="AA19" s="1265">
        <v>1</v>
      </c>
      <c r="AB19" s="1265">
        <v>1</v>
      </c>
      <c r="AC19" s="1265">
        <v>1</v>
      </c>
    </row>
    <row r="20" spans="1:29" ht="15">
      <c r="A20" s="318"/>
      <c r="B20" s="340" t="s">
        <v>2168</v>
      </c>
      <c r="C20" s="1495"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86"/>
      <c r="Q21" s="1262"/>
      <c r="R21" s="631"/>
      <c r="S21" s="632"/>
      <c r="T21" s="631"/>
      <c r="U21" s="632"/>
      <c r="V21" s="631"/>
      <c r="W21" s="632"/>
      <c r="X21" s="1263"/>
      <c r="Y21" s="3686"/>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86"/>
      <c r="Q24" s="1262">
        <f t="shared" ref="Q24:Q34"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88"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9"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89"/>
      <c r="Q27" s="633" t="str">
        <f t="shared" si="11"/>
        <v>成新率</v>
      </c>
      <c r="R27" s="634" t="s">
        <v>25</v>
      </c>
      <c r="S27" s="635" t="e">
        <f t="shared" si="12"/>
        <v>#N/A</v>
      </c>
      <c r="T27" s="634" t="s">
        <v>25</v>
      </c>
      <c r="U27" s="635" t="e">
        <f t="shared" si="13"/>
        <v>#N/A</v>
      </c>
      <c r="V27" s="634" t="s">
        <v>25</v>
      </c>
      <c r="W27" s="635" t="e">
        <f t="shared" si="14"/>
        <v>#N/A</v>
      </c>
      <c r="X27" s="636"/>
      <c r="Y27" s="3689"/>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89"/>
      <c r="Q28" s="1262" t="str">
        <f t="shared" si="11"/>
        <v>物业等级</v>
      </c>
      <c r="R28" s="631" t="s">
        <v>25</v>
      </c>
      <c r="S28" s="632">
        <f t="shared" si="12"/>
        <v>100</v>
      </c>
      <c r="T28" s="631" t="s">
        <v>25</v>
      </c>
      <c r="U28" s="632">
        <f t="shared" si="13"/>
        <v>100</v>
      </c>
      <c r="V28" s="631" t="s">
        <v>25</v>
      </c>
      <c r="W28" s="632">
        <f t="shared" si="14"/>
        <v>100</v>
      </c>
      <c r="X28" s="1263"/>
      <c r="Y28" s="3689"/>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89"/>
      <c r="Q29" s="1262" t="str">
        <f t="shared" si="11"/>
        <v>有无电梯</v>
      </c>
      <c r="R29" s="631" t="s">
        <v>25</v>
      </c>
      <c r="S29" s="632">
        <f t="shared" si="12"/>
        <v>100</v>
      </c>
      <c r="T29" s="631" t="s">
        <v>25</v>
      </c>
      <c r="U29" s="632">
        <f t="shared" si="13"/>
        <v>100</v>
      </c>
      <c r="V29" s="631" t="s">
        <v>25</v>
      </c>
      <c r="W29" s="632">
        <f t="shared" si="14"/>
        <v>100</v>
      </c>
      <c r="X29" s="1263"/>
      <c r="Y29" s="3689"/>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89"/>
      <c r="Q30" s="1262" t="str">
        <f t="shared" si="11"/>
        <v>建筑面积</v>
      </c>
      <c r="R30" s="631" t="s">
        <v>25</v>
      </c>
      <c r="S30" s="632" t="e">
        <f t="shared" si="12"/>
        <v>#N/A</v>
      </c>
      <c r="T30" s="631" t="s">
        <v>25</v>
      </c>
      <c r="U30" s="632" t="e">
        <f t="shared" si="13"/>
        <v>#N/A</v>
      </c>
      <c r="V30" s="631" t="s">
        <v>25</v>
      </c>
      <c r="W30" s="632" t="e">
        <f t="shared" si="14"/>
        <v>#N/A</v>
      </c>
      <c r="X30" s="1263"/>
      <c r="Y30" s="3689"/>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89"/>
      <c r="Q31" s="1255" t="str">
        <f t="shared" si="11"/>
        <v>是否封闭</v>
      </c>
      <c r="R31" s="627" t="s">
        <v>25</v>
      </c>
      <c r="S31" s="628">
        <f t="shared" si="12"/>
        <v>100</v>
      </c>
      <c r="T31" s="627" t="s">
        <v>25</v>
      </c>
      <c r="U31" s="628">
        <f t="shared" si="13"/>
        <v>100</v>
      </c>
      <c r="V31" s="627" t="s">
        <v>25</v>
      </c>
      <c r="W31" s="628">
        <f t="shared" si="14"/>
        <v>100</v>
      </c>
      <c r="X31" s="629"/>
      <c r="Y31" s="368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89" t="s">
        <v>2036</v>
      </c>
      <c r="Q32" s="1262">
        <f t="shared" si="11"/>
        <v>111</v>
      </c>
      <c r="R32" s="631" t="s">
        <v>25</v>
      </c>
      <c r="S32" s="632">
        <f t="shared" si="12"/>
        <v>100</v>
      </c>
      <c r="T32" s="631" t="s">
        <v>25</v>
      </c>
      <c r="U32" s="632">
        <f t="shared" si="13"/>
        <v>100</v>
      </c>
      <c r="V32" s="631" t="s">
        <v>25</v>
      </c>
      <c r="W32" s="632">
        <f t="shared" si="14"/>
        <v>100</v>
      </c>
      <c r="X32" s="1263"/>
      <c r="Y32" s="3689"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89"/>
      <c r="Q33" s="1262">
        <f t="shared" si="11"/>
        <v>111</v>
      </c>
      <c r="R33" s="631" t="s">
        <v>25</v>
      </c>
      <c r="S33" s="632">
        <f t="shared" si="12"/>
        <v>100</v>
      </c>
      <c r="T33" s="631" t="s">
        <v>25</v>
      </c>
      <c r="U33" s="632">
        <f t="shared" si="13"/>
        <v>100</v>
      </c>
      <c r="V33" s="631" t="s">
        <v>25</v>
      </c>
      <c r="W33" s="632">
        <f t="shared" si="14"/>
        <v>100</v>
      </c>
      <c r="X33" s="1263"/>
      <c r="Y33" s="368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89"/>
      <c r="Q34" s="1262">
        <f t="shared" si="11"/>
        <v>111</v>
      </c>
      <c r="R34" s="631" t="s">
        <v>25</v>
      </c>
      <c r="S34" s="632">
        <f t="shared" si="12"/>
        <v>100</v>
      </c>
      <c r="T34" s="631" t="s">
        <v>25</v>
      </c>
      <c r="U34" s="632">
        <f t="shared" si="13"/>
        <v>100</v>
      </c>
      <c r="V34" s="631" t="s">
        <v>25</v>
      </c>
      <c r="W34" s="632">
        <f t="shared" si="14"/>
        <v>100</v>
      </c>
      <c r="X34" s="1263"/>
      <c r="Y34" s="3689"/>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4"/>
      <c r="N35" s="2943"/>
      <c r="P35" s="3657" t="str">
        <f>A35</f>
        <v>成交单价（元/平方米）</v>
      </c>
      <c r="Q35" s="3657"/>
      <c r="R35" s="3691">
        <f>E35</f>
        <v>0</v>
      </c>
      <c r="S35" s="3691"/>
      <c r="T35" s="3691">
        <f>G35</f>
        <v>0</v>
      </c>
      <c r="U35" s="3691"/>
      <c r="V35" s="3691">
        <f>I35</f>
        <v>0</v>
      </c>
      <c r="W35" s="3691"/>
      <c r="X35" s="618"/>
      <c r="Y35" s="638"/>
      <c r="Z35" s="618"/>
      <c r="AA35" s="618"/>
      <c r="AB35" s="618"/>
      <c r="AC35" s="618"/>
    </row>
    <row r="36" spans="1:29" ht="15.75" thickBot="1">
      <c r="A36" s="374" t="s">
        <v>2131</v>
      </c>
      <c r="B36" s="375"/>
      <c r="C36" s="1088" t="e">
        <f>R37</f>
        <v>#DIV/0!</v>
      </c>
      <c r="D36" s="1725" t="s">
        <v>2499</v>
      </c>
      <c r="E36" s="1089" t="e">
        <f>R36</f>
        <v>#DIV/0!</v>
      </c>
      <c r="F36" s="1727"/>
      <c r="G36" s="1088" t="e">
        <f>T36</f>
        <v>#DIV/0!</v>
      </c>
      <c r="H36" s="1727"/>
      <c r="I36" s="1089" t="e">
        <f>V36</f>
        <v>#DIV/0!</v>
      </c>
      <c r="J36" s="1727"/>
      <c r="K36" s="2429">
        <f>F36+H36+J36</f>
        <v>0</v>
      </c>
      <c r="L36" s="2954"/>
      <c r="N36" s="2943"/>
      <c r="P36" s="3657" t="str">
        <f>A36</f>
        <v>比较价值（元/平方米）</v>
      </c>
      <c r="Q36" s="3657"/>
      <c r="R36" s="3691" t="e">
        <f>IF(E1="售价",ROUND(PRODUCT(R35,AA7:AA34),0),ROUND(PRODUCT(R35,AA7:AA34),1))</f>
        <v>#DIV/0!</v>
      </c>
      <c r="S36" s="3691"/>
      <c r="T36" s="3691" t="e">
        <f>IF(E1="售价",ROUND(PRODUCT(T35,AB7:AB34),0),ROUND(PRODUCT(T35,AB7:AB34),1))</f>
        <v>#DIV/0!</v>
      </c>
      <c r="U36" s="3691"/>
      <c r="V36" s="3691" t="e">
        <f>IF(E1="售价",ROUND(PRODUCT(V35,AC7:AC34),0),ROUND(PRODUCT(V35,AC7:AC34),1))</f>
        <v>#DIV/0!</v>
      </c>
      <c r="W36" s="3691"/>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4"/>
      <c r="P37" s="3692" t="str">
        <f>A37</f>
        <v>估价对象XX用房的比较价值（楼面单价，元/平方米）</v>
      </c>
      <c r="Q37" s="3693"/>
      <c r="R37" s="3694" t="e">
        <f>IF(E1="售价",ROUND(IF(D36="简单平均",AVERAGE(R36:W36),R36*F36+T36*H36+V36*J36),0),ROUND(IF(D36="简单平均",AVERAGE(R36:V36),R36*F36+T36*H36+V36*J36),1))</f>
        <v>#DIV/0!</v>
      </c>
      <c r="S37" s="3694"/>
      <c r="T37" s="3694"/>
      <c r="U37" s="3694"/>
      <c r="V37" s="3694"/>
      <c r="W37" s="3694"/>
      <c r="X37" s="618"/>
      <c r="Y37" s="618"/>
      <c r="Z37" s="618"/>
      <c r="AA37" s="618"/>
      <c r="AB37" s="618"/>
      <c r="AC37" s="618"/>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2136</v>
      </c>
      <c r="B45" s="618"/>
      <c r="C45" s="621"/>
      <c r="D45" s="621"/>
      <c r="E45" s="621"/>
      <c r="F45" s="622"/>
      <c r="G45" s="622"/>
      <c r="H45" s="621"/>
      <c r="I45" s="621"/>
      <c r="J45" s="621"/>
      <c r="K45" s="623"/>
      <c r="L45" s="624"/>
      <c r="M45" s="621"/>
      <c r="N45" s="2960"/>
      <c r="O45" s="2960"/>
      <c r="P45" s="389"/>
      <c r="Q45" s="390"/>
    </row>
    <row r="46" spans="1:29" s="394" customFormat="1" ht="15">
      <c r="A46" s="391" t="s">
        <v>2018</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估价对象为房地产，为所有。根据《》[]，估价对象建筑面积为829.41平方米。根据《》[]，估价对象（分摊）出让国有建设用地使用权面积为30.71平方米。估价对象用途为。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2022年8月3日（评估专业人员实地查勘之日）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本次估价的“房地产价值”是指在正常市场情况下，在价值时点2022年8月3日，估价对象规划用途为，假定未设立法定优先受偿款下的房地产市场价值。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2005</v>
      </c>
      <c r="B4" s="1592"/>
      <c r="C4" s="3584" t="s">
        <v>2006</v>
      </c>
      <c r="D4" s="3585"/>
      <c r="E4" s="3586" t="s">
        <v>2007</v>
      </c>
      <c r="F4" s="3587"/>
      <c r="G4" s="3584" t="s">
        <v>2008</v>
      </c>
      <c r="H4" s="3585"/>
      <c r="I4" s="3584" t="s">
        <v>2009</v>
      </c>
      <c r="J4" s="3585"/>
      <c r="K4" s="1894" t="s">
        <v>2010</v>
      </c>
      <c r="L4" s="2914"/>
      <c r="M4" s="2915"/>
      <c r="N4" s="2915"/>
      <c r="O4" s="2915"/>
      <c r="P4" s="3588" t="s">
        <v>2011</v>
      </c>
      <c r="Q4" s="3589"/>
      <c r="R4" s="3594" t="s">
        <v>2007</v>
      </c>
      <c r="S4" s="3595"/>
      <c r="T4" s="3594" t="s">
        <v>2008</v>
      </c>
      <c r="U4" s="3595"/>
      <c r="V4" s="3600" t="s">
        <v>2009</v>
      </c>
      <c r="W4" s="3600"/>
      <c r="X4" s="1594"/>
      <c r="Y4" s="3594" t="s">
        <v>2011</v>
      </c>
      <c r="Z4" s="3595"/>
      <c r="AA4" s="3581" t="s">
        <v>2007</v>
      </c>
      <c r="AB4" s="3582" t="s">
        <v>2008</v>
      </c>
      <c r="AC4" s="3581" t="s">
        <v>2009</v>
      </c>
    </row>
    <row r="5" spans="1:30" ht="15">
      <c r="A5" s="1596"/>
      <c r="B5" s="1597"/>
      <c r="C5" s="3603" t="s">
        <v>2012</v>
      </c>
      <c r="D5" s="3578"/>
      <c r="E5" s="3649" t="s">
        <v>2013</v>
      </c>
      <c r="F5" s="3602"/>
      <c r="G5" s="3603" t="s">
        <v>2014</v>
      </c>
      <c r="H5" s="3578"/>
      <c r="I5" s="3603" t="s">
        <v>2015</v>
      </c>
      <c r="J5" s="3578"/>
      <c r="K5" s="1894"/>
      <c r="L5" s="2914"/>
      <c r="M5" s="2915"/>
      <c r="N5" s="2915"/>
      <c r="O5" s="2915"/>
      <c r="P5" s="3590"/>
      <c r="Q5" s="3591"/>
      <c r="R5" s="3596"/>
      <c r="S5" s="3597"/>
      <c r="T5" s="3596"/>
      <c r="U5" s="3597"/>
      <c r="V5" s="3600"/>
      <c r="W5" s="3600"/>
      <c r="X5" s="1594"/>
      <c r="Y5" s="3596"/>
      <c r="Z5" s="3597"/>
      <c r="AA5" s="3582"/>
      <c r="AB5" s="3582"/>
      <c r="AC5" s="3582"/>
    </row>
    <row r="6" spans="1:30" ht="15.75" thickBot="1">
      <c r="A6" s="1599"/>
      <c r="B6" s="1600"/>
      <c r="C6" s="3574" t="s">
        <v>2016</v>
      </c>
      <c r="D6" s="3575"/>
      <c r="E6" s="3572" t="s">
        <v>2016</v>
      </c>
      <c r="F6" s="3573"/>
      <c r="G6" s="3574" t="s">
        <v>2016</v>
      </c>
      <c r="H6" s="3575"/>
      <c r="I6" s="3574" t="s">
        <v>2016</v>
      </c>
      <c r="J6" s="3575"/>
      <c r="K6" s="1894" t="s">
        <v>2017</v>
      </c>
      <c r="L6" s="2914"/>
      <c r="M6" s="2915"/>
      <c r="N6" s="2915"/>
      <c r="O6" s="2915"/>
      <c r="P6" s="3592"/>
      <c r="Q6" s="3593"/>
      <c r="R6" s="3596"/>
      <c r="S6" s="3597"/>
      <c r="T6" s="3598"/>
      <c r="U6" s="3599"/>
      <c r="V6" s="3600"/>
      <c r="W6" s="3600"/>
      <c r="X6" s="1594"/>
      <c r="Y6" s="3598"/>
      <c r="Z6" s="3599"/>
      <c r="AA6" s="3583"/>
      <c r="AB6" s="3583"/>
      <c r="AC6" s="3583"/>
    </row>
    <row r="7" spans="1:30" s="1613" customFormat="1" ht="15.75" thickBot="1">
      <c r="A7" s="1601" t="s">
        <v>2018</v>
      </c>
      <c r="B7" s="1602"/>
      <c r="C7" s="1603">
        <f>'数据-取费表'!B2</f>
        <v>44776</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579" t="s">
        <v>2019</v>
      </c>
      <c r="Q7" s="3604"/>
      <c r="R7" s="1609" t="s">
        <v>25</v>
      </c>
      <c r="S7" s="1610">
        <f t="shared" ref="S7:S15" si="0">F7</f>
        <v>0</v>
      </c>
      <c r="T7" s="1609" t="s">
        <v>25</v>
      </c>
      <c r="U7" s="1610">
        <f t="shared" ref="U7:U15" si="1">H7</f>
        <v>0</v>
      </c>
      <c r="V7" s="1609" t="s">
        <v>25</v>
      </c>
      <c r="W7" s="1610">
        <f t="shared" ref="W7:W15" si="2">J7</f>
        <v>0</v>
      </c>
      <c r="X7" s="1611"/>
      <c r="Y7" s="3579" t="s">
        <v>2019</v>
      </c>
      <c r="Z7" s="3580"/>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579" t="s">
        <v>2022</v>
      </c>
      <c r="Q8" s="3580"/>
      <c r="R8" s="1609" t="s">
        <v>25</v>
      </c>
      <c r="S8" s="1610">
        <f t="shared" si="0"/>
        <v>0</v>
      </c>
      <c r="T8" s="1609" t="s">
        <v>25</v>
      </c>
      <c r="U8" s="1610">
        <f t="shared" si="1"/>
        <v>0</v>
      </c>
      <c r="V8" s="1609" t="s">
        <v>25</v>
      </c>
      <c r="W8" s="1610">
        <f t="shared" si="2"/>
        <v>0</v>
      </c>
      <c r="X8" s="1611"/>
      <c r="Y8" s="3579" t="s">
        <v>2022</v>
      </c>
      <c r="Z8" s="3580"/>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614" t="s">
        <v>2025</v>
      </c>
      <c r="Q9" s="1563" t="str">
        <f t="shared" ref="Q9:Q15" si="6">B9</f>
        <v>用途</v>
      </c>
      <c r="R9" s="1609" t="s">
        <v>25</v>
      </c>
      <c r="S9" s="1610">
        <f t="shared" si="0"/>
        <v>100</v>
      </c>
      <c r="T9" s="1609" t="s">
        <v>25</v>
      </c>
      <c r="U9" s="1610">
        <f t="shared" si="1"/>
        <v>100</v>
      </c>
      <c r="V9" s="1609" t="s">
        <v>25</v>
      </c>
      <c r="W9" s="1610">
        <f t="shared" si="2"/>
        <v>100</v>
      </c>
      <c r="X9" s="1611"/>
      <c r="Y9" s="3505"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118</v>
      </c>
      <c r="G10" s="1686"/>
      <c r="H10" s="1626">
        <f>ROUND(100/'数据-取费表'!B14,0)</f>
        <v>118</v>
      </c>
      <c r="I10" s="1686"/>
      <c r="J10" s="1626">
        <f>ROUND(100/'数据-取费表'!B14,0)</f>
        <v>118</v>
      </c>
      <c r="K10" s="1898"/>
      <c r="L10" s="2916"/>
      <c r="M10" s="2917"/>
      <c r="N10" s="2917"/>
      <c r="O10" s="2962"/>
      <c r="P10" s="3614"/>
      <c r="Q10" s="1563" t="str">
        <f t="shared" si="6"/>
        <v>土地使用年限（年）</v>
      </c>
      <c r="R10" s="1609" t="s">
        <v>25</v>
      </c>
      <c r="S10" s="1610">
        <f t="shared" si="0"/>
        <v>118</v>
      </c>
      <c r="T10" s="1609" t="s">
        <v>25</v>
      </c>
      <c r="U10" s="1610">
        <f t="shared" si="1"/>
        <v>118</v>
      </c>
      <c r="V10" s="1609" t="s">
        <v>25</v>
      </c>
      <c r="W10" s="1610">
        <f t="shared" si="2"/>
        <v>118</v>
      </c>
      <c r="X10" s="1611"/>
      <c r="Y10" s="3505"/>
      <c r="Z10" s="1622" t="str">
        <f t="shared" si="7"/>
        <v>土地使用年限（年）</v>
      </c>
      <c r="AA10" s="1612">
        <f t="shared" si="3"/>
        <v>0.84745762711864403</v>
      </c>
      <c r="AB10" s="1612">
        <f t="shared" si="4"/>
        <v>0.84745762711864403</v>
      </c>
      <c r="AC10" s="1612">
        <f t="shared" si="5"/>
        <v>0.84745762711864403</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614"/>
      <c r="Q11" s="1563" t="str">
        <f t="shared" si="6"/>
        <v>容积率</v>
      </c>
      <c r="R11" s="1609" t="s">
        <v>25</v>
      </c>
      <c r="S11" s="1610" t="e">
        <f t="shared" si="0"/>
        <v>#N/A</v>
      </c>
      <c r="T11" s="1609" t="s">
        <v>25</v>
      </c>
      <c r="U11" s="1610" t="e">
        <f t="shared" si="1"/>
        <v>#N/A</v>
      </c>
      <c r="V11" s="1609" t="s">
        <v>25</v>
      </c>
      <c r="W11" s="1610" t="e">
        <f t="shared" si="2"/>
        <v>#N/A</v>
      </c>
      <c r="X11" s="1611"/>
      <c r="Y11" s="3505"/>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614"/>
      <c r="Q12" s="1563" t="str">
        <f t="shared" si="6"/>
        <v>配建</v>
      </c>
      <c r="R12" s="1609" t="s">
        <v>25</v>
      </c>
      <c r="S12" s="1610">
        <f t="shared" si="0"/>
        <v>100</v>
      </c>
      <c r="T12" s="1609" t="s">
        <v>25</v>
      </c>
      <c r="U12" s="1610">
        <f t="shared" si="1"/>
        <v>100</v>
      </c>
      <c r="V12" s="1609" t="s">
        <v>25</v>
      </c>
      <c r="W12" s="1610">
        <f t="shared" si="2"/>
        <v>100</v>
      </c>
      <c r="X12" s="1611"/>
      <c r="Y12" s="3505"/>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614"/>
      <c r="Q13" s="1563">
        <f t="shared" si="6"/>
        <v>111</v>
      </c>
      <c r="R13" s="1609" t="s">
        <v>25</v>
      </c>
      <c r="S13" s="1610">
        <f t="shared" si="0"/>
        <v>100</v>
      </c>
      <c r="T13" s="1609" t="s">
        <v>25</v>
      </c>
      <c r="U13" s="1610">
        <f t="shared" si="1"/>
        <v>100</v>
      </c>
      <c r="V13" s="1609" t="s">
        <v>25</v>
      </c>
      <c r="W13" s="1610">
        <f t="shared" si="2"/>
        <v>100</v>
      </c>
      <c r="X13" s="1611"/>
      <c r="Y13" s="3505"/>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614"/>
      <c r="Q14" s="1563">
        <f t="shared" si="6"/>
        <v>111</v>
      </c>
      <c r="R14" s="1609" t="s">
        <v>25</v>
      </c>
      <c r="S14" s="1610">
        <f t="shared" si="0"/>
        <v>100</v>
      </c>
      <c r="T14" s="1609" t="s">
        <v>25</v>
      </c>
      <c r="U14" s="1610">
        <f t="shared" si="1"/>
        <v>100</v>
      </c>
      <c r="V14" s="1609" t="s">
        <v>25</v>
      </c>
      <c r="W14" s="1610">
        <f t="shared" si="2"/>
        <v>100</v>
      </c>
      <c r="X14" s="1611"/>
      <c r="Y14" s="3505"/>
      <c r="Z14" s="1622">
        <f t="shared" si="7"/>
        <v>111</v>
      </c>
      <c r="AA14" s="1612">
        <f>D14/F14</f>
        <v>1</v>
      </c>
      <c r="AB14" s="1612">
        <f>D14/H14</f>
        <v>1</v>
      </c>
      <c r="AC14" s="1612">
        <f>D14/J14</f>
        <v>1</v>
      </c>
    </row>
    <row r="15" spans="1:30" ht="15">
      <c r="A15" s="1591" t="s">
        <v>2029</v>
      </c>
      <c r="B15" s="1901" t="s">
        <v>1464</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607" t="s">
        <v>2030</v>
      </c>
      <c r="Q15" s="1544" t="str">
        <f t="shared" si="6"/>
        <v>居住社区成熟度</v>
      </c>
      <c r="R15" s="1654" t="s">
        <v>25</v>
      </c>
      <c r="S15" s="1655">
        <f t="shared" si="0"/>
        <v>100</v>
      </c>
      <c r="T15" s="1654" t="s">
        <v>25</v>
      </c>
      <c r="U15" s="1655">
        <f t="shared" si="1"/>
        <v>100</v>
      </c>
      <c r="V15" s="1654" t="s">
        <v>25</v>
      </c>
      <c r="W15" s="1655">
        <f t="shared" si="2"/>
        <v>100</v>
      </c>
      <c r="X15" s="1594"/>
      <c r="Y15" s="3607"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608"/>
      <c r="Q16" s="1544"/>
      <c r="R16" s="1654"/>
      <c r="S16" s="1655"/>
      <c r="T16" s="1654"/>
      <c r="U16" s="1655"/>
      <c r="V16" s="1654"/>
      <c r="W16" s="1655"/>
      <c r="X16" s="1594"/>
      <c r="Y16" s="3608"/>
      <c r="Z16" s="1656"/>
      <c r="AA16" s="1657">
        <v>1</v>
      </c>
      <c r="AB16" s="1657">
        <v>1</v>
      </c>
      <c r="AC16" s="1657">
        <v>1</v>
      </c>
    </row>
    <row r="17" spans="1:29" ht="15">
      <c r="A17" s="1596"/>
      <c r="B17" s="1905" t="s">
        <v>2115</v>
      </c>
      <c r="C17" s="1906" t="str">
        <f>估价对象房地状况!C16</f>
        <v>较好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608"/>
      <c r="Q17" s="1544" t="str">
        <f>B17</f>
        <v>商业繁华度</v>
      </c>
      <c r="R17" s="1654" t="s">
        <v>25</v>
      </c>
      <c r="S17" s="1655">
        <f>F17</f>
        <v>100</v>
      </c>
      <c r="T17" s="1654" t="s">
        <v>25</v>
      </c>
      <c r="U17" s="1655">
        <f>H17</f>
        <v>100</v>
      </c>
      <c r="V17" s="1654" t="s">
        <v>25</v>
      </c>
      <c r="W17" s="1655">
        <f>J17</f>
        <v>100</v>
      </c>
      <c r="X17" s="1594"/>
      <c r="Y17" s="3608"/>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608"/>
      <c r="Q18" s="1544"/>
      <c r="R18" s="1654"/>
      <c r="S18" s="1655"/>
      <c r="T18" s="1654"/>
      <c r="U18" s="1655"/>
      <c r="V18" s="1654"/>
      <c r="W18" s="1655"/>
      <c r="X18" s="1594"/>
      <c r="Y18" s="3608"/>
      <c r="Z18" s="1656"/>
      <c r="AA18" s="1657">
        <v>1</v>
      </c>
      <c r="AB18" s="1657">
        <v>1</v>
      </c>
      <c r="AC18" s="1657">
        <v>1</v>
      </c>
    </row>
    <row r="19" spans="1:29" ht="15">
      <c r="A19" s="1596"/>
      <c r="B19" s="1905" t="s">
        <v>2144</v>
      </c>
      <c r="C19" s="1906">
        <f>估价对象房地状况!C17</f>
        <v>0</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608"/>
      <c r="Q19" s="1544" t="str">
        <f>B19</f>
        <v>办公集聚程度</v>
      </c>
      <c r="R19" s="1654" t="s">
        <v>25</v>
      </c>
      <c r="S19" s="1655">
        <f>F19</f>
        <v>100</v>
      </c>
      <c r="T19" s="1654" t="s">
        <v>25</v>
      </c>
      <c r="U19" s="1655">
        <f>H19</f>
        <v>100</v>
      </c>
      <c r="V19" s="1654" t="s">
        <v>25</v>
      </c>
      <c r="W19" s="1655">
        <f>J19</f>
        <v>100</v>
      </c>
      <c r="X19" s="1594"/>
      <c r="Y19" s="3608"/>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608"/>
      <c r="Q20" s="1544"/>
      <c r="R20" s="1654"/>
      <c r="S20" s="1655"/>
      <c r="T20" s="1654"/>
      <c r="U20" s="1655"/>
      <c r="V20" s="1654"/>
      <c r="W20" s="1655"/>
      <c r="X20" s="1594"/>
      <c r="Y20" s="3608"/>
      <c r="Z20" s="1656"/>
      <c r="AA20" s="1657">
        <v>1</v>
      </c>
      <c r="AB20" s="1657">
        <v>1</v>
      </c>
      <c r="AC20" s="1657">
        <v>1</v>
      </c>
    </row>
    <row r="21" spans="1:29" ht="15">
      <c r="A21" s="1596"/>
      <c r="B21" s="1905" t="s">
        <v>2167</v>
      </c>
      <c r="C21" s="1909" t="str">
        <f>估价对象房地状况!C18</f>
        <v>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608"/>
      <c r="Q21" s="1544" t="str">
        <f>B21</f>
        <v>交通便捷度</v>
      </c>
      <c r="R21" s="1654" t="s">
        <v>25</v>
      </c>
      <c r="S21" s="1655">
        <f>F21</f>
        <v>100</v>
      </c>
      <c r="T21" s="1654" t="s">
        <v>25</v>
      </c>
      <c r="U21" s="1655">
        <f>H21</f>
        <v>100</v>
      </c>
      <c r="V21" s="1654" t="s">
        <v>25</v>
      </c>
      <c r="W21" s="1655">
        <f>J21</f>
        <v>100</v>
      </c>
      <c r="X21" s="1594"/>
      <c r="Y21" s="3608"/>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608"/>
      <c r="Q22" s="1544"/>
      <c r="R22" s="1654"/>
      <c r="S22" s="1655"/>
      <c r="T22" s="1654"/>
      <c r="U22" s="1655"/>
      <c r="V22" s="1654"/>
      <c r="W22" s="1655"/>
      <c r="X22" s="1594"/>
      <c r="Y22" s="3608"/>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608"/>
      <c r="Q23" s="1544" t="str">
        <f t="shared" ref="Q23:Q37" si="8">B23</f>
        <v>区域土地利用方向</v>
      </c>
      <c r="R23" s="1654" t="s">
        <v>25</v>
      </c>
      <c r="S23" s="1655">
        <f>F23</f>
        <v>100</v>
      </c>
      <c r="T23" s="1654" t="s">
        <v>25</v>
      </c>
      <c r="U23" s="1655">
        <f>H23</f>
        <v>100</v>
      </c>
      <c r="V23" s="1654" t="s">
        <v>25</v>
      </c>
      <c r="W23" s="1655">
        <f>J23</f>
        <v>100</v>
      </c>
      <c r="X23" s="1594"/>
      <c r="Y23" s="3608"/>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608"/>
      <c r="Q24" s="1544"/>
      <c r="R24" s="1654"/>
      <c r="S24" s="1655"/>
      <c r="T24" s="1654"/>
      <c r="U24" s="1655"/>
      <c r="V24" s="1654"/>
      <c r="W24" s="1655"/>
      <c r="X24" s="1594"/>
      <c r="Y24" s="3608"/>
      <c r="Z24" s="1656"/>
      <c r="AA24" s="1657"/>
      <c r="AB24" s="1657"/>
      <c r="AC24" s="1657"/>
    </row>
    <row r="25" spans="1:29" ht="27">
      <c r="A25" s="1596"/>
      <c r="B25" s="1910" t="s">
        <v>2208</v>
      </c>
      <c r="C25" s="1906" t="str">
        <f>估价对象房地状况!C20</f>
        <v>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608"/>
      <c r="Q25" s="1544" t="str">
        <f t="shared" si="8"/>
        <v>自然及人文环境状况</v>
      </c>
      <c r="R25" s="1654" t="s">
        <v>25</v>
      </c>
      <c r="S25" s="1655">
        <f>F25</f>
        <v>100</v>
      </c>
      <c r="T25" s="1654" t="s">
        <v>25</v>
      </c>
      <c r="U25" s="1655">
        <f>H25</f>
        <v>100</v>
      </c>
      <c r="V25" s="1654" t="s">
        <v>25</v>
      </c>
      <c r="W25" s="1655">
        <f>J25</f>
        <v>100</v>
      </c>
      <c r="X25" s="1594"/>
      <c r="Y25" s="3608"/>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608"/>
      <c r="Q26" s="1544"/>
      <c r="R26" s="1654"/>
      <c r="S26" s="1655"/>
      <c r="T26" s="1654"/>
      <c r="U26" s="1655"/>
      <c r="V26" s="1654"/>
      <c r="W26" s="1655"/>
      <c r="X26" s="1594"/>
      <c r="Y26" s="3608"/>
      <c r="Z26" s="1656"/>
      <c r="AA26" s="1657">
        <v>1</v>
      </c>
      <c r="AB26" s="1657">
        <v>1</v>
      </c>
      <c r="AC26" s="1657">
        <v>1</v>
      </c>
    </row>
    <row r="27" spans="1:29" ht="15">
      <c r="A27" s="1596"/>
      <c r="B27" s="1910" t="s">
        <v>2116</v>
      </c>
      <c r="C27" s="1909" t="str">
        <f>估价对象房地状况!C21</f>
        <v>较好</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608"/>
      <c r="Q27" s="1563" t="str">
        <f t="shared" ref="Q27" si="9">B27</f>
        <v>公共配套设施</v>
      </c>
      <c r="R27" s="1609" t="s">
        <v>25</v>
      </c>
      <c r="S27" s="1610">
        <f>F27</f>
        <v>100</v>
      </c>
      <c r="T27" s="1609" t="s">
        <v>25</v>
      </c>
      <c r="U27" s="1610">
        <f>H27</f>
        <v>100</v>
      </c>
      <c r="V27" s="1609" t="s">
        <v>25</v>
      </c>
      <c r="W27" s="1610">
        <f>J27</f>
        <v>100</v>
      </c>
      <c r="X27" s="1594"/>
      <c r="Y27" s="3608"/>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608"/>
      <c r="Q28" s="1544"/>
      <c r="R28" s="1654"/>
      <c r="S28" s="1655"/>
      <c r="T28" s="1654"/>
      <c r="U28" s="1655"/>
      <c r="V28" s="1654"/>
      <c r="W28" s="1655"/>
      <c r="X28" s="1594"/>
      <c r="Y28" s="3608"/>
      <c r="Z28" s="1622"/>
      <c r="AA28" s="1657">
        <v>1</v>
      </c>
      <c r="AB28" s="1657">
        <v>1</v>
      </c>
      <c r="AC28" s="1657">
        <v>1</v>
      </c>
    </row>
    <row r="29" spans="1:29" s="1613" customFormat="1" ht="15">
      <c r="A29" s="1916"/>
      <c r="B29" s="1910" t="s">
        <v>2117</v>
      </c>
      <c r="C29" s="1917" t="str">
        <f>估价对象房地状况!C22</f>
        <v>六通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608"/>
      <c r="Q29" s="1563" t="str">
        <f t="shared" si="8"/>
        <v>基础设施水平</v>
      </c>
      <c r="R29" s="1609" t="s">
        <v>25</v>
      </c>
      <c r="S29" s="1610">
        <f>F29</f>
        <v>100</v>
      </c>
      <c r="T29" s="1609" t="s">
        <v>25</v>
      </c>
      <c r="U29" s="1610">
        <f>H29</f>
        <v>100</v>
      </c>
      <c r="V29" s="1609" t="s">
        <v>25</v>
      </c>
      <c r="W29" s="1610">
        <f>J29</f>
        <v>100</v>
      </c>
      <c r="X29" s="1611"/>
      <c r="Y29" s="3608"/>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608"/>
      <c r="Q30" s="1563"/>
      <c r="R30" s="1609"/>
      <c r="S30" s="1610"/>
      <c r="T30" s="1609"/>
      <c r="U30" s="1610"/>
      <c r="V30" s="1609"/>
      <c r="W30" s="1610"/>
      <c r="X30" s="1611"/>
      <c r="Y30" s="3608"/>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608"/>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8"/>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608"/>
      <c r="Q32" s="1544" t="str">
        <f t="shared" si="8"/>
        <v>毗邻道路的类型与等级</v>
      </c>
      <c r="R32" s="1654" t="s">
        <v>25</v>
      </c>
      <c r="S32" s="1655">
        <f t="shared" si="10"/>
        <v>100</v>
      </c>
      <c r="T32" s="1654" t="s">
        <v>25</v>
      </c>
      <c r="U32" s="1655">
        <f t="shared" si="11"/>
        <v>100</v>
      </c>
      <c r="V32" s="1654" t="s">
        <v>25</v>
      </c>
      <c r="W32" s="1655">
        <f t="shared" si="12"/>
        <v>100</v>
      </c>
      <c r="X32" s="1594"/>
      <c r="Y32" s="3608"/>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608"/>
      <c r="Q33" s="1544"/>
      <c r="R33" s="1654"/>
      <c r="S33" s="1655"/>
      <c r="T33" s="1654"/>
      <c r="U33" s="1655"/>
      <c r="V33" s="1654"/>
      <c r="W33" s="1655"/>
      <c r="X33" s="1594"/>
      <c r="Y33" s="3608"/>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608"/>
      <c r="Q34" s="1544" t="str">
        <f t="shared" si="8"/>
        <v>土地级别</v>
      </c>
      <c r="R34" s="1654" t="s">
        <v>25</v>
      </c>
      <c r="S34" s="1655">
        <f t="shared" si="10"/>
        <v>100</v>
      </c>
      <c r="T34" s="1654" t="s">
        <v>25</v>
      </c>
      <c r="U34" s="1655">
        <f t="shared" si="11"/>
        <v>100</v>
      </c>
      <c r="V34" s="1654" t="s">
        <v>25</v>
      </c>
      <c r="W34" s="1655">
        <f t="shared" si="12"/>
        <v>100</v>
      </c>
      <c r="X34" s="1594"/>
      <c r="Y34" s="3608"/>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608"/>
      <c r="Q35" s="1544">
        <f t="shared" si="8"/>
        <v>111</v>
      </c>
      <c r="R35" s="1654" t="s">
        <v>25</v>
      </c>
      <c r="S35" s="1655">
        <f t="shared" si="10"/>
        <v>100</v>
      </c>
      <c r="T35" s="1654" t="s">
        <v>25</v>
      </c>
      <c r="U35" s="1655">
        <f t="shared" si="11"/>
        <v>100</v>
      </c>
      <c r="V35" s="1654" t="s">
        <v>25</v>
      </c>
      <c r="W35" s="1655">
        <f t="shared" si="12"/>
        <v>100</v>
      </c>
      <c r="X35" s="1594"/>
      <c r="Y35" s="3608"/>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52" t="s">
        <v>2036</v>
      </c>
      <c r="Q36" s="1544">
        <f t="shared" si="8"/>
        <v>111</v>
      </c>
      <c r="R36" s="1654" t="s">
        <v>25</v>
      </c>
      <c r="S36" s="1655">
        <f t="shared" si="10"/>
        <v>100</v>
      </c>
      <c r="T36" s="1654" t="s">
        <v>25</v>
      </c>
      <c r="U36" s="1655">
        <f t="shared" si="11"/>
        <v>100</v>
      </c>
      <c r="V36" s="1654" t="s">
        <v>25</v>
      </c>
      <c r="W36" s="1655">
        <f t="shared" si="12"/>
        <v>100</v>
      </c>
      <c r="X36" s="1594"/>
      <c r="Y36" s="3612"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612"/>
      <c r="Q37" s="1544">
        <f t="shared" si="8"/>
        <v>111</v>
      </c>
      <c r="R37" s="1696" t="s">
        <v>25</v>
      </c>
      <c r="S37" s="1697">
        <f t="shared" si="10"/>
        <v>100</v>
      </c>
      <c r="T37" s="1696" t="s">
        <v>25</v>
      </c>
      <c r="U37" s="1697">
        <f t="shared" si="11"/>
        <v>100</v>
      </c>
      <c r="V37" s="1696" t="s">
        <v>25</v>
      </c>
      <c r="W37" s="1697">
        <f t="shared" si="12"/>
        <v>100</v>
      </c>
      <c r="X37" s="1698"/>
      <c r="Y37" s="3612"/>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612"/>
      <c r="Q38" s="1544" t="str">
        <f>B38</f>
        <v>宗地面积</v>
      </c>
      <c r="R38" s="1654" t="s">
        <v>25</v>
      </c>
      <c r="S38" s="1655" t="e">
        <f t="shared" si="10"/>
        <v>#N/A</v>
      </c>
      <c r="T38" s="1654" t="s">
        <v>25</v>
      </c>
      <c r="U38" s="1655" t="e">
        <f t="shared" si="11"/>
        <v>#N/A</v>
      </c>
      <c r="V38" s="1654" t="s">
        <v>25</v>
      </c>
      <c r="W38" s="1655" t="e">
        <f t="shared" si="12"/>
        <v>#N/A</v>
      </c>
      <c r="X38" s="1594"/>
      <c r="Y38" s="3612"/>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612"/>
      <c r="Q39" s="1544" t="str">
        <f t="shared" ref="Q39:Q45" si="14">B39</f>
        <v>宗地形状</v>
      </c>
      <c r="R39" s="1654" t="s">
        <v>25</v>
      </c>
      <c r="S39" s="1655">
        <f t="shared" si="10"/>
        <v>100</v>
      </c>
      <c r="T39" s="1654" t="s">
        <v>25</v>
      </c>
      <c r="U39" s="1655">
        <f t="shared" si="11"/>
        <v>100</v>
      </c>
      <c r="V39" s="1654" t="s">
        <v>25</v>
      </c>
      <c r="W39" s="1655">
        <f t="shared" si="12"/>
        <v>100</v>
      </c>
      <c r="X39" s="1594"/>
      <c r="Y39" s="3612"/>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612"/>
      <c r="Q40" s="1544" t="str">
        <f t="shared" si="14"/>
        <v>临街宽度及深度</v>
      </c>
      <c r="R40" s="1654" t="s">
        <v>25</v>
      </c>
      <c r="S40" s="1655">
        <f t="shared" si="10"/>
        <v>100</v>
      </c>
      <c r="T40" s="1654" t="s">
        <v>25</v>
      </c>
      <c r="U40" s="1655">
        <f t="shared" si="11"/>
        <v>100</v>
      </c>
      <c r="V40" s="1654" t="s">
        <v>25</v>
      </c>
      <c r="W40" s="1655">
        <f t="shared" si="12"/>
        <v>100</v>
      </c>
      <c r="X40" s="1594"/>
      <c r="Y40" s="3612"/>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612"/>
      <c r="Q41" s="1544" t="str">
        <f t="shared" si="14"/>
        <v>宗地开发程度</v>
      </c>
      <c r="R41" s="1609" t="s">
        <v>25</v>
      </c>
      <c r="S41" s="1610">
        <f t="shared" si="10"/>
        <v>100</v>
      </c>
      <c r="T41" s="1609" t="s">
        <v>25</v>
      </c>
      <c r="U41" s="1610">
        <f t="shared" si="11"/>
        <v>100</v>
      </c>
      <c r="V41" s="1609" t="s">
        <v>25</v>
      </c>
      <c r="W41" s="1610">
        <f t="shared" si="12"/>
        <v>100</v>
      </c>
      <c r="X41" s="1611"/>
      <c r="Y41" s="3612"/>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612" t="s">
        <v>2036</v>
      </c>
      <c r="Q42" s="1544" t="str">
        <f t="shared" si="14"/>
        <v>工程地质条件</v>
      </c>
      <c r="R42" s="1654" t="s">
        <v>25</v>
      </c>
      <c r="S42" s="1655">
        <f t="shared" si="10"/>
        <v>100</v>
      </c>
      <c r="T42" s="1654" t="s">
        <v>25</v>
      </c>
      <c r="U42" s="1655">
        <f t="shared" si="11"/>
        <v>100</v>
      </c>
      <c r="V42" s="1654" t="s">
        <v>25</v>
      </c>
      <c r="W42" s="1655">
        <f t="shared" si="12"/>
        <v>100</v>
      </c>
      <c r="X42" s="1594"/>
      <c r="Y42" s="3612"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612"/>
      <c r="Q43" s="1544">
        <f t="shared" si="14"/>
        <v>111</v>
      </c>
      <c r="R43" s="1654" t="s">
        <v>25</v>
      </c>
      <c r="S43" s="1655">
        <f t="shared" si="10"/>
        <v>100</v>
      </c>
      <c r="T43" s="1654" t="s">
        <v>25</v>
      </c>
      <c r="U43" s="1655">
        <f t="shared" si="11"/>
        <v>100</v>
      </c>
      <c r="V43" s="1654" t="s">
        <v>25</v>
      </c>
      <c r="W43" s="1655">
        <f t="shared" si="12"/>
        <v>100</v>
      </c>
      <c r="X43" s="1594"/>
      <c r="Y43" s="3612"/>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612"/>
      <c r="Q44" s="1544">
        <f t="shared" si="14"/>
        <v>111</v>
      </c>
      <c r="R44" s="1654" t="s">
        <v>25</v>
      </c>
      <c r="S44" s="1655">
        <f t="shared" si="10"/>
        <v>100</v>
      </c>
      <c r="T44" s="1654" t="s">
        <v>25</v>
      </c>
      <c r="U44" s="1655">
        <f t="shared" si="11"/>
        <v>100</v>
      </c>
      <c r="V44" s="1654" t="s">
        <v>25</v>
      </c>
      <c r="W44" s="1655">
        <f t="shared" si="12"/>
        <v>100</v>
      </c>
      <c r="X44" s="1594"/>
      <c r="Y44" s="3612"/>
      <c r="Z44" s="1656">
        <f t="shared" si="13"/>
        <v>111</v>
      </c>
      <c r="AA44" s="1657">
        <f t="shared" si="3"/>
        <v>1</v>
      </c>
      <c r="AB44" s="1657">
        <f t="shared" si="4"/>
        <v>1</v>
      </c>
      <c r="AC44" s="1657">
        <f t="shared" si="5"/>
        <v>1</v>
      </c>
    </row>
    <row r="45" spans="1:29" s="1700" customFormat="1" ht="15.75" thickBot="1">
      <c r="A45" s="1693"/>
      <c r="B45" s="1932">
        <v>111</v>
      </c>
      <c r="C45" s="1933"/>
      <c r="D45" s="3061">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612"/>
      <c r="Q45" s="1544">
        <f t="shared" si="14"/>
        <v>111</v>
      </c>
      <c r="R45" s="1696" t="s">
        <v>25</v>
      </c>
      <c r="S45" s="1697">
        <f t="shared" si="10"/>
        <v>100</v>
      </c>
      <c r="T45" s="1696" t="s">
        <v>25</v>
      </c>
      <c r="U45" s="1697">
        <f t="shared" si="11"/>
        <v>100</v>
      </c>
      <c r="V45" s="1696" t="s">
        <v>25</v>
      </c>
      <c r="W45" s="1697">
        <f t="shared" si="12"/>
        <v>100</v>
      </c>
      <c r="X45" s="1698"/>
      <c r="Y45" s="3612"/>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0"/>
      <c r="N46" s="2915"/>
      <c r="P46" s="3614" t="str">
        <f>A46</f>
        <v>成交单价</v>
      </c>
      <c r="Q46" s="3614"/>
      <c r="R46" s="3600">
        <f>E46</f>
        <v>0</v>
      </c>
      <c r="S46" s="3600"/>
      <c r="T46" s="3600">
        <f>G46</f>
        <v>0</v>
      </c>
      <c r="U46" s="3600"/>
      <c r="V46" s="3600">
        <f>I46</f>
        <v>0</v>
      </c>
      <c r="W46" s="3600"/>
      <c r="X46" s="1720"/>
      <c r="Y46" s="1721"/>
      <c r="Z46" s="1720"/>
      <c r="AA46" s="1720"/>
      <c r="AB46" s="1720"/>
      <c r="AC46" s="1720"/>
    </row>
    <row r="47" spans="1:29" ht="15.75" thickBot="1">
      <c r="A47" s="1722" t="s">
        <v>2131</v>
      </c>
      <c r="B47" s="1943"/>
      <c r="C47" s="1944" t="e">
        <f>R48</f>
        <v>#DIV/0!</v>
      </c>
      <c r="D47" s="1725" t="s">
        <v>2499</v>
      </c>
      <c r="E47" s="1944" t="e">
        <f>R47</f>
        <v>#DIV/0!</v>
      </c>
      <c r="F47" s="1727"/>
      <c r="G47" s="1945" t="e">
        <f>T47</f>
        <v>#DIV/0!</v>
      </c>
      <c r="H47" s="1727"/>
      <c r="I47" s="1944" t="e">
        <f>V47</f>
        <v>#DIV/0!</v>
      </c>
      <c r="J47" s="1727"/>
      <c r="K47" s="2429">
        <f>F47+H47+J47</f>
        <v>0</v>
      </c>
      <c r="L47" s="2920"/>
      <c r="P47" s="3614" t="str">
        <f>A47</f>
        <v>比较价值（元/平方米）</v>
      </c>
      <c r="Q47" s="3614"/>
      <c r="R47" s="3695" t="e">
        <f>ROUND(PRODUCT(R46,AA7:AA45),0)</f>
        <v>#DIV/0!</v>
      </c>
      <c r="S47" s="3695"/>
      <c r="T47" s="3695" t="e">
        <f>ROUND(PRODUCT(T46,AB7:AB45),0)</f>
        <v>#DIV/0!</v>
      </c>
      <c r="U47" s="3695"/>
      <c r="V47" s="3695" t="e">
        <f>ROUND(PRODUCT(V46,AC7:AC45),0)</f>
        <v>#DIV/0!</v>
      </c>
      <c r="W47" s="3695"/>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0"/>
      <c r="P48" s="3616" t="str">
        <f>A48</f>
        <v>估价对象XX用房的比较价值（楼面单价，元/平方米）</v>
      </c>
      <c r="Q48" s="3617"/>
      <c r="R48" s="3696" t="e">
        <f>ROUND(IF(D47="简单平均",AVERAGE(R47:W47),R47*F47+T47*H47+V47*J47),0)</f>
        <v>#DIV/0!</v>
      </c>
      <c r="S48" s="3696"/>
      <c r="T48" s="3696"/>
      <c r="U48" s="3696"/>
      <c r="V48" s="3696"/>
      <c r="W48" s="3696"/>
      <c r="X48" s="1720"/>
      <c r="Y48" s="1720"/>
      <c r="Z48" s="1720"/>
      <c r="AA48" s="1720"/>
      <c r="AB48" s="1720"/>
      <c r="AC48" s="1720"/>
    </row>
    <row r="49" spans="1:14">
      <c r="G49" s="2924"/>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2216</v>
      </c>
      <c r="B55" s="1948" t="s">
        <v>2217</v>
      </c>
      <c r="C55" s="1949" t="s">
        <v>2218</v>
      </c>
      <c r="D55" s="1950" t="s">
        <v>2219</v>
      </c>
      <c r="E55" s="1951" t="s">
        <v>2220</v>
      </c>
      <c r="F55" s="1952" t="s">
        <v>2221</v>
      </c>
      <c r="G55" s="1847" t="s">
        <v>2222</v>
      </c>
      <c r="H55" s="1847">
        <f>项目基本情况!G8</f>
        <v>0</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2059</v>
      </c>
      <c r="B74" s="1776" t="s">
        <v>2024</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2027</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2148</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2209</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2244</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2245</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2247</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65" t="s">
        <v>2006</v>
      </c>
      <c r="D4" s="3666"/>
      <c r="E4" s="3667" t="s">
        <v>2007</v>
      </c>
      <c r="F4" s="3668"/>
      <c r="G4" s="3665" t="s">
        <v>2008</v>
      </c>
      <c r="H4" s="3666"/>
      <c r="I4" s="3665" t="s">
        <v>2009</v>
      </c>
      <c r="J4" s="3666"/>
      <c r="K4" s="496" t="s">
        <v>2010</v>
      </c>
      <c r="L4" s="2942"/>
      <c r="M4" s="2943"/>
      <c r="N4" s="2943"/>
      <c r="O4" s="2943"/>
      <c r="P4" s="3669" t="s">
        <v>2011</v>
      </c>
      <c r="Q4" s="3670"/>
      <c r="R4" s="3675" t="s">
        <v>2007</v>
      </c>
      <c r="S4" s="3676"/>
      <c r="T4" s="3675" t="s">
        <v>2008</v>
      </c>
      <c r="U4" s="3676"/>
      <c r="V4" s="3681" t="s">
        <v>2009</v>
      </c>
      <c r="W4" s="3681"/>
      <c r="X4" s="1263"/>
      <c r="Y4" s="3675" t="s">
        <v>2011</v>
      </c>
      <c r="Z4" s="3676"/>
      <c r="AA4" s="3662" t="s">
        <v>2007</v>
      </c>
      <c r="AB4" s="3663" t="s">
        <v>2008</v>
      </c>
      <c r="AC4" s="3662" t="s">
        <v>2009</v>
      </c>
    </row>
    <row r="5" spans="1:29" ht="15">
      <c r="A5" s="297"/>
      <c r="B5" s="298"/>
      <c r="C5" s="3658" t="s">
        <v>2012</v>
      </c>
      <c r="D5" s="3659"/>
      <c r="E5" s="3682" t="s">
        <v>2013</v>
      </c>
      <c r="F5" s="3683"/>
      <c r="G5" s="3658" t="s">
        <v>2014</v>
      </c>
      <c r="H5" s="3659"/>
      <c r="I5" s="3658" t="s">
        <v>2015</v>
      </c>
      <c r="J5" s="3659"/>
      <c r="K5" s="496"/>
      <c r="L5" s="2942"/>
      <c r="M5" s="2943"/>
      <c r="N5" s="2943"/>
      <c r="O5" s="2943"/>
      <c r="P5" s="3671"/>
      <c r="Q5" s="3672"/>
      <c r="R5" s="3677"/>
      <c r="S5" s="3678"/>
      <c r="T5" s="3677"/>
      <c r="U5" s="3678"/>
      <c r="V5" s="3681"/>
      <c r="W5" s="3681"/>
      <c r="X5" s="1263"/>
      <c r="Y5" s="3677"/>
      <c r="Z5" s="3678"/>
      <c r="AA5" s="3663"/>
      <c r="AB5" s="3663"/>
      <c r="AC5" s="3663"/>
    </row>
    <row r="6" spans="1:29" ht="15.75" thickBot="1">
      <c r="A6" s="299"/>
      <c r="B6" s="300"/>
      <c r="C6" s="3655" t="s">
        <v>2016</v>
      </c>
      <c r="D6" s="3656"/>
      <c r="E6" s="3653" t="s">
        <v>2016</v>
      </c>
      <c r="F6" s="3654"/>
      <c r="G6" s="3655" t="s">
        <v>2016</v>
      </c>
      <c r="H6" s="3656"/>
      <c r="I6" s="3655" t="s">
        <v>2016</v>
      </c>
      <c r="J6" s="3656"/>
      <c r="K6" s="496" t="s">
        <v>2017</v>
      </c>
      <c r="L6" s="2942"/>
      <c r="M6" s="2943"/>
      <c r="N6" s="2943"/>
      <c r="O6" s="2943"/>
      <c r="P6" s="3673"/>
      <c r="Q6" s="3674"/>
      <c r="R6" s="3677"/>
      <c r="S6" s="3678"/>
      <c r="T6" s="3679"/>
      <c r="U6" s="3680"/>
      <c r="V6" s="3681"/>
      <c r="W6" s="3681"/>
      <c r="X6" s="1263"/>
      <c r="Y6" s="3679"/>
      <c r="Z6" s="3680"/>
      <c r="AA6" s="3664"/>
      <c r="AB6" s="3664"/>
      <c r="AC6" s="3664"/>
    </row>
    <row r="7" spans="1:29" s="25" customFormat="1" ht="15.75" thickBot="1">
      <c r="A7" s="301" t="s">
        <v>2018</v>
      </c>
      <c r="B7" s="302"/>
      <c r="C7" s="303">
        <f>'数据-取费表'!B2</f>
        <v>44776</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60" t="s">
        <v>2019</v>
      </c>
      <c r="Q7" s="3684"/>
      <c r="R7" s="627" t="s">
        <v>25</v>
      </c>
      <c r="S7" s="628">
        <f t="shared" ref="S7:S15" si="0">F7</f>
        <v>0</v>
      </c>
      <c r="T7" s="627" t="s">
        <v>25</v>
      </c>
      <c r="U7" s="628">
        <f t="shared" ref="U7:U15" si="1">H7</f>
        <v>0</v>
      </c>
      <c r="V7" s="627" t="s">
        <v>25</v>
      </c>
      <c r="W7" s="628">
        <f t="shared" ref="W7:W15" si="2">J7</f>
        <v>0</v>
      </c>
      <c r="X7" s="629"/>
      <c r="Y7" s="3660" t="s">
        <v>2019</v>
      </c>
      <c r="Z7" s="3661"/>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60" t="s">
        <v>2022</v>
      </c>
      <c r="Q8" s="3661"/>
      <c r="R8" s="627" t="s">
        <v>25</v>
      </c>
      <c r="S8" s="628">
        <f t="shared" si="0"/>
        <v>0</v>
      </c>
      <c r="T8" s="627" t="s">
        <v>25</v>
      </c>
      <c r="U8" s="628">
        <f t="shared" si="1"/>
        <v>0</v>
      </c>
      <c r="V8" s="627" t="s">
        <v>25</v>
      </c>
      <c r="W8" s="628">
        <f t="shared" si="2"/>
        <v>0</v>
      </c>
      <c r="X8" s="629"/>
      <c r="Y8" s="3660" t="s">
        <v>2022</v>
      </c>
      <c r="Z8" s="3661"/>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57" t="s">
        <v>2025</v>
      </c>
      <c r="Q9" s="1255" t="str">
        <f t="shared" ref="Q9:Q15" si="6">B9</f>
        <v>用途</v>
      </c>
      <c r="R9" s="627" t="s">
        <v>25</v>
      </c>
      <c r="S9" s="628">
        <f t="shared" si="0"/>
        <v>100</v>
      </c>
      <c r="T9" s="627" t="s">
        <v>25</v>
      </c>
      <c r="U9" s="628">
        <f t="shared" si="1"/>
        <v>100</v>
      </c>
      <c r="V9" s="627" t="s">
        <v>25</v>
      </c>
      <c r="W9" s="628">
        <f t="shared" si="2"/>
        <v>100</v>
      </c>
      <c r="X9" s="629"/>
      <c r="Y9" s="3687"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118</v>
      </c>
      <c r="G10" s="322"/>
      <c r="H10" s="29">
        <f>ROUND(100/'数据-取费表'!B14,0)</f>
        <v>118</v>
      </c>
      <c r="I10" s="322"/>
      <c r="J10" s="29">
        <f>ROUND(100/'数据-取费表'!B14,0)</f>
        <v>118</v>
      </c>
      <c r="K10" s="553"/>
      <c r="L10" s="2947"/>
      <c r="M10" s="2948"/>
      <c r="N10" s="2948"/>
      <c r="O10" s="2949"/>
      <c r="P10" s="3657"/>
      <c r="Q10" s="1255" t="str">
        <f t="shared" si="6"/>
        <v>土地使用年限（年）</v>
      </c>
      <c r="R10" s="627" t="s">
        <v>25</v>
      </c>
      <c r="S10" s="628">
        <f t="shared" si="0"/>
        <v>118</v>
      </c>
      <c r="T10" s="627" t="s">
        <v>25</v>
      </c>
      <c r="U10" s="628">
        <f t="shared" si="1"/>
        <v>118</v>
      </c>
      <c r="V10" s="627" t="s">
        <v>25</v>
      </c>
      <c r="W10" s="628">
        <f t="shared" si="2"/>
        <v>118</v>
      </c>
      <c r="X10" s="629"/>
      <c r="Y10" s="3687"/>
      <c r="Z10" s="19" t="str">
        <f t="shared" si="7"/>
        <v>土地使用年限（年）</v>
      </c>
      <c r="AA10" s="630">
        <f t="shared" si="3"/>
        <v>0.84745762711864403</v>
      </c>
      <c r="AB10" s="630">
        <f t="shared" si="4"/>
        <v>0.84745762711864403</v>
      </c>
      <c r="AC10" s="630">
        <f t="shared" si="5"/>
        <v>0.84745762711864403</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57"/>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57"/>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15">
      <c r="A15" s="329" t="s">
        <v>2029</v>
      </c>
      <c r="B15" s="511" t="s">
        <v>2250</v>
      </c>
      <c r="C15" s="1509">
        <f>估价对象房地状况!G15</f>
        <v>0</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85" t="s">
        <v>2030</v>
      </c>
      <c r="Q15" s="1262" t="str">
        <f t="shared" si="6"/>
        <v>产业集聚程度</v>
      </c>
      <c r="R15" s="631" t="s">
        <v>25</v>
      </c>
      <c r="S15" s="632">
        <f t="shared" si="0"/>
        <v>100</v>
      </c>
      <c r="T15" s="631" t="s">
        <v>25</v>
      </c>
      <c r="U15" s="632">
        <f t="shared" si="1"/>
        <v>100</v>
      </c>
      <c r="V15" s="631" t="s">
        <v>25</v>
      </c>
      <c r="W15" s="632">
        <f t="shared" si="2"/>
        <v>100</v>
      </c>
      <c r="X15" s="1263"/>
      <c r="Y15" s="3685"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86"/>
      <c r="Q16" s="1262"/>
      <c r="R16" s="631"/>
      <c r="S16" s="632"/>
      <c r="T16" s="631"/>
      <c r="U16" s="632"/>
      <c r="V16" s="631"/>
      <c r="W16" s="632"/>
      <c r="X16" s="1263"/>
      <c r="Y16" s="3686"/>
      <c r="Z16" s="1264"/>
      <c r="AA16" s="1265">
        <v>1</v>
      </c>
      <c r="AB16" s="1265">
        <v>1</v>
      </c>
      <c r="AC16" s="1265">
        <v>1</v>
      </c>
    </row>
    <row r="17" spans="1:29" ht="15">
      <c r="A17" s="318"/>
      <c r="B17" s="513" t="s">
        <v>2167</v>
      </c>
      <c r="C17" s="1495">
        <f>估价对象房地状况!G16</f>
        <v>0</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86"/>
      <c r="Q18" s="1262"/>
      <c r="R18" s="631"/>
      <c r="S18" s="632"/>
      <c r="T18" s="631"/>
      <c r="U18" s="632"/>
      <c r="V18" s="631"/>
      <c r="W18" s="632"/>
      <c r="X18" s="1263"/>
      <c r="Y18" s="3686"/>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86"/>
      <c r="Q19" s="1262" t="str">
        <f t="shared" ref="Q19:Q33" si="8">B19</f>
        <v>区域土地利用方向</v>
      </c>
      <c r="R19" s="631" t="s">
        <v>25</v>
      </c>
      <c r="S19" s="632">
        <f>F19</f>
        <v>100</v>
      </c>
      <c r="T19" s="631" t="s">
        <v>25</v>
      </c>
      <c r="U19" s="632">
        <f>H19</f>
        <v>100</v>
      </c>
      <c r="V19" s="631" t="s">
        <v>25</v>
      </c>
      <c r="W19" s="632">
        <f>J19</f>
        <v>100</v>
      </c>
      <c r="X19" s="1263"/>
      <c r="Y19" s="368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86"/>
      <c r="Q20" s="1262"/>
      <c r="R20" s="631"/>
      <c r="S20" s="632"/>
      <c r="T20" s="631"/>
      <c r="U20" s="632"/>
      <c r="V20" s="631"/>
      <c r="W20" s="632"/>
      <c r="X20" s="1263"/>
      <c r="Y20" s="3686"/>
      <c r="Z20" s="1264"/>
      <c r="AA20" s="1265"/>
      <c r="AB20" s="1265"/>
      <c r="AC20" s="1265"/>
    </row>
    <row r="21" spans="1:29" ht="15">
      <c r="A21" s="297"/>
      <c r="B21" s="513" t="s">
        <v>2251</v>
      </c>
      <c r="C21" s="1495">
        <f>估价对象房地状况!G18</f>
        <v>0</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86"/>
      <c r="Q21" s="1262" t="str">
        <f t="shared" si="8"/>
        <v>环境状况</v>
      </c>
      <c r="R21" s="631" t="s">
        <v>25</v>
      </c>
      <c r="S21" s="632">
        <f>F21</f>
        <v>100</v>
      </c>
      <c r="T21" s="631" t="s">
        <v>25</v>
      </c>
      <c r="U21" s="632">
        <f>H21</f>
        <v>100</v>
      </c>
      <c r="V21" s="631" t="s">
        <v>25</v>
      </c>
      <c r="W21" s="632">
        <f>J21</f>
        <v>100</v>
      </c>
      <c r="X21" s="1263"/>
      <c r="Y21" s="368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86"/>
      <c r="Q22" s="1262"/>
      <c r="R22" s="631"/>
      <c r="S22" s="632"/>
      <c r="T22" s="631"/>
      <c r="U22" s="632"/>
      <c r="V22" s="631"/>
      <c r="W22" s="632"/>
      <c r="X22" s="1263"/>
      <c r="Y22" s="3686"/>
      <c r="Z22" s="1264"/>
      <c r="AA22" s="1265">
        <v>1</v>
      </c>
      <c r="AB22" s="1265">
        <v>1</v>
      </c>
      <c r="AC22" s="1265">
        <v>1</v>
      </c>
    </row>
    <row r="23" spans="1:29" s="25" customFormat="1" ht="15">
      <c r="A23" s="531"/>
      <c r="B23" s="513" t="s">
        <v>2116</v>
      </c>
      <c r="C23" s="1495">
        <f>估价对象房地状况!G19</f>
        <v>0</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86"/>
      <c r="Q23" s="1255" t="str">
        <f t="shared" si="8"/>
        <v>公共配套设施</v>
      </c>
      <c r="R23" s="627" t="s">
        <v>25</v>
      </c>
      <c r="S23" s="628">
        <f>F23</f>
        <v>100</v>
      </c>
      <c r="T23" s="627" t="s">
        <v>25</v>
      </c>
      <c r="U23" s="628">
        <f>H23</f>
        <v>100</v>
      </c>
      <c r="V23" s="627" t="s">
        <v>25</v>
      </c>
      <c r="W23" s="628">
        <f>J23</f>
        <v>100</v>
      </c>
      <c r="X23" s="629"/>
      <c r="Y23" s="368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86"/>
      <c r="Q24" s="1255"/>
      <c r="R24" s="627"/>
      <c r="S24" s="628"/>
      <c r="T24" s="627"/>
      <c r="U24" s="628"/>
      <c r="V24" s="627"/>
      <c r="W24" s="628"/>
      <c r="X24" s="629"/>
      <c r="Y24" s="3686"/>
      <c r="Z24" s="19"/>
      <c r="AA24" s="630">
        <v>1</v>
      </c>
      <c r="AB24" s="630">
        <v>1</v>
      </c>
      <c r="AC24" s="630">
        <v>1</v>
      </c>
    </row>
    <row r="25" spans="1:29" s="25" customFormat="1" ht="15">
      <c r="A25" s="531"/>
      <c r="B25" s="515" t="s">
        <v>2117</v>
      </c>
      <c r="C25" s="1495">
        <f>估价对象房地状况!G20</f>
        <v>0</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86"/>
      <c r="Q25" s="1255" t="str">
        <f t="shared" ref="Q25" si="9">B25</f>
        <v>基础设施水平</v>
      </c>
      <c r="R25" s="627" t="s">
        <v>25</v>
      </c>
      <c r="S25" s="628">
        <f>F25</f>
        <v>100</v>
      </c>
      <c r="T25" s="627" t="s">
        <v>25</v>
      </c>
      <c r="U25" s="628">
        <f>H25</f>
        <v>100</v>
      </c>
      <c r="V25" s="627" t="s">
        <v>25</v>
      </c>
      <c r="W25" s="628">
        <f>J25</f>
        <v>100</v>
      </c>
      <c r="X25" s="629"/>
      <c r="Y25" s="368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86"/>
      <c r="Q26" s="1255"/>
      <c r="R26" s="627"/>
      <c r="S26" s="628"/>
      <c r="T26" s="627"/>
      <c r="U26" s="628"/>
      <c r="V26" s="627"/>
      <c r="W26" s="628"/>
      <c r="X26" s="629"/>
      <c r="Y26" s="3686"/>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8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6"/>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86"/>
      <c r="Q28" s="1262" t="str">
        <f t="shared" si="8"/>
        <v>毗邻道路的类型与等级</v>
      </c>
      <c r="R28" s="631" t="s">
        <v>25</v>
      </c>
      <c r="S28" s="632">
        <f t="shared" si="10"/>
        <v>100</v>
      </c>
      <c r="T28" s="631" t="s">
        <v>25</v>
      </c>
      <c r="U28" s="632">
        <f t="shared" si="11"/>
        <v>100</v>
      </c>
      <c r="V28" s="631" t="s">
        <v>25</v>
      </c>
      <c r="W28" s="632">
        <f t="shared" si="12"/>
        <v>100</v>
      </c>
      <c r="X28" s="1263"/>
      <c r="Y28" s="368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86"/>
      <c r="Q29" s="1262"/>
      <c r="R29" s="631"/>
      <c r="S29" s="632"/>
      <c r="T29" s="631"/>
      <c r="U29" s="632"/>
      <c r="V29" s="631"/>
      <c r="W29" s="632"/>
      <c r="X29" s="1263"/>
      <c r="Y29" s="3686"/>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86"/>
      <c r="Q30" s="1262" t="str">
        <f t="shared" si="8"/>
        <v>土地级别</v>
      </c>
      <c r="R30" s="631" t="s">
        <v>25</v>
      </c>
      <c r="S30" s="632">
        <f t="shared" si="10"/>
        <v>100</v>
      </c>
      <c r="T30" s="631" t="s">
        <v>25</v>
      </c>
      <c r="U30" s="632">
        <f t="shared" si="11"/>
        <v>100</v>
      </c>
      <c r="V30" s="631" t="s">
        <v>25</v>
      </c>
      <c r="W30" s="632">
        <f t="shared" si="12"/>
        <v>100</v>
      </c>
      <c r="X30" s="1263"/>
      <c r="Y30" s="368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86"/>
      <c r="Q31" s="1262">
        <f t="shared" si="8"/>
        <v>111</v>
      </c>
      <c r="R31" s="631" t="s">
        <v>25</v>
      </c>
      <c r="S31" s="632">
        <f t="shared" si="10"/>
        <v>100</v>
      </c>
      <c r="T31" s="631" t="s">
        <v>25</v>
      </c>
      <c r="U31" s="632">
        <f t="shared" si="11"/>
        <v>100</v>
      </c>
      <c r="V31" s="631" t="s">
        <v>25</v>
      </c>
      <c r="W31" s="632">
        <f t="shared" si="12"/>
        <v>100</v>
      </c>
      <c r="X31" s="1263"/>
      <c r="Y31" s="368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88" t="s">
        <v>2036</v>
      </c>
      <c r="Q32" s="1262">
        <f t="shared" si="8"/>
        <v>111</v>
      </c>
      <c r="R32" s="631" t="s">
        <v>25</v>
      </c>
      <c r="S32" s="632">
        <f t="shared" si="10"/>
        <v>100</v>
      </c>
      <c r="T32" s="631" t="s">
        <v>25</v>
      </c>
      <c r="U32" s="632">
        <f t="shared" si="11"/>
        <v>100</v>
      </c>
      <c r="V32" s="631" t="s">
        <v>25</v>
      </c>
      <c r="W32" s="632">
        <f t="shared" si="12"/>
        <v>100</v>
      </c>
      <c r="X32" s="1263"/>
      <c r="Y32" s="3689"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89"/>
      <c r="Q33" s="1262">
        <f t="shared" si="8"/>
        <v>111</v>
      </c>
      <c r="R33" s="634" t="s">
        <v>25</v>
      </c>
      <c r="S33" s="635">
        <f t="shared" si="10"/>
        <v>100</v>
      </c>
      <c r="T33" s="634" t="s">
        <v>25</v>
      </c>
      <c r="U33" s="635">
        <f t="shared" si="11"/>
        <v>100</v>
      </c>
      <c r="V33" s="634" t="s">
        <v>25</v>
      </c>
      <c r="W33" s="635">
        <f t="shared" si="12"/>
        <v>100</v>
      </c>
      <c r="X33" s="636"/>
      <c r="Y33" s="3689"/>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89"/>
      <c r="Q34" s="1262" t="str">
        <f>B34</f>
        <v>宗地面积</v>
      </c>
      <c r="R34" s="631" t="s">
        <v>25</v>
      </c>
      <c r="S34" s="632" t="e">
        <f t="shared" si="10"/>
        <v>#N/A</v>
      </c>
      <c r="T34" s="631" t="s">
        <v>25</v>
      </c>
      <c r="U34" s="632" t="e">
        <f t="shared" si="11"/>
        <v>#N/A</v>
      </c>
      <c r="V34" s="631" t="s">
        <v>25</v>
      </c>
      <c r="W34" s="632" t="e">
        <f t="shared" si="12"/>
        <v>#N/A</v>
      </c>
      <c r="X34" s="1263"/>
      <c r="Y34" s="3689"/>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89"/>
      <c r="Q35" s="1262" t="str">
        <f t="shared" ref="Q35:Q40" si="14">B35</f>
        <v>宗地形状</v>
      </c>
      <c r="R35" s="631" t="s">
        <v>25</v>
      </c>
      <c r="S35" s="632">
        <f t="shared" si="10"/>
        <v>100</v>
      </c>
      <c r="T35" s="631" t="s">
        <v>25</v>
      </c>
      <c r="U35" s="632">
        <f t="shared" si="11"/>
        <v>100</v>
      </c>
      <c r="V35" s="631" t="s">
        <v>25</v>
      </c>
      <c r="W35" s="632">
        <f t="shared" si="12"/>
        <v>100</v>
      </c>
      <c r="X35" s="1263"/>
      <c r="Y35" s="3689"/>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89"/>
      <c r="Q36" s="1262" t="str">
        <f t="shared" si="14"/>
        <v>宗地开发程度</v>
      </c>
      <c r="R36" s="627" t="s">
        <v>25</v>
      </c>
      <c r="S36" s="628">
        <f t="shared" si="10"/>
        <v>100</v>
      </c>
      <c r="T36" s="627" t="s">
        <v>25</v>
      </c>
      <c r="U36" s="628">
        <f t="shared" si="11"/>
        <v>100</v>
      </c>
      <c r="V36" s="627" t="s">
        <v>25</v>
      </c>
      <c r="W36" s="628">
        <f t="shared" si="12"/>
        <v>100</v>
      </c>
      <c r="X36" s="629"/>
      <c r="Y36" s="3689"/>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89" t="s">
        <v>2036</v>
      </c>
      <c r="Q37" s="1262" t="str">
        <f t="shared" si="14"/>
        <v>工程地质条件</v>
      </c>
      <c r="R37" s="631" t="s">
        <v>25</v>
      </c>
      <c r="S37" s="632">
        <f t="shared" si="10"/>
        <v>100</v>
      </c>
      <c r="T37" s="631" t="s">
        <v>25</v>
      </c>
      <c r="U37" s="632">
        <f t="shared" si="11"/>
        <v>100</v>
      </c>
      <c r="V37" s="631" t="s">
        <v>25</v>
      </c>
      <c r="W37" s="632">
        <f t="shared" si="12"/>
        <v>100</v>
      </c>
      <c r="X37" s="1263"/>
      <c r="Y37" s="3689"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89"/>
      <c r="Q38" s="1262">
        <f t="shared" si="14"/>
        <v>111</v>
      </c>
      <c r="R38" s="631" t="s">
        <v>25</v>
      </c>
      <c r="S38" s="632">
        <f t="shared" si="10"/>
        <v>100</v>
      </c>
      <c r="T38" s="631" t="s">
        <v>25</v>
      </c>
      <c r="U38" s="632">
        <f t="shared" si="11"/>
        <v>100</v>
      </c>
      <c r="V38" s="631" t="s">
        <v>25</v>
      </c>
      <c r="W38" s="632">
        <f t="shared" si="12"/>
        <v>100</v>
      </c>
      <c r="X38" s="1263"/>
      <c r="Y38" s="368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89"/>
      <c r="Q39" s="1262">
        <f t="shared" si="14"/>
        <v>111</v>
      </c>
      <c r="R39" s="631" t="s">
        <v>25</v>
      </c>
      <c r="S39" s="632">
        <f t="shared" si="10"/>
        <v>100</v>
      </c>
      <c r="T39" s="631" t="s">
        <v>25</v>
      </c>
      <c r="U39" s="632">
        <f t="shared" si="11"/>
        <v>100</v>
      </c>
      <c r="V39" s="631" t="s">
        <v>25</v>
      </c>
      <c r="W39" s="632">
        <f t="shared" si="12"/>
        <v>100</v>
      </c>
      <c r="X39" s="1263"/>
      <c r="Y39" s="368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89"/>
      <c r="Q40" s="1262">
        <f t="shared" si="14"/>
        <v>111</v>
      </c>
      <c r="R40" s="634" t="s">
        <v>25</v>
      </c>
      <c r="S40" s="635">
        <f t="shared" si="10"/>
        <v>100</v>
      </c>
      <c r="T40" s="634" t="s">
        <v>25</v>
      </c>
      <c r="U40" s="635">
        <f t="shared" si="11"/>
        <v>100</v>
      </c>
      <c r="V40" s="634" t="s">
        <v>25</v>
      </c>
      <c r="W40" s="635">
        <f t="shared" si="12"/>
        <v>100</v>
      </c>
      <c r="X40" s="636"/>
      <c r="Y40" s="3689"/>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4"/>
      <c r="M41" s="2943"/>
      <c r="N41" s="2943"/>
      <c r="P41" s="3657" t="str">
        <f>A41</f>
        <v>成交单价</v>
      </c>
      <c r="Q41" s="3657"/>
      <c r="R41" s="3681">
        <f>E41</f>
        <v>0</v>
      </c>
      <c r="S41" s="3681"/>
      <c r="T41" s="3681">
        <f>G41</f>
        <v>0</v>
      </c>
      <c r="U41" s="3681"/>
      <c r="V41" s="3681">
        <f>I41</f>
        <v>0</v>
      </c>
      <c r="W41" s="3681"/>
      <c r="X41" s="618"/>
      <c r="Y41" s="638"/>
      <c r="Z41" s="618"/>
      <c r="AA41" s="618"/>
      <c r="AB41" s="618"/>
      <c r="AC41" s="618"/>
    </row>
    <row r="42" spans="1:29" ht="15.75" thickBot="1">
      <c r="A42" s="374" t="s">
        <v>2131</v>
      </c>
      <c r="B42" s="563"/>
      <c r="C42" s="377" t="e">
        <f>R43</f>
        <v>#DIV/0!</v>
      </c>
      <c r="D42" s="1725" t="s">
        <v>2499</v>
      </c>
      <c r="E42" s="377" t="e">
        <f>R42</f>
        <v>#DIV/0!</v>
      </c>
      <c r="F42" s="1727"/>
      <c r="G42" s="376" t="e">
        <f>T42</f>
        <v>#DIV/0!</v>
      </c>
      <c r="H42" s="1727"/>
      <c r="I42" s="377" t="e">
        <f>V42</f>
        <v>#DIV/0!</v>
      </c>
      <c r="J42" s="1727"/>
      <c r="K42" s="2429">
        <f>F42+H42+J42</f>
        <v>0</v>
      </c>
      <c r="L42" s="2954"/>
      <c r="M42" s="2943"/>
      <c r="N42" s="2943"/>
      <c r="P42" s="3657" t="str">
        <f>A42</f>
        <v>比较价值（元/平方米）</v>
      </c>
      <c r="Q42" s="3657"/>
      <c r="R42" s="3698" t="e">
        <f>ROUND(PRODUCT(R41,AA7:AA40),0)</f>
        <v>#DIV/0!</v>
      </c>
      <c r="S42" s="3698"/>
      <c r="T42" s="3698" t="e">
        <f>ROUND(PRODUCT(T41,AB7:AB40),0)</f>
        <v>#DIV/0!</v>
      </c>
      <c r="U42" s="3698"/>
      <c r="V42" s="3698" t="e">
        <f>ROUND(PRODUCT(V41,AC7:AC40),0)</f>
        <v>#DIV/0!</v>
      </c>
      <c r="W42" s="3698"/>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4"/>
      <c r="M43" s="2943"/>
      <c r="N43" s="2943"/>
      <c r="P43" s="3692" t="str">
        <f>A43</f>
        <v>估价对象XX用房的比较价值（楼面单价，元/平方米）</v>
      </c>
      <c r="Q43" s="3693"/>
      <c r="R43" s="3697" t="e">
        <f>ROUND(IF(D42="简单平均",AVERAGE(R42:W42),R42*F42+T42*H42+V42*J42),0)</f>
        <v>#DIV/0!</v>
      </c>
      <c r="S43" s="3697"/>
      <c r="T43" s="3697"/>
      <c r="U43" s="3697"/>
      <c r="V43" s="3697"/>
      <c r="W43" s="3697"/>
      <c r="X43" s="618"/>
      <c r="Y43" s="618"/>
      <c r="Z43" s="618"/>
      <c r="AA43" s="618"/>
      <c r="AB43" s="618"/>
      <c r="AC43" s="618"/>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2216</v>
      </c>
      <c r="B50" s="565" t="s">
        <v>2217</v>
      </c>
      <c r="C50" s="1520" t="s">
        <v>2218</v>
      </c>
      <c r="D50" s="1521" t="s">
        <v>2219</v>
      </c>
      <c r="E50" s="566" t="s">
        <v>2220</v>
      </c>
      <c r="F50" s="567" t="s">
        <v>2221</v>
      </c>
      <c r="G50" s="1264" t="s">
        <v>2253</v>
      </c>
      <c r="H50" s="1264">
        <f>项目基本情况!G8</f>
        <v>0</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829.41000000000008</v>
      </c>
      <c r="E1" s="2028"/>
      <c r="F1" s="2028"/>
      <c r="G1" s="2028"/>
      <c r="H1" s="2028"/>
      <c r="I1" s="2028"/>
      <c r="J1" s="2028"/>
      <c r="K1" s="2967"/>
      <c r="L1" s="2029" t="s">
        <v>2257</v>
      </c>
      <c r="M1" s="2030">
        <f>SUMPRODUCT((区片价!B5:B9=I2)*(区片价!C3:F3=E2)*(区片价!C5:F9))</f>
        <v>0</v>
      </c>
      <c r="N1" s="2031">
        <f>SUMPRODUCT((因素修正幅度!B5:B9=I2)*(因素修正幅度!C3:F3=E2)*(因素修正幅度!C5:F9))</f>
        <v>0</v>
      </c>
      <c r="O1" s="2967"/>
      <c r="P1" s="2967"/>
      <c r="Q1" s="2967"/>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2630</v>
      </c>
      <c r="F2" s="1530" t="s">
        <v>2266</v>
      </c>
      <c r="G2" s="2038">
        <f>项目基本情况!F9</f>
        <v>0</v>
      </c>
      <c r="H2" s="1531" t="s">
        <v>2267</v>
      </c>
      <c r="I2" s="2038">
        <f>项目基本情况!F10</f>
        <v>0</v>
      </c>
      <c r="J2" s="2039"/>
      <c r="K2" s="2967"/>
      <c r="L2" s="2040" t="s">
        <v>2268</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2632</v>
      </c>
      <c r="F3" s="1532" t="s">
        <v>2272</v>
      </c>
      <c r="G3" s="2044">
        <f>项目基本情况!C15</f>
        <v>0</v>
      </c>
      <c r="H3" s="50" t="s">
        <v>2273</v>
      </c>
      <c r="I3" s="2045"/>
      <c r="J3" s="2039" t="s">
        <v>2274</v>
      </c>
      <c r="K3" s="2967"/>
      <c r="L3" s="2040" t="s">
        <v>2275</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6"/>
      <c r="B4" s="3717"/>
      <c r="C4" s="3717"/>
      <c r="D4" s="3718"/>
      <c r="E4" s="3718"/>
      <c r="F4" s="3718"/>
      <c r="G4" s="3718"/>
      <c r="H4" s="3718"/>
      <c r="I4" s="3718"/>
      <c r="J4" s="3719"/>
      <c r="K4" s="2967"/>
      <c r="L4" s="2040" t="s">
        <v>2276</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8"/>
      <c r="L6" s="2040" t="s">
        <v>2282</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20" t="str">
        <f>IF(E2="商业",IF(C8="不临58条商业街","",2),"")</f>
        <v/>
      </c>
      <c r="B7" s="1535" t="s">
        <v>2283</v>
      </c>
      <c r="C7" s="2059" t="e">
        <f>IF(C8="不临58条商业街",1,ROUND(1+(1.6*E8+1.2*E9+0.8*E10+0.4*E11)*C9,4))</f>
        <v>#DIV/0!</v>
      </c>
      <c r="D7" s="2060" t="s">
        <v>2284</v>
      </c>
      <c r="E7" s="2061"/>
      <c r="F7" s="2062"/>
      <c r="G7" s="2062"/>
      <c r="H7" s="2062"/>
      <c r="I7" s="2062"/>
      <c r="J7" s="2063"/>
      <c r="K7" s="2968"/>
      <c r="L7" s="2040" t="s">
        <v>2285</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21"/>
      <c r="B8" s="50" t="s">
        <v>2288</v>
      </c>
      <c r="C8" s="2067"/>
      <c r="D8" s="65" t="s">
        <v>89</v>
      </c>
      <c r="E8" s="2068" t="e">
        <f>ROUND(C11/E7,4)</f>
        <v>#DIV/0!</v>
      </c>
      <c r="F8" s="2069" t="s">
        <v>2289</v>
      </c>
      <c r="G8" s="2070"/>
      <c r="H8" s="2070"/>
      <c r="I8" s="2070"/>
      <c r="J8" s="2071"/>
      <c r="K8" s="2967"/>
      <c r="L8" s="2040" t="s">
        <v>2290</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714" t="s">
        <v>2291</v>
      </c>
      <c r="X8" s="3715"/>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21"/>
      <c r="B9" s="50" t="s">
        <v>2304</v>
      </c>
      <c r="C9" s="2073">
        <f>SUMIF(修正!C71:C138,C8,修正!E71:E138)</f>
        <v>0</v>
      </c>
      <c r="D9" s="50" t="s">
        <v>90</v>
      </c>
      <c r="E9" s="50" t="e">
        <f>ROUND(C11/E7,4)</f>
        <v>#DIV/0!</v>
      </c>
      <c r="F9" s="2069" t="s">
        <v>2305</v>
      </c>
      <c r="G9" s="2070"/>
      <c r="H9" s="2070"/>
      <c r="I9" s="2070"/>
      <c r="J9" s="2071"/>
      <c r="K9" s="2967"/>
      <c r="L9" s="2040" t="s">
        <v>2306</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715"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21"/>
      <c r="B10" s="50" t="s">
        <v>2309</v>
      </c>
      <c r="C10" s="50">
        <f>SUMIF(修正!C71:C138,C8,修正!F71:F138)</f>
        <v>0</v>
      </c>
      <c r="D10" s="50" t="s">
        <v>91</v>
      </c>
      <c r="E10" s="50" t="e">
        <f>ROUND(C11/E7,4)</f>
        <v>#DIV/0!</v>
      </c>
      <c r="F10" s="2069" t="s">
        <v>2310</v>
      </c>
      <c r="G10" s="2070"/>
      <c r="H10" s="2070"/>
      <c r="I10" s="2070"/>
      <c r="J10" s="2071"/>
      <c r="K10" s="2967"/>
      <c r="L10" s="2040" t="s">
        <v>2311</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71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21"/>
      <c r="B11" s="1536" t="s">
        <v>2312</v>
      </c>
      <c r="C11" s="1536">
        <f>C10/4</f>
        <v>0</v>
      </c>
      <c r="D11" s="1536" t="s">
        <v>92</v>
      </c>
      <c r="E11" s="1536" t="e">
        <f>ROUND(C11/E7,4)</f>
        <v>#DIV/0!</v>
      </c>
      <c r="F11" s="2078" t="s">
        <v>2313</v>
      </c>
      <c r="G11" s="2079"/>
      <c r="H11" s="2079"/>
      <c r="I11" s="2079"/>
      <c r="J11" s="2080"/>
      <c r="K11" s="2967"/>
      <c r="L11" s="2040" t="s">
        <v>2314</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715"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20">
        <f>IF(E2="住宅",2,"")</f>
        <v>2</v>
      </c>
      <c r="B12" s="1537" t="s">
        <v>2317</v>
      </c>
      <c r="C12" s="2059">
        <f>ROUND(C15*D15*E15*F15*G15*H15*I15*J15,4)</f>
        <v>1.32</v>
      </c>
      <c r="D12" s="2083" t="s">
        <v>2318</v>
      </c>
      <c r="E12" s="2084"/>
      <c r="F12" s="2084"/>
      <c r="G12" s="2084"/>
      <c r="H12" s="2084"/>
      <c r="I12" s="2084"/>
      <c r="J12" s="2085"/>
      <c r="K12" s="2967"/>
      <c r="L12" s="2086" t="s">
        <v>2319</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715"/>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22"/>
      <c r="B13" s="1538" t="s">
        <v>2321</v>
      </c>
      <c r="C13" s="2090" t="s">
        <v>2322</v>
      </c>
      <c r="D13" s="1539" t="s">
        <v>2323</v>
      </c>
      <c r="E13" s="1539" t="s">
        <v>2324</v>
      </c>
      <c r="F13" s="264" t="s">
        <v>2325</v>
      </c>
      <c r="G13" s="2091" t="s">
        <v>2326</v>
      </c>
      <c r="H13" s="2091" t="s">
        <v>2326</v>
      </c>
      <c r="I13" s="2091" t="s">
        <v>2326</v>
      </c>
      <c r="J13" s="2092" t="s">
        <v>2326</v>
      </c>
      <c r="K13" s="2967"/>
      <c r="L13" s="2967"/>
      <c r="M13" s="2967"/>
      <c r="N13" s="2967"/>
      <c r="O13" s="2967"/>
      <c r="P13" s="2967"/>
      <c r="Q13" s="2967"/>
      <c r="R13" s="2032">
        <v>12</v>
      </c>
      <c r="S13" s="2043"/>
      <c r="T13" s="2032">
        <f t="shared" si="1"/>
        <v>0</v>
      </c>
      <c r="U13" s="2043"/>
      <c r="V13" s="2032">
        <f t="shared" si="2"/>
        <v>0</v>
      </c>
      <c r="W13" s="371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22"/>
      <c r="B14" s="1539"/>
      <c r="C14" s="2093" t="s">
        <v>2327</v>
      </c>
      <c r="D14" s="2094" t="s">
        <v>2328</v>
      </c>
      <c r="E14" s="2094" t="s">
        <v>2328</v>
      </c>
      <c r="F14" s="2095" t="s">
        <v>2329</v>
      </c>
      <c r="G14" s="2096" t="s">
        <v>2330</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23"/>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9">
        <f>IF(E2="办公",2,IF(E2="工业",2,IF(E2="住宅",3,IF(E2="商业",IF(C8="不临58条商业街",2,3)))))</f>
        <v>3</v>
      </c>
      <c r="B16" s="1559" t="s">
        <v>2337</v>
      </c>
      <c r="C16" s="1535">
        <f>ROUND(IF(F17="与级别开发程度一致",0,(G17-E17)/C17),0)</f>
        <v>0</v>
      </c>
      <c r="D16" s="3712" t="s">
        <v>2341</v>
      </c>
      <c r="E16" s="3713"/>
      <c r="F16" s="3712" t="s">
        <v>2338</v>
      </c>
      <c r="G16" s="3713"/>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0"/>
      <c r="B17" s="1560" t="s">
        <v>2340</v>
      </c>
      <c r="C17" s="2106">
        <f>SUMPRODUCT((修正!A2:A7=E2)*(修正!B1:M1=G2)*(修正!B2:M7))</f>
        <v>0</v>
      </c>
      <c r="D17" s="2100" t="str">
        <f>IF(OR(G2="八级",G2="九级",G2="十级",G2="十一级",G2="十二级"),"五通一平","七通一平")</f>
        <v>七通一平</v>
      </c>
      <c r="E17" s="2107">
        <f>SUMPRODUCT((修正!B1:M1=G2)*(修正!B17:M17))</f>
        <v>0</v>
      </c>
      <c r="F17" s="2108" t="s">
        <v>2633</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44776</v>
      </c>
      <c r="H19" s="2121" t="s">
        <v>2481</v>
      </c>
      <c r="I19" s="2122" t="str">
        <f>IF(H19="季度增幅（自定义）",SUMIF(N21:N24,E2,O21:O24),"")</f>
        <v/>
      </c>
      <c r="J19" s="2123"/>
      <c r="K19" s="2969"/>
      <c r="L19" s="2004" t="s">
        <v>2349</v>
      </c>
      <c r="M19" s="2124">
        <f>ROUND(SUMIF(地价!B2:F2,E2,地价!B41:F41),0)</f>
        <v>423</v>
      </c>
      <c r="N19" s="2125" t="s">
        <v>2350</v>
      </c>
      <c r="O19" s="2126">
        <f>ROUNDDOWN(DATEDIF(E19,G19,"M")/3,0)</f>
        <v>34</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0.74880000000000002</v>
      </c>
      <c r="D20" s="2130" t="s">
        <v>2353</v>
      </c>
      <c r="E20" s="3068">
        <f>存贷款利率!E21/100</f>
        <v>4.3499999999999997E-2</v>
      </c>
      <c r="F20" s="2130" t="s">
        <v>2342</v>
      </c>
      <c r="G20" s="3069">
        <f>SUMIF(M26:P26,E2,M28:P28)</f>
        <v>0.05</v>
      </c>
      <c r="H20" s="2130" t="s">
        <v>2354</v>
      </c>
      <c r="I20" s="2131">
        <f>'数据-取费表'!B13</f>
        <v>26.4</v>
      </c>
      <c r="J20" s="2132">
        <f>IF(E2="住宅",70,IF(E2="商业",40,50))</f>
        <v>70</v>
      </c>
      <c r="K20" s="2969"/>
      <c r="L20" s="2133" t="s">
        <v>2355</v>
      </c>
      <c r="M20" s="2134">
        <f>ROUND(SUMPRODUCT((地价!A4:A41=YEAR(G19)&amp;"-"&amp;ROUNDUP(MONTH(G19)/3,0))*(地价!B2:F2=E2)*(地价!B4:F41)),0)</f>
        <v>744</v>
      </c>
      <c r="N20" s="2135" t="s">
        <v>2356</v>
      </c>
      <c r="O20" s="2136" t="s">
        <v>2357</v>
      </c>
      <c r="P20" s="2137" t="s">
        <v>2358</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69"/>
      <c r="L21" s="2969"/>
      <c r="M21" s="2969"/>
      <c r="N21" s="2141" t="s">
        <v>2361</v>
      </c>
      <c r="O21" s="2142"/>
      <c r="P21" s="2143">
        <f>SUMPRODUCT((地价!A3:A41=YEAR(G19)&amp;"-"&amp;ROUNDUP(MONTH(G19)/3,0))*(地价!AD2:AH2=N21)*(地价!AD3:AH41))</f>
        <v>9.7999999999999997E-3</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2364</v>
      </c>
      <c r="O22" s="2142"/>
      <c r="P22" s="2143">
        <f>SUMPRODUCT((地价!A3:A41=YEAR(G19)&amp;"-"&amp;ROUNDUP(MONTH(G19)/3,0))*(地价!AD2:AH2=N22)*(地价!AD3:AH41))</f>
        <v>9.7999999999999997E-3</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2366</v>
      </c>
      <c r="O23" s="2142"/>
      <c r="P23" s="2143">
        <f>SUMPRODUCT((地价!A3:A41=YEAR(G19)&amp;"-"&amp;ROUNDUP(MONTH(G19)/3,0))*(地价!AD2:AH2=N23)*(地价!AD3:AH41))</f>
        <v>1.7299999999999999E-2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69"/>
      <c r="L24" s="2969"/>
      <c r="M24" s="2969"/>
      <c r="N24" s="2153" t="s">
        <v>2369</v>
      </c>
      <c r="O24" s="2154"/>
      <c r="P24" s="2155">
        <f>SUMPRODUCT((地价!A3:A41=YEAR(G19)&amp;"-"&amp;ROUNDUP(MONTH(G19)/3,0))*(地价!AD2:AH2=N24)*(地价!AD3:AH41))</f>
        <v>1.15E-2</v>
      </c>
      <c r="Q24" s="2969"/>
      <c r="R24" s="2967"/>
      <c r="S24" s="2967"/>
      <c r="T24" s="2967"/>
      <c r="U24" s="2967"/>
      <c r="V24" s="2967"/>
      <c r="W24" s="2967"/>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7"/>
      <c r="L25" s="2967"/>
      <c r="M25" s="2967"/>
      <c r="N25" s="2970" t="s">
        <v>2372</v>
      </c>
      <c r="O25" s="2971"/>
      <c r="P25" s="2972">
        <f>SUMPRODUCT((地价!A3:A41=YEAR(G19)&amp;"-"&amp;ROUNDUP(MONTH(G19)/3,0))*(地价!AD2:AH2=N25)*(地价!AD3:AH41))</f>
        <v>1.5699999999999999E-2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2373</v>
      </c>
      <c r="C26" s="2807" t="e">
        <f>IF(B21="容积率修正",E29+SUM(E33:E39),SUM(V2:V16)+SUM(E33:E39))</f>
        <v>#REF!</v>
      </c>
      <c r="D26" s="2158"/>
      <c r="E26" s="2097"/>
      <c r="F26" s="1406"/>
      <c r="G26" s="2097"/>
      <c r="H26" s="2097"/>
      <c r="I26" s="2097"/>
      <c r="J26" s="2159"/>
      <c r="K26" s="2967"/>
      <c r="L26" s="2973" t="s">
        <v>2332</v>
      </c>
      <c r="M26" s="2060" t="s">
        <v>2333</v>
      </c>
      <c r="N26" s="2060" t="s">
        <v>2334</v>
      </c>
      <c r="O26" s="2060" t="s">
        <v>2335</v>
      </c>
      <c r="P26" s="2974" t="s">
        <v>2336</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7"/>
      <c r="L27" s="2164" t="s">
        <v>2339</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7"/>
      <c r="L28" s="2169" t="s">
        <v>2342</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2379</v>
      </c>
      <c r="C29" s="54">
        <f>ROUND(C5*C18*C19*C20*C21*C24,0)</f>
        <v>0</v>
      </c>
      <c r="D29" s="2172">
        <f>项目基本情况!C12</f>
        <v>829.41000000000008</v>
      </c>
      <c r="E29" s="1959">
        <f>ROUND(C29*D29,0)</f>
        <v>0</v>
      </c>
      <c r="F29" s="2173" t="s">
        <v>2380</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09"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10"/>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10"/>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11"/>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2393</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2395</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2336</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2474</v>
      </c>
      <c r="C41" s="50">
        <f>ROUND(POWER(1+E41,H41-G41)*(POWER(1+E41,G41)-1)/(POWER(1+E41,H41)-1),4)</f>
        <v>0</v>
      </c>
      <c r="D41" s="50" t="s">
        <v>2472</v>
      </c>
      <c r="E41" s="2195">
        <f>G20</f>
        <v>0.05</v>
      </c>
      <c r="F41" s="50" t="s">
        <v>2473</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24.75">
      <c r="A48" s="2206" t="s">
        <v>2413</v>
      </c>
      <c r="B48" s="2210" t="str">
        <f>估价对象房地状况!C16</f>
        <v>较好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14.25">
      <c r="A49" s="2206" t="s">
        <v>2414</v>
      </c>
      <c r="B49" s="2218" t="str">
        <f>估价对象房地状况!C18</f>
        <v>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2418</v>
      </c>
      <c r="B52" s="2218" t="str">
        <f>估价对象房地状况!C24</f>
        <v>较好</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4">
      <c r="A54" s="2222" t="s">
        <v>2421</v>
      </c>
      <c r="B54" s="2223" t="str">
        <f>估价对象房地状况!C21</f>
        <v>较好</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4">
      <c r="A55" s="2222" t="s">
        <v>2422</v>
      </c>
      <c r="B55" s="2218" t="str">
        <f>估价对象房地状况!C22</f>
        <v>六通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24.75" thickBot="1">
      <c r="A56" s="2224" t="s">
        <v>2423</v>
      </c>
      <c r="B56" s="2225" t="str">
        <f>估价对象房地状况!C20</f>
        <v>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24">
      <c r="A59" s="2206" t="s">
        <v>2428</v>
      </c>
      <c r="B59" s="2210">
        <f>估价对象房地状况!C17</f>
        <v>0</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14.25">
      <c r="A60" s="2206" t="s">
        <v>2414</v>
      </c>
      <c r="B60" s="2218" t="str">
        <f>估价对象房地状况!C18</f>
        <v>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2418</v>
      </c>
      <c r="B63" s="2218" t="str">
        <f>估价对象房地状况!C24</f>
        <v>较好</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4">
      <c r="A65" s="2206" t="s">
        <v>2421</v>
      </c>
      <c r="B65" s="2223" t="str">
        <f>估价对象房地状况!C21</f>
        <v>较好</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4">
      <c r="A66" s="2206" t="s">
        <v>2422</v>
      </c>
      <c r="B66" s="2223" t="str">
        <f>估价对象房地状况!C22</f>
        <v>六通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24.75" thickBot="1">
      <c r="A67" s="2224" t="s">
        <v>2423</v>
      </c>
      <c r="B67" s="2229" t="str">
        <f>估价对象房地状况!C20</f>
        <v>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24">
      <c r="A70" s="2206" t="s">
        <v>2430</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14.25">
      <c r="A71" s="2206" t="s">
        <v>2414</v>
      </c>
      <c r="B71" s="2218" t="str">
        <f>估价对象房地状况!C18</f>
        <v>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2431</v>
      </c>
      <c r="B73" s="2218" t="str">
        <f>估价对象房地状况!C24</f>
        <v>较好</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4">
      <c r="A74" s="2206" t="s">
        <v>2421</v>
      </c>
      <c r="B74" s="2223" t="str">
        <f>估价对象房地状况!C21</f>
        <v>较好</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4">
      <c r="A75" s="2206" t="s">
        <v>2422</v>
      </c>
      <c r="B75" s="2223" t="str">
        <f>估价对象房地状况!C22</f>
        <v>六通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24">
      <c r="A77" s="2206" t="s">
        <v>2423</v>
      </c>
      <c r="B77" s="2210" t="str">
        <f>估价对象房地状况!C20</f>
        <v>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2433</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5"/>
      <c r="R80" s="2975"/>
      <c r="S80" s="2975"/>
      <c r="T80" s="2975"/>
      <c r="U80" s="2975"/>
      <c r="V80" s="2975"/>
      <c r="W80" s="2975"/>
      <c r="AA80" s="1552"/>
      <c r="AG80" s="2193"/>
    </row>
    <row r="81" spans="1:33" ht="24">
      <c r="A81" s="2206" t="s">
        <v>2434</v>
      </c>
      <c r="B81" s="2218">
        <f>估价对象房地状况!G15</f>
        <v>0</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14.25">
      <c r="A82" s="2206" t="s">
        <v>2414</v>
      </c>
      <c r="B82" s="2218">
        <f>估价对象房地状况!G16</f>
        <v>0</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4">
      <c r="A85" s="2206" t="s">
        <v>2421</v>
      </c>
      <c r="B85" s="2223">
        <f>估价对象房地状况!G19</f>
        <v>0</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4">
      <c r="A86" s="2206" t="s">
        <v>2422</v>
      </c>
      <c r="B86" s="2223">
        <f>估价对象房地状况!G20</f>
        <v>0</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15" thickBot="1">
      <c r="A88" s="2224" t="s">
        <v>2435</v>
      </c>
      <c r="B88" s="2231">
        <f>估价对象房地状况!G18</f>
        <v>0</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701" t="s">
        <v>2436</v>
      </c>
      <c r="B90" s="3701"/>
      <c r="C90" s="3701"/>
      <c r="D90" s="3701"/>
      <c r="E90" s="3701"/>
      <c r="F90" s="3701"/>
      <c r="G90" s="3701"/>
      <c r="H90" s="3701"/>
      <c r="I90" s="3701"/>
      <c r="J90" s="3701"/>
      <c r="K90" s="2234"/>
      <c r="L90" s="2234"/>
      <c r="M90" s="2234"/>
      <c r="N90" s="2234"/>
      <c r="Q90" s="2975"/>
      <c r="R90" s="2975"/>
      <c r="S90" s="2975"/>
      <c r="T90" s="2975"/>
      <c r="U90" s="2975"/>
      <c r="V90" s="2975"/>
      <c r="W90" s="2975"/>
    </row>
    <row r="91" spans="1:33">
      <c r="A91" s="3703" t="s">
        <v>2437</v>
      </c>
      <c r="B91" s="3703" t="s">
        <v>2438</v>
      </c>
      <c r="C91" s="2173" t="s">
        <v>2439</v>
      </c>
      <c r="D91" s="2174"/>
      <c r="E91" s="2174"/>
      <c r="F91" s="2174"/>
      <c r="G91" s="2174"/>
      <c r="H91" s="2174"/>
      <c r="I91" s="2174"/>
      <c r="J91" s="2236"/>
      <c r="K91" s="1996"/>
      <c r="L91" s="1996"/>
      <c r="M91" s="1996"/>
      <c r="N91" s="1996"/>
      <c r="Q91" s="2975"/>
      <c r="R91" s="2975"/>
      <c r="S91" s="2975"/>
      <c r="T91" s="2975"/>
      <c r="U91" s="2975"/>
      <c r="V91" s="2975"/>
      <c r="W91" s="2975"/>
    </row>
    <row r="92" spans="1:33">
      <c r="A92" s="3703"/>
      <c r="B92" s="3703"/>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5"/>
      <c r="R92" s="2975"/>
      <c r="S92" s="2975"/>
      <c r="T92" s="2975"/>
      <c r="U92" s="2975"/>
      <c r="V92" s="2975"/>
      <c r="W92" s="2975"/>
    </row>
    <row r="93" spans="1:33">
      <c r="A93" s="3704"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70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70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70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70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70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705"/>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70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704"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70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70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70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70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70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70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705"/>
      <c r="B108" s="3707"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706"/>
      <c r="B109" s="370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702" t="s">
        <v>2444</v>
      </c>
      <c r="B110" s="3702"/>
      <c r="C110" s="3702"/>
      <c r="D110" s="3702"/>
      <c r="E110" s="3702"/>
      <c r="F110" s="3702"/>
      <c r="G110" s="3702"/>
      <c r="H110" s="3702"/>
      <c r="I110" s="3702"/>
      <c r="J110" s="3702"/>
      <c r="K110" s="2008"/>
      <c r="L110" s="2008"/>
      <c r="M110" s="2008"/>
      <c r="N110" s="2008"/>
      <c r="Q110" s="2975"/>
      <c r="R110" s="2975"/>
      <c r="S110" s="2975"/>
      <c r="T110" s="2975"/>
      <c r="U110" s="2975"/>
      <c r="V110" s="2975"/>
      <c r="W110" s="2975"/>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24" t="s">
        <v>597</v>
      </c>
      <c r="B1" s="372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t="str">
        <f>估价对象房地状况!C4</f>
        <v>较好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14.25">
      <c r="A5" s="680" t="s">
        <v>535</v>
      </c>
      <c r="B5" s="691" t="str">
        <f>估价对象房地状况!C6</f>
        <v>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较好</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14.25">
      <c r="A16" s="680" t="s">
        <v>535</v>
      </c>
      <c r="B16" s="681" t="str">
        <f>估价对象房地状况!C6</f>
        <v>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较好</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14.25">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14.25">
      <c r="A27" s="680" t="s">
        <v>535</v>
      </c>
      <c r="B27" s="681" t="str">
        <f>估价对象房地状况!C6</f>
        <v>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较好</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14.25">
      <c r="A37" s="680" t="s">
        <v>547</v>
      </c>
      <c r="B37" s="681">
        <f>估价对象房地状况!G3</f>
        <v>0</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14.25">
      <c r="A38" s="680" t="s">
        <v>535</v>
      </c>
      <c r="B38" s="681">
        <f>估价对象房地状况!G4</f>
        <v>0</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f>估价对象房地状况!G19</f>
        <v>0</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15" thickBot="1">
      <c r="A44" s="694" t="s">
        <v>548</v>
      </c>
      <c r="B44" s="701">
        <f>估价对象房地状况!G18</f>
        <v>0</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4" t="s">
        <v>105</v>
      </c>
      <c r="B1" s="3724"/>
      <c r="C1" s="3724"/>
      <c r="D1" s="3724"/>
      <c r="E1" s="3724"/>
      <c r="F1" s="372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5" t="s">
        <v>118</v>
      </c>
      <c r="B2" s="3725"/>
      <c r="C2" s="3725"/>
      <c r="D2" s="3725"/>
      <c r="E2" s="3725"/>
      <c r="F2" s="372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2790</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2791</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2792</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2793</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2794</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2795</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2476</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2796</v>
      </c>
      <c r="B19" s="3285" t="s">
        <v>2797</v>
      </c>
      <c r="C19" s="3312" t="s">
        <v>561</v>
      </c>
      <c r="D19" s="3284"/>
      <c r="E19" s="3280" t="s">
        <v>3014</v>
      </c>
      <c r="F19" s="3313"/>
      <c r="G19" s="3313"/>
    </row>
    <row r="20" spans="1:13" ht="19.5" customHeight="1">
      <c r="A20" s="3732" t="s">
        <v>2790</v>
      </c>
      <c r="B20" s="3735" t="s">
        <v>2798</v>
      </c>
      <c r="C20" s="3286" t="s">
        <v>2799</v>
      </c>
      <c r="D20" s="3287"/>
      <c r="E20" s="3288">
        <v>1</v>
      </c>
      <c r="F20" s="3289" t="s">
        <v>2800</v>
      </c>
      <c r="G20" s="3289"/>
    </row>
    <row r="21" spans="1:13" ht="19.5" customHeight="1">
      <c r="A21" s="3733"/>
      <c r="B21" s="3731"/>
      <c r="C21" s="740" t="s">
        <v>2801</v>
      </c>
      <c r="D21" s="741"/>
      <c r="E21" s="3290">
        <v>1</v>
      </c>
      <c r="F21" s="3289" t="s">
        <v>2802</v>
      </c>
      <c r="G21" s="3289"/>
    </row>
    <row r="22" spans="1:13" ht="19.5" customHeight="1">
      <c r="A22" s="3733"/>
      <c r="B22" s="3731"/>
      <c r="C22" s="740" t="s">
        <v>2803</v>
      </c>
      <c r="D22" s="741"/>
      <c r="E22" s="3290">
        <v>0.9</v>
      </c>
      <c r="F22" s="3289" t="s">
        <v>2804</v>
      </c>
      <c r="G22" s="3289"/>
    </row>
    <row r="23" spans="1:13" ht="19.5" customHeight="1">
      <c r="A23" s="3733"/>
      <c r="B23" s="3731"/>
      <c r="C23" s="740" t="s">
        <v>2805</v>
      </c>
      <c r="D23" s="741"/>
      <c r="E23" s="3290">
        <v>0.9</v>
      </c>
      <c r="F23" s="3289" t="s">
        <v>2806</v>
      </c>
      <c r="G23" s="3289"/>
    </row>
    <row r="24" spans="1:13" ht="19.5" customHeight="1">
      <c r="A24" s="3733"/>
      <c r="B24" s="3731"/>
      <c r="C24" s="740" t="s">
        <v>2807</v>
      </c>
      <c r="D24" s="741"/>
      <c r="E24" s="3290">
        <v>0.8</v>
      </c>
      <c r="F24" s="3289" t="s">
        <v>2808</v>
      </c>
      <c r="G24" s="3289"/>
    </row>
    <row r="25" spans="1:13" ht="19.5" customHeight="1" thickBot="1">
      <c r="A25" s="3734"/>
      <c r="B25" s="3736"/>
      <c r="C25" s="3291" t="s">
        <v>2809</v>
      </c>
      <c r="D25" s="3292"/>
      <c r="E25" s="3293">
        <v>0.8</v>
      </c>
      <c r="F25" s="3289" t="s">
        <v>2810</v>
      </c>
      <c r="G25" s="3289"/>
    </row>
    <row r="26" spans="1:13" ht="19.5" customHeight="1" thickBot="1">
      <c r="A26" s="3294" t="s">
        <v>2791</v>
      </c>
      <c r="B26" s="3295" t="s">
        <v>2798</v>
      </c>
      <c r="C26" s="3296" t="s">
        <v>2811</v>
      </c>
      <c r="D26" s="3297"/>
      <c r="E26" s="3298">
        <v>1</v>
      </c>
      <c r="F26" s="3289" t="s">
        <v>2852</v>
      </c>
      <c r="G26" s="3289"/>
    </row>
    <row r="27" spans="1:13" ht="19.5" customHeight="1">
      <c r="A27" s="3737" t="s">
        <v>2795</v>
      </c>
      <c r="B27" s="3735" t="s">
        <v>2795</v>
      </c>
      <c r="C27" s="3286" t="s">
        <v>2812</v>
      </c>
      <c r="D27" s="3287"/>
      <c r="E27" s="3288">
        <v>1</v>
      </c>
      <c r="F27" s="3289" t="s">
        <v>2853</v>
      </c>
      <c r="G27" s="3289"/>
    </row>
    <row r="28" spans="1:13" ht="19.5" customHeight="1">
      <c r="A28" s="3738"/>
      <c r="B28" s="3731"/>
      <c r="C28" s="740" t="s">
        <v>2813</v>
      </c>
      <c r="D28" s="741"/>
      <c r="E28" s="3290">
        <v>1</v>
      </c>
      <c r="F28" s="3289" t="s">
        <v>2854</v>
      </c>
      <c r="G28" s="3289"/>
    </row>
    <row r="29" spans="1:13" ht="19.5" customHeight="1">
      <c r="A29" s="3738"/>
      <c r="B29" s="3731"/>
      <c r="C29" s="740" t="s">
        <v>2814</v>
      </c>
      <c r="D29" s="741"/>
      <c r="E29" s="3290">
        <v>0.8</v>
      </c>
      <c r="F29" s="3289" t="s">
        <v>2855</v>
      </c>
      <c r="G29" s="3289"/>
    </row>
    <row r="30" spans="1:13" ht="19.5" customHeight="1">
      <c r="A30" s="3738"/>
      <c r="B30" s="3731"/>
      <c r="C30" s="740" t="s">
        <v>2815</v>
      </c>
      <c r="D30" s="741"/>
      <c r="E30" s="3290">
        <v>0.8</v>
      </c>
      <c r="F30" s="3289" t="s">
        <v>2856</v>
      </c>
      <c r="G30" s="3289"/>
    </row>
    <row r="31" spans="1:13" ht="19.5" customHeight="1">
      <c r="A31" s="3738"/>
      <c r="B31" s="3731"/>
      <c r="C31" s="740" t="s">
        <v>2816</v>
      </c>
      <c r="D31" s="741"/>
      <c r="E31" s="3290">
        <v>0.8</v>
      </c>
      <c r="F31" s="3289" t="s">
        <v>2857</v>
      </c>
      <c r="G31" s="3289"/>
    </row>
    <row r="32" spans="1:13" ht="19.5" customHeight="1">
      <c r="A32" s="3738"/>
      <c r="B32" s="3731"/>
      <c r="C32" s="740" t="s">
        <v>2817</v>
      </c>
      <c r="D32" s="741"/>
      <c r="E32" s="3290">
        <v>0.7</v>
      </c>
      <c r="F32" s="3289" t="s">
        <v>2858</v>
      </c>
      <c r="G32" s="3289"/>
    </row>
    <row r="33" spans="1:7" ht="19.5" customHeight="1">
      <c r="A33" s="3738"/>
      <c r="B33" s="3731"/>
      <c r="C33" s="740" t="s">
        <v>2818</v>
      </c>
      <c r="D33" s="741"/>
      <c r="E33" s="3290">
        <v>0.8</v>
      </c>
      <c r="F33" s="3289" t="s">
        <v>2859</v>
      </c>
      <c r="G33" s="3289"/>
    </row>
    <row r="34" spans="1:7" ht="19.5" customHeight="1">
      <c r="A34" s="3738"/>
      <c r="B34" s="3731"/>
      <c r="C34" s="740" t="s">
        <v>2819</v>
      </c>
      <c r="D34" s="741"/>
      <c r="E34" s="3290">
        <v>0.6</v>
      </c>
      <c r="F34" s="3289" t="s">
        <v>2860</v>
      </c>
      <c r="G34" s="3289"/>
    </row>
    <row r="35" spans="1:7" ht="19.5" customHeight="1">
      <c r="A35" s="3738"/>
      <c r="B35" s="3731"/>
      <c r="C35" s="740" t="s">
        <v>2820</v>
      </c>
      <c r="D35" s="741"/>
      <c r="E35" s="3290">
        <v>0.2</v>
      </c>
      <c r="F35" s="3289" t="s">
        <v>2861</v>
      </c>
      <c r="G35" s="3289"/>
    </row>
    <row r="36" spans="1:7" ht="19.5" customHeight="1">
      <c r="A36" s="3738"/>
      <c r="B36" s="3731"/>
      <c r="C36" s="740" t="s">
        <v>2821</v>
      </c>
      <c r="D36" s="741"/>
      <c r="E36" s="3290">
        <v>0.2</v>
      </c>
      <c r="F36" s="3289" t="s">
        <v>2862</v>
      </c>
      <c r="G36" s="3289"/>
    </row>
    <row r="37" spans="1:7" ht="19.5" customHeight="1">
      <c r="A37" s="3738"/>
      <c r="B37" s="3729" t="s">
        <v>2822</v>
      </c>
      <c r="C37" s="740" t="s">
        <v>2823</v>
      </c>
      <c r="D37" s="741"/>
      <c r="E37" s="3290">
        <v>0.6</v>
      </c>
      <c r="F37" s="3289" t="s">
        <v>2863</v>
      </c>
      <c r="G37" s="3289"/>
    </row>
    <row r="38" spans="1:7" ht="19.5" customHeight="1">
      <c r="A38" s="3738"/>
      <c r="B38" s="3731"/>
      <c r="C38" s="740" t="s">
        <v>2824</v>
      </c>
      <c r="D38" s="741"/>
      <c r="E38" s="3290">
        <v>0.6</v>
      </c>
      <c r="F38" s="3289" t="s">
        <v>2864</v>
      </c>
      <c r="G38" s="3289"/>
    </row>
    <row r="39" spans="1:7" ht="19.5" customHeight="1" thickBot="1">
      <c r="A39" s="3739"/>
      <c r="B39" s="3736"/>
      <c r="C39" s="3291" t="s">
        <v>2825</v>
      </c>
      <c r="D39" s="3292"/>
      <c r="E39" s="3293">
        <v>0.6</v>
      </c>
      <c r="F39" s="3289" t="s">
        <v>2865</v>
      </c>
      <c r="G39" s="3289"/>
    </row>
    <row r="40" spans="1:7" ht="19.5" customHeight="1" thickBot="1">
      <c r="A40" s="3294" t="s">
        <v>2826</v>
      </c>
      <c r="B40" s="3295" t="s">
        <v>2826</v>
      </c>
      <c r="C40" s="3296" t="s">
        <v>2827</v>
      </c>
      <c r="D40" s="3297"/>
      <c r="E40" s="3298">
        <v>1</v>
      </c>
      <c r="F40" s="3289" t="s">
        <v>2866</v>
      </c>
      <c r="G40" s="3289"/>
    </row>
    <row r="41" spans="1:7" ht="19.5" customHeight="1">
      <c r="A41" s="3732" t="s">
        <v>2828</v>
      </c>
      <c r="B41" s="3735" t="s">
        <v>2829</v>
      </c>
      <c r="C41" s="3286" t="s">
        <v>2830</v>
      </c>
      <c r="D41" s="3287"/>
      <c r="E41" s="3288">
        <v>1</v>
      </c>
      <c r="F41" s="3289" t="s">
        <v>2831</v>
      </c>
      <c r="G41" s="3289"/>
    </row>
    <row r="42" spans="1:7" ht="19.5" customHeight="1">
      <c r="A42" s="3733"/>
      <c r="B42" s="3731"/>
      <c r="C42" s="740" t="s">
        <v>2832</v>
      </c>
      <c r="D42" s="741"/>
      <c r="E42" s="3290">
        <v>1</v>
      </c>
      <c r="F42" s="3289" t="s">
        <v>2833</v>
      </c>
      <c r="G42" s="3289"/>
    </row>
    <row r="43" spans="1:7" ht="19.5" customHeight="1">
      <c r="A43" s="3733"/>
      <c r="B43" s="3730"/>
      <c r="C43" s="740" t="s">
        <v>2834</v>
      </c>
      <c r="D43" s="741"/>
      <c r="E43" s="3290">
        <v>1.5</v>
      </c>
      <c r="F43" s="3289" t="s">
        <v>2835</v>
      </c>
      <c r="G43" s="3289"/>
    </row>
    <row r="44" spans="1:7" ht="19.5" customHeight="1">
      <c r="A44" s="3733"/>
      <c r="B44" s="3299" t="s">
        <v>2795</v>
      </c>
      <c r="C44" s="740" t="s">
        <v>2794</v>
      </c>
      <c r="D44" s="741"/>
      <c r="E44" s="3290">
        <v>2</v>
      </c>
      <c r="F44" s="3289" t="s">
        <v>2836</v>
      </c>
      <c r="G44" s="3289"/>
    </row>
    <row r="45" spans="1:7" ht="19.5" customHeight="1">
      <c r="A45" s="3733"/>
      <c r="B45" s="3729" t="s">
        <v>2837</v>
      </c>
      <c r="C45" s="740" t="s">
        <v>2838</v>
      </c>
      <c r="D45" s="741"/>
      <c r="E45" s="3290">
        <v>1</v>
      </c>
      <c r="F45" s="3289" t="s">
        <v>2839</v>
      </c>
      <c r="G45" s="3289"/>
    </row>
    <row r="46" spans="1:7" ht="19.5" customHeight="1">
      <c r="A46" s="3733"/>
      <c r="B46" s="3731"/>
      <c r="C46" s="740" t="s">
        <v>2840</v>
      </c>
      <c r="D46" s="741"/>
      <c r="E46" s="3290">
        <v>1</v>
      </c>
      <c r="F46" s="3289" t="s">
        <v>2841</v>
      </c>
      <c r="G46" s="3289"/>
    </row>
    <row r="47" spans="1:7" ht="19.5" customHeight="1">
      <c r="A47" s="3733"/>
      <c r="B47" s="3731"/>
      <c r="C47" s="740" t="s">
        <v>2842</v>
      </c>
      <c r="D47" s="741"/>
      <c r="E47" s="3290">
        <v>1</v>
      </c>
      <c r="F47" s="3289" t="s">
        <v>2843</v>
      </c>
      <c r="G47" s="3289"/>
    </row>
    <row r="48" spans="1:7" ht="19.5" customHeight="1">
      <c r="A48" s="3733"/>
      <c r="B48" s="3731"/>
      <c r="C48" s="740" t="s">
        <v>2844</v>
      </c>
      <c r="D48" s="741"/>
      <c r="E48" s="3290">
        <v>1</v>
      </c>
      <c r="F48" s="3289" t="s">
        <v>2845</v>
      </c>
      <c r="G48" s="3289"/>
    </row>
    <row r="49" spans="1:7" ht="19.5" customHeight="1">
      <c r="A49" s="3733"/>
      <c r="B49" s="3731"/>
      <c r="C49" s="740" t="s">
        <v>2846</v>
      </c>
      <c r="D49" s="741"/>
      <c r="E49" s="3290">
        <v>1</v>
      </c>
      <c r="F49" s="3289" t="s">
        <v>2847</v>
      </c>
      <c r="G49" s="3289"/>
    </row>
    <row r="50" spans="1:7" ht="19.5" customHeight="1">
      <c r="A50" s="3733"/>
      <c r="B50" s="3731"/>
      <c r="C50" s="740" t="s">
        <v>2848</v>
      </c>
      <c r="D50" s="741"/>
      <c r="E50" s="3290">
        <v>1</v>
      </c>
      <c r="F50" s="3289" t="s">
        <v>2849</v>
      </c>
      <c r="G50" s="3289"/>
    </row>
    <row r="51" spans="1:7" ht="19.5" customHeight="1" thickBot="1">
      <c r="A51" s="3734"/>
      <c r="B51" s="3736"/>
      <c r="C51" s="3291" t="s">
        <v>2850</v>
      </c>
      <c r="D51" s="3292"/>
      <c r="E51" s="3293">
        <v>1</v>
      </c>
      <c r="F51" s="3289" t="s">
        <v>2851</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2867</v>
      </c>
      <c r="D72" s="3299"/>
      <c r="E72" s="3305" t="s">
        <v>1</v>
      </c>
      <c r="F72" s="3299" t="s">
        <v>1</v>
      </c>
    </row>
    <row r="73" spans="1:7" ht="13.5">
      <c r="A73" s="3299">
        <v>1</v>
      </c>
      <c r="B73" s="3729" t="s">
        <v>2868</v>
      </c>
      <c r="C73" s="3280" t="s">
        <v>2869</v>
      </c>
      <c r="D73" s="3280" t="s">
        <v>2870</v>
      </c>
      <c r="E73" s="3305">
        <v>0.2</v>
      </c>
      <c r="F73" s="3299">
        <v>25</v>
      </c>
    </row>
    <row r="74" spans="1:7" ht="24">
      <c r="A74" s="3299">
        <v>2</v>
      </c>
      <c r="B74" s="3731"/>
      <c r="C74" s="3280" t="s">
        <v>2871</v>
      </c>
      <c r="D74" s="3280" t="s">
        <v>2872</v>
      </c>
      <c r="E74" s="3305">
        <v>0.2</v>
      </c>
      <c r="F74" s="3299">
        <v>25</v>
      </c>
    </row>
    <row r="75" spans="1:7" ht="24">
      <c r="A75" s="3299">
        <v>3</v>
      </c>
      <c r="B75" s="3731"/>
      <c r="C75" s="3280" t="s">
        <v>2873</v>
      </c>
      <c r="D75" s="3280" t="s">
        <v>2874</v>
      </c>
      <c r="E75" s="3305">
        <v>0.2</v>
      </c>
      <c r="F75" s="3299">
        <v>25</v>
      </c>
    </row>
    <row r="76" spans="1:7" ht="13.5">
      <c r="A76" s="3299">
        <v>4</v>
      </c>
      <c r="B76" s="3731"/>
      <c r="C76" s="3280" t="s">
        <v>2875</v>
      </c>
      <c r="D76" s="3280" t="s">
        <v>2876</v>
      </c>
      <c r="E76" s="3305">
        <v>0.15</v>
      </c>
      <c r="F76" s="3299">
        <v>20</v>
      </c>
    </row>
    <row r="77" spans="1:7" ht="24">
      <c r="A77" s="3299">
        <v>5</v>
      </c>
      <c r="B77" s="3731"/>
      <c r="C77" s="3280" t="s">
        <v>2877</v>
      </c>
      <c r="D77" s="3280" t="s">
        <v>2878</v>
      </c>
      <c r="E77" s="3305">
        <v>0.15</v>
      </c>
      <c r="F77" s="3299">
        <v>20</v>
      </c>
    </row>
    <row r="78" spans="1:7" ht="24">
      <c r="A78" s="3299">
        <v>6</v>
      </c>
      <c r="B78" s="3731"/>
      <c r="C78" s="3280" t="s">
        <v>2879</v>
      </c>
      <c r="D78" s="3280" t="s">
        <v>2880</v>
      </c>
      <c r="E78" s="3305">
        <v>0.15</v>
      </c>
      <c r="F78" s="3299">
        <v>20</v>
      </c>
    </row>
    <row r="79" spans="1:7" ht="24">
      <c r="A79" s="3299">
        <v>7</v>
      </c>
      <c r="B79" s="3731"/>
      <c r="C79" s="3280" t="s">
        <v>2881</v>
      </c>
      <c r="D79" s="3280" t="s">
        <v>2882</v>
      </c>
      <c r="E79" s="3305">
        <v>0.15</v>
      </c>
      <c r="F79" s="3299">
        <v>20</v>
      </c>
    </row>
    <row r="80" spans="1:7" ht="24">
      <c r="A80" s="3299">
        <v>8</v>
      </c>
      <c r="B80" s="3731"/>
      <c r="C80" s="3280" t="s">
        <v>2883</v>
      </c>
      <c r="D80" s="3280" t="s">
        <v>2884</v>
      </c>
      <c r="E80" s="3305">
        <v>0.1</v>
      </c>
      <c r="F80" s="3299">
        <v>15</v>
      </c>
    </row>
    <row r="81" spans="1:6" ht="24">
      <c r="A81" s="3299">
        <v>9</v>
      </c>
      <c r="B81" s="3731"/>
      <c r="C81" s="3280" t="s">
        <v>2885</v>
      </c>
      <c r="D81" s="3280" t="s">
        <v>2886</v>
      </c>
      <c r="E81" s="3305">
        <v>0.1</v>
      </c>
      <c r="F81" s="3299">
        <v>15</v>
      </c>
    </row>
    <row r="82" spans="1:6" ht="24">
      <c r="A82" s="3299">
        <v>10</v>
      </c>
      <c r="B82" s="3731"/>
      <c r="C82" s="3280" t="s">
        <v>2887</v>
      </c>
      <c r="D82" s="3280" t="s">
        <v>2888</v>
      </c>
      <c r="E82" s="3305">
        <v>0.1</v>
      </c>
      <c r="F82" s="3299">
        <v>15</v>
      </c>
    </row>
    <row r="83" spans="1:6" ht="24">
      <c r="A83" s="3299">
        <v>11</v>
      </c>
      <c r="B83" s="3731"/>
      <c r="C83" s="3280" t="s">
        <v>2889</v>
      </c>
      <c r="D83" s="3280" t="s">
        <v>2890</v>
      </c>
      <c r="E83" s="3305">
        <v>0.1</v>
      </c>
      <c r="F83" s="3299">
        <v>15</v>
      </c>
    </row>
    <row r="84" spans="1:6" ht="24">
      <c r="A84" s="3299">
        <v>12</v>
      </c>
      <c r="B84" s="3731"/>
      <c r="C84" s="3280" t="s">
        <v>2891</v>
      </c>
      <c r="D84" s="3280" t="s">
        <v>2892</v>
      </c>
      <c r="E84" s="3305">
        <v>0.1</v>
      </c>
      <c r="F84" s="3299">
        <v>15</v>
      </c>
    </row>
    <row r="85" spans="1:6" ht="13.5">
      <c r="A85" s="3299">
        <v>13</v>
      </c>
      <c r="B85" s="3731"/>
      <c r="C85" s="3280" t="s">
        <v>2893</v>
      </c>
      <c r="D85" s="3280" t="s">
        <v>2894</v>
      </c>
      <c r="E85" s="3305">
        <v>0.1</v>
      </c>
      <c r="F85" s="3299">
        <v>15</v>
      </c>
    </row>
    <row r="86" spans="1:6" ht="13.5">
      <c r="A86" s="3299">
        <v>14</v>
      </c>
      <c r="B86" s="3731"/>
      <c r="C86" s="3280" t="s">
        <v>2895</v>
      </c>
      <c r="D86" s="3280" t="s">
        <v>2896</v>
      </c>
      <c r="E86" s="3305">
        <v>0.1</v>
      </c>
      <c r="F86" s="3299">
        <v>15</v>
      </c>
    </row>
    <row r="87" spans="1:6" ht="13.5">
      <c r="A87" s="3299">
        <v>15</v>
      </c>
      <c r="B87" s="3731"/>
      <c r="C87" s="3280" t="s">
        <v>2897</v>
      </c>
      <c r="D87" s="3280" t="s">
        <v>2898</v>
      </c>
      <c r="E87" s="3305">
        <v>0.1</v>
      </c>
      <c r="F87" s="3299">
        <v>15</v>
      </c>
    </row>
    <row r="88" spans="1:6" ht="24">
      <c r="A88" s="3299">
        <v>16</v>
      </c>
      <c r="B88" s="3731"/>
      <c r="C88" s="3280" t="s">
        <v>2899</v>
      </c>
      <c r="D88" s="3280" t="s">
        <v>2900</v>
      </c>
      <c r="E88" s="3305">
        <v>0.1</v>
      </c>
      <c r="F88" s="3299">
        <v>15</v>
      </c>
    </row>
    <row r="89" spans="1:6" ht="24">
      <c r="A89" s="3299">
        <v>17</v>
      </c>
      <c r="B89" s="3730"/>
      <c r="C89" s="3280" t="s">
        <v>2901</v>
      </c>
      <c r="D89" s="3280" t="s">
        <v>2902</v>
      </c>
      <c r="E89" s="3305">
        <v>0.1</v>
      </c>
      <c r="F89" s="3299">
        <v>15</v>
      </c>
    </row>
    <row r="90" spans="1:6" ht="13.5">
      <c r="A90" s="3299">
        <v>18</v>
      </c>
      <c r="B90" s="3729" t="s">
        <v>2903</v>
      </c>
      <c r="C90" s="3280" t="s">
        <v>2904</v>
      </c>
      <c r="D90" s="3280" t="s">
        <v>2905</v>
      </c>
      <c r="E90" s="3305">
        <v>0.2</v>
      </c>
      <c r="F90" s="3299">
        <v>25</v>
      </c>
    </row>
    <row r="91" spans="1:6" ht="24">
      <c r="A91" s="3299">
        <v>19</v>
      </c>
      <c r="B91" s="3731"/>
      <c r="C91" s="3280" t="s">
        <v>2906</v>
      </c>
      <c r="D91" s="3280" t="s">
        <v>2907</v>
      </c>
      <c r="E91" s="3305">
        <v>0.2</v>
      </c>
      <c r="F91" s="3299">
        <v>25</v>
      </c>
    </row>
    <row r="92" spans="1:6" ht="13.5">
      <c r="A92" s="3299">
        <v>20</v>
      </c>
      <c r="B92" s="3731"/>
      <c r="C92" s="3280" t="s">
        <v>2908</v>
      </c>
      <c r="D92" s="3280" t="s">
        <v>2909</v>
      </c>
      <c r="E92" s="3305">
        <v>0.15</v>
      </c>
      <c r="F92" s="3299">
        <v>20</v>
      </c>
    </row>
    <row r="93" spans="1:6" ht="24">
      <c r="A93" s="3299">
        <v>21</v>
      </c>
      <c r="B93" s="3731"/>
      <c r="C93" s="3280" t="s">
        <v>2910</v>
      </c>
      <c r="D93" s="3280" t="s">
        <v>2911</v>
      </c>
      <c r="E93" s="3305">
        <v>0.15</v>
      </c>
      <c r="F93" s="3299">
        <v>20</v>
      </c>
    </row>
    <row r="94" spans="1:6" ht="24">
      <c r="A94" s="3299">
        <v>22</v>
      </c>
      <c r="B94" s="3731"/>
      <c r="C94" s="3280" t="s">
        <v>2912</v>
      </c>
      <c r="D94" s="3280" t="s">
        <v>2913</v>
      </c>
      <c r="E94" s="3305">
        <v>0.15</v>
      </c>
      <c r="F94" s="3299">
        <v>20</v>
      </c>
    </row>
    <row r="95" spans="1:6" ht="36">
      <c r="A95" s="3299">
        <v>23</v>
      </c>
      <c r="B95" s="3731"/>
      <c r="C95" s="3280" t="s">
        <v>2914</v>
      </c>
      <c r="D95" s="3280" t="s">
        <v>2915</v>
      </c>
      <c r="E95" s="3305">
        <v>0.15</v>
      </c>
      <c r="F95" s="3299">
        <v>20</v>
      </c>
    </row>
    <row r="96" spans="1:6" ht="13.5">
      <c r="A96" s="3299">
        <v>24</v>
      </c>
      <c r="B96" s="3731"/>
      <c r="C96" s="3280" t="s">
        <v>2916</v>
      </c>
      <c r="D96" s="3280" t="s">
        <v>2917</v>
      </c>
      <c r="E96" s="3305">
        <v>0.1</v>
      </c>
      <c r="F96" s="3299">
        <v>15</v>
      </c>
    </row>
    <row r="97" spans="1:6" ht="24">
      <c r="A97" s="3299">
        <v>25</v>
      </c>
      <c r="B97" s="3731"/>
      <c r="C97" s="3280" t="s">
        <v>2918</v>
      </c>
      <c r="D97" s="3280" t="s">
        <v>2919</v>
      </c>
      <c r="E97" s="3305">
        <v>0.1</v>
      </c>
      <c r="F97" s="3299">
        <v>15</v>
      </c>
    </row>
    <row r="98" spans="1:6" ht="24">
      <c r="A98" s="3299">
        <v>26</v>
      </c>
      <c r="B98" s="3731"/>
      <c r="C98" s="3280" t="s">
        <v>2920</v>
      </c>
      <c r="D98" s="3280" t="s">
        <v>2921</v>
      </c>
      <c r="E98" s="3305">
        <v>0.1</v>
      </c>
      <c r="F98" s="3299">
        <v>15</v>
      </c>
    </row>
    <row r="99" spans="1:6" ht="24">
      <c r="A99" s="3299">
        <v>27</v>
      </c>
      <c r="B99" s="3731"/>
      <c r="C99" s="3280" t="s">
        <v>2922</v>
      </c>
      <c r="D99" s="3280" t="s">
        <v>2923</v>
      </c>
      <c r="E99" s="3305">
        <v>0.1</v>
      </c>
      <c r="F99" s="3299">
        <v>15</v>
      </c>
    </row>
    <row r="100" spans="1:6" ht="24">
      <c r="A100" s="3299">
        <v>28</v>
      </c>
      <c r="B100" s="3731"/>
      <c r="C100" s="3280" t="s">
        <v>2924</v>
      </c>
      <c r="D100" s="3280" t="s">
        <v>2925</v>
      </c>
      <c r="E100" s="3305">
        <v>0.1</v>
      </c>
      <c r="F100" s="3299">
        <v>15</v>
      </c>
    </row>
    <row r="101" spans="1:6" ht="24">
      <c r="A101" s="3299">
        <v>29</v>
      </c>
      <c r="B101" s="3731"/>
      <c r="C101" s="3280" t="s">
        <v>2926</v>
      </c>
      <c r="D101" s="3280" t="s">
        <v>2927</v>
      </c>
      <c r="E101" s="3305">
        <v>0.1</v>
      </c>
      <c r="F101" s="3299">
        <v>15</v>
      </c>
    </row>
    <row r="102" spans="1:6" ht="24">
      <c r="A102" s="3299">
        <v>30</v>
      </c>
      <c r="B102" s="3731"/>
      <c r="C102" s="3280" t="s">
        <v>2928</v>
      </c>
      <c r="D102" s="3280" t="s">
        <v>2929</v>
      </c>
      <c r="E102" s="3305">
        <v>0.1</v>
      </c>
      <c r="F102" s="3299">
        <v>15</v>
      </c>
    </row>
    <row r="103" spans="1:6" ht="24">
      <c r="A103" s="3299">
        <v>31</v>
      </c>
      <c r="B103" s="3731"/>
      <c r="C103" s="3280" t="s">
        <v>2930</v>
      </c>
      <c r="D103" s="3280" t="s">
        <v>2931</v>
      </c>
      <c r="E103" s="3305">
        <v>0.1</v>
      </c>
      <c r="F103" s="3299">
        <v>15</v>
      </c>
    </row>
    <row r="104" spans="1:6" ht="24">
      <c r="A104" s="3299">
        <v>32</v>
      </c>
      <c r="B104" s="3731"/>
      <c r="C104" s="3280" t="s">
        <v>2932</v>
      </c>
      <c r="D104" s="3280" t="s">
        <v>2933</v>
      </c>
      <c r="E104" s="3305">
        <v>0.1</v>
      </c>
      <c r="F104" s="3299">
        <v>15</v>
      </c>
    </row>
    <row r="105" spans="1:6" ht="24">
      <c r="A105" s="3299">
        <v>33</v>
      </c>
      <c r="B105" s="3731"/>
      <c r="C105" s="3280" t="s">
        <v>2934</v>
      </c>
      <c r="D105" s="3280" t="s">
        <v>2935</v>
      </c>
      <c r="E105" s="3305">
        <v>0.1</v>
      </c>
      <c r="F105" s="3299">
        <v>15</v>
      </c>
    </row>
    <row r="106" spans="1:6" ht="24">
      <c r="A106" s="3299">
        <v>34</v>
      </c>
      <c r="B106" s="3730"/>
      <c r="C106" s="3280" t="s">
        <v>2936</v>
      </c>
      <c r="D106" s="3280" t="s">
        <v>2937</v>
      </c>
      <c r="E106" s="3305">
        <v>0.1</v>
      </c>
      <c r="F106" s="3299">
        <v>15</v>
      </c>
    </row>
    <row r="107" spans="1:6" ht="24">
      <c r="A107" s="3299">
        <v>35</v>
      </c>
      <c r="B107" s="3729" t="s">
        <v>2938</v>
      </c>
      <c r="C107" s="3299" t="s">
        <v>2939</v>
      </c>
      <c r="D107" s="3280" t="s">
        <v>2940</v>
      </c>
      <c r="E107" s="3305">
        <v>0.15</v>
      </c>
      <c r="F107" s="3299">
        <v>20</v>
      </c>
    </row>
    <row r="108" spans="1:6" ht="24">
      <c r="A108" s="3299">
        <v>36</v>
      </c>
      <c r="B108" s="3731"/>
      <c r="C108" s="3299" t="s">
        <v>2941</v>
      </c>
      <c r="D108" s="3280" t="s">
        <v>2942</v>
      </c>
      <c r="E108" s="3305">
        <v>0.15</v>
      </c>
      <c r="F108" s="3299">
        <v>20</v>
      </c>
    </row>
    <row r="109" spans="1:6" ht="24">
      <c r="A109" s="3299">
        <v>37</v>
      </c>
      <c r="B109" s="3731"/>
      <c r="C109" s="3299" t="s">
        <v>2943</v>
      </c>
      <c r="D109" s="3280" t="s">
        <v>2944</v>
      </c>
      <c r="E109" s="3305">
        <v>0.15</v>
      </c>
      <c r="F109" s="3299">
        <v>20</v>
      </c>
    </row>
    <row r="110" spans="1:6" ht="13.5">
      <c r="A110" s="3299">
        <v>38</v>
      </c>
      <c r="B110" s="3731"/>
      <c r="C110" s="3299" t="s">
        <v>2945</v>
      </c>
      <c r="D110" s="3280" t="s">
        <v>2946</v>
      </c>
      <c r="E110" s="3305">
        <v>0.1</v>
      </c>
      <c r="F110" s="3299">
        <v>15</v>
      </c>
    </row>
    <row r="111" spans="1:6" ht="24">
      <c r="A111" s="3299">
        <v>39</v>
      </c>
      <c r="B111" s="3731"/>
      <c r="C111" s="3299" t="s">
        <v>2947</v>
      </c>
      <c r="D111" s="3280" t="s">
        <v>2948</v>
      </c>
      <c r="E111" s="3305">
        <v>0.1</v>
      </c>
      <c r="F111" s="3299">
        <v>15</v>
      </c>
    </row>
    <row r="112" spans="1:6" ht="24">
      <c r="A112" s="3299">
        <v>40</v>
      </c>
      <c r="B112" s="3730"/>
      <c r="C112" s="3299" t="s">
        <v>2949</v>
      </c>
      <c r="D112" s="3280" t="s">
        <v>2950</v>
      </c>
      <c r="E112" s="3305">
        <v>0.1</v>
      </c>
      <c r="F112" s="3299">
        <v>15</v>
      </c>
    </row>
    <row r="113" spans="1:6" ht="24">
      <c r="A113" s="3299">
        <v>41</v>
      </c>
      <c r="B113" s="3728" t="s">
        <v>2951</v>
      </c>
      <c r="C113" s="3299" t="s">
        <v>2952</v>
      </c>
      <c r="D113" s="3280" t="s">
        <v>2953</v>
      </c>
      <c r="E113" s="3305">
        <v>0.1</v>
      </c>
      <c r="F113" s="3299">
        <v>15</v>
      </c>
    </row>
    <row r="114" spans="1:6" ht="13.5">
      <c r="A114" s="3299">
        <v>42</v>
      </c>
      <c r="B114" s="3728"/>
      <c r="C114" s="3299" t="s">
        <v>2954</v>
      </c>
      <c r="D114" s="3280" t="s">
        <v>2955</v>
      </c>
      <c r="E114" s="3305">
        <v>0.1</v>
      </c>
      <c r="F114" s="3299">
        <v>15</v>
      </c>
    </row>
    <row r="115" spans="1:6" ht="24">
      <c r="A115" s="3299">
        <v>43</v>
      </c>
      <c r="B115" s="3728"/>
      <c r="C115" s="3299" t="s">
        <v>2956</v>
      </c>
      <c r="D115" s="3280" t="s">
        <v>2957</v>
      </c>
      <c r="E115" s="3305">
        <v>0.1</v>
      </c>
      <c r="F115" s="3299">
        <v>15</v>
      </c>
    </row>
    <row r="116" spans="1:6" ht="24">
      <c r="A116" s="3299">
        <v>44</v>
      </c>
      <c r="B116" s="3729" t="s">
        <v>2958</v>
      </c>
      <c r="C116" s="3299" t="s">
        <v>2959</v>
      </c>
      <c r="D116" s="3280" t="s">
        <v>2960</v>
      </c>
      <c r="E116" s="3305">
        <v>0.1</v>
      </c>
      <c r="F116" s="3299">
        <v>15</v>
      </c>
    </row>
    <row r="117" spans="1:6" ht="24">
      <c r="A117" s="3299">
        <v>45</v>
      </c>
      <c r="B117" s="3730"/>
      <c r="C117" s="3280" t="s">
        <v>2961</v>
      </c>
      <c r="D117" s="3280" t="s">
        <v>2962</v>
      </c>
      <c r="E117" s="3305">
        <v>0.1</v>
      </c>
      <c r="F117" s="3299">
        <v>15</v>
      </c>
    </row>
    <row r="118" spans="1:6" ht="24">
      <c r="A118" s="3299">
        <v>46</v>
      </c>
      <c r="B118" s="3729" t="s">
        <v>2963</v>
      </c>
      <c r="C118" s="3299" t="s">
        <v>2964</v>
      </c>
      <c r="D118" s="3280" t="s">
        <v>2965</v>
      </c>
      <c r="E118" s="3305">
        <v>0.1</v>
      </c>
      <c r="F118" s="3299">
        <v>15</v>
      </c>
    </row>
    <row r="119" spans="1:6" ht="24">
      <c r="A119" s="3299">
        <v>47</v>
      </c>
      <c r="B119" s="3730"/>
      <c r="C119" s="3299" t="s">
        <v>2966</v>
      </c>
      <c r="D119" s="3280" t="s">
        <v>2967</v>
      </c>
      <c r="E119" s="3305">
        <v>0.1</v>
      </c>
      <c r="F119" s="3299">
        <v>15</v>
      </c>
    </row>
    <row r="120" spans="1:6" ht="24">
      <c r="A120" s="3299">
        <v>48</v>
      </c>
      <c r="B120" s="3729" t="s">
        <v>2968</v>
      </c>
      <c r="C120" s="3299" t="s">
        <v>2969</v>
      </c>
      <c r="D120" s="3280" t="s">
        <v>2970</v>
      </c>
      <c r="E120" s="3305">
        <v>0.1</v>
      </c>
      <c r="F120" s="3299">
        <v>15</v>
      </c>
    </row>
    <row r="121" spans="1:6" ht="13.5">
      <c r="A121" s="3299">
        <v>49</v>
      </c>
      <c r="B121" s="3730"/>
      <c r="C121" s="3299" t="s">
        <v>2971</v>
      </c>
      <c r="D121" s="3280" t="s">
        <v>2972</v>
      </c>
      <c r="E121" s="3305">
        <v>0.1</v>
      </c>
      <c r="F121" s="3299">
        <v>15</v>
      </c>
    </row>
    <row r="122" spans="1:6" ht="24">
      <c r="A122" s="3299">
        <v>50</v>
      </c>
      <c r="B122" s="3728" t="s">
        <v>2973</v>
      </c>
      <c r="C122" s="3299" t="s">
        <v>2974</v>
      </c>
      <c r="D122" s="3280" t="s">
        <v>2975</v>
      </c>
      <c r="E122" s="3305">
        <v>0.1</v>
      </c>
      <c r="F122" s="3299">
        <v>15</v>
      </c>
    </row>
    <row r="123" spans="1:6" ht="24">
      <c r="A123" s="3299">
        <v>51</v>
      </c>
      <c r="B123" s="3728"/>
      <c r="C123" s="3299" t="s">
        <v>2976</v>
      </c>
      <c r="D123" s="3280" t="s">
        <v>2977</v>
      </c>
      <c r="E123" s="3305">
        <v>0.1</v>
      </c>
      <c r="F123" s="3299">
        <v>15</v>
      </c>
    </row>
    <row r="124" spans="1:6" ht="24">
      <c r="A124" s="3299">
        <v>52</v>
      </c>
      <c r="B124" s="3728" t="s">
        <v>2978</v>
      </c>
      <c r="C124" s="3299" t="s">
        <v>2979</v>
      </c>
      <c r="D124" s="3280" t="s">
        <v>2980</v>
      </c>
      <c r="E124" s="3305">
        <v>0.1</v>
      </c>
      <c r="F124" s="3299">
        <v>15</v>
      </c>
    </row>
    <row r="125" spans="1:6" ht="24">
      <c r="A125" s="3299">
        <v>53</v>
      </c>
      <c r="B125" s="3728"/>
      <c r="C125" s="3299" t="s">
        <v>2981</v>
      </c>
      <c r="D125" s="3280" t="s">
        <v>2982</v>
      </c>
      <c r="E125" s="3305">
        <v>0.1</v>
      </c>
      <c r="F125" s="3299">
        <v>15</v>
      </c>
    </row>
    <row r="126" spans="1:6" ht="24">
      <c r="A126" s="3299">
        <v>54</v>
      </c>
      <c r="B126" s="3299" t="s">
        <v>2983</v>
      </c>
      <c r="C126" s="3299" t="s">
        <v>2984</v>
      </c>
      <c r="D126" s="3280" t="s">
        <v>2985</v>
      </c>
      <c r="E126" s="3305">
        <v>0.1</v>
      </c>
      <c r="F126" s="3299">
        <v>15</v>
      </c>
    </row>
    <row r="127" spans="1:6" ht="13.5">
      <c r="A127" s="3299">
        <v>55</v>
      </c>
      <c r="B127" s="3728" t="s">
        <v>2986</v>
      </c>
      <c r="C127" s="3299" t="s">
        <v>2987</v>
      </c>
      <c r="D127" s="3280" t="s">
        <v>2988</v>
      </c>
      <c r="E127" s="3305">
        <v>0.1</v>
      </c>
      <c r="F127" s="3299">
        <v>15</v>
      </c>
    </row>
    <row r="128" spans="1:6" ht="13.5">
      <c r="A128" s="3299">
        <v>56</v>
      </c>
      <c r="B128" s="3728"/>
      <c r="C128" s="3299" t="s">
        <v>2989</v>
      </c>
      <c r="D128" s="3280" t="s">
        <v>2990</v>
      </c>
      <c r="E128" s="3305">
        <v>0.1</v>
      </c>
      <c r="F128" s="3299">
        <v>15</v>
      </c>
    </row>
    <row r="129" spans="1:6" ht="24">
      <c r="A129" s="3299">
        <v>57</v>
      </c>
      <c r="B129" s="3728"/>
      <c r="C129" s="3299" t="s">
        <v>2991</v>
      </c>
      <c r="D129" s="3280" t="s">
        <v>2992</v>
      </c>
      <c r="E129" s="3305">
        <v>0.1</v>
      </c>
      <c r="F129" s="3299">
        <v>15</v>
      </c>
    </row>
    <row r="130" spans="1:6" ht="24">
      <c r="A130" s="3299">
        <v>58</v>
      </c>
      <c r="B130" s="3728" t="s">
        <v>2993</v>
      </c>
      <c r="C130" s="3299" t="s">
        <v>2994</v>
      </c>
      <c r="D130" s="3280" t="s">
        <v>2995</v>
      </c>
      <c r="E130" s="3305">
        <v>0.1</v>
      </c>
      <c r="F130" s="3299">
        <v>15</v>
      </c>
    </row>
    <row r="131" spans="1:6" ht="24">
      <c r="A131" s="3299">
        <v>59</v>
      </c>
      <c r="B131" s="3728"/>
      <c r="C131" s="3299" t="s">
        <v>2996</v>
      </c>
      <c r="D131" s="3280" t="s">
        <v>2997</v>
      </c>
      <c r="E131" s="3305">
        <v>0.1</v>
      </c>
      <c r="F131" s="3299">
        <v>15</v>
      </c>
    </row>
    <row r="132" spans="1:6" ht="24">
      <c r="A132" s="3299">
        <v>60</v>
      </c>
      <c r="B132" s="3729" t="s">
        <v>2998</v>
      </c>
      <c r="C132" s="3299" t="s">
        <v>2999</v>
      </c>
      <c r="D132" s="3280" t="s">
        <v>3000</v>
      </c>
      <c r="E132" s="3305">
        <v>0.1</v>
      </c>
      <c r="F132" s="3299">
        <v>15</v>
      </c>
    </row>
    <row r="133" spans="1:6" ht="24">
      <c r="A133" s="3299">
        <v>61</v>
      </c>
      <c r="B133" s="3730"/>
      <c r="C133" s="3299" t="s">
        <v>3001</v>
      </c>
      <c r="D133" s="3280" t="s">
        <v>3002</v>
      </c>
      <c r="E133" s="3305">
        <v>0.1</v>
      </c>
      <c r="F133" s="3299">
        <v>15</v>
      </c>
    </row>
    <row r="134" spans="1:6" ht="24">
      <c r="A134" s="3299">
        <v>62</v>
      </c>
      <c r="B134" s="3299" t="s">
        <v>3003</v>
      </c>
      <c r="C134" s="3299" t="s">
        <v>3004</v>
      </c>
      <c r="D134" s="3280" t="s">
        <v>3005</v>
      </c>
      <c r="E134" s="3305">
        <v>0.1</v>
      </c>
      <c r="F134" s="3299">
        <v>15</v>
      </c>
    </row>
    <row r="135" spans="1:6" ht="24">
      <c r="A135" s="3299">
        <v>63</v>
      </c>
      <c r="B135" s="3728" t="s">
        <v>3006</v>
      </c>
      <c r="C135" s="3299" t="s">
        <v>3007</v>
      </c>
      <c r="D135" s="3280" t="s">
        <v>3008</v>
      </c>
      <c r="E135" s="3305">
        <v>0.1</v>
      </c>
      <c r="F135" s="3299">
        <v>15</v>
      </c>
    </row>
    <row r="136" spans="1:6" ht="13.5">
      <c r="A136" s="3299">
        <v>64</v>
      </c>
      <c r="B136" s="3728"/>
      <c r="C136" s="3299" t="s">
        <v>3009</v>
      </c>
      <c r="D136" s="3280" t="s">
        <v>3010</v>
      </c>
      <c r="E136" s="3305">
        <v>0.1</v>
      </c>
      <c r="F136" s="3299">
        <v>15</v>
      </c>
    </row>
    <row r="137" spans="1:6" ht="24">
      <c r="A137" s="3299">
        <v>65</v>
      </c>
      <c r="B137" s="3299" t="s">
        <v>3011</v>
      </c>
      <c r="C137" s="3299" t="s">
        <v>3012</v>
      </c>
      <c r="D137" s="3280" t="s">
        <v>3013</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5" t="s">
        <v>782</v>
      </c>
      <c r="C1" s="3745"/>
      <c r="D1" s="3745"/>
      <c r="E1" s="3745"/>
      <c r="F1" s="3745"/>
      <c r="G1" s="3744" t="s">
        <v>783</v>
      </c>
      <c r="H1" s="3744"/>
      <c r="I1" s="3744"/>
      <c r="J1" s="3744"/>
      <c r="K1" s="3744"/>
      <c r="L1" s="3744"/>
      <c r="N1" s="3744" t="s">
        <v>784</v>
      </c>
      <c r="O1" s="3744"/>
      <c r="P1" s="3744"/>
      <c r="Q1" s="3744"/>
      <c r="S1" s="3744" t="s">
        <v>785</v>
      </c>
      <c r="T1" s="3744"/>
      <c r="U1" s="3744"/>
      <c r="V1" s="3744"/>
      <c r="X1" s="3743" t="s">
        <v>786</v>
      </c>
      <c r="Y1" s="3744"/>
      <c r="Z1" s="3744"/>
      <c r="AA1" s="3744"/>
      <c r="AB1" s="3744"/>
      <c r="AD1" s="3743" t="s">
        <v>787</v>
      </c>
      <c r="AE1" s="3744"/>
      <c r="AF1" s="3744"/>
      <c r="AG1" s="3744"/>
      <c r="AH1" s="374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2787</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0">
        <v>2023</v>
      </c>
      <c r="H5" s="2289">
        <v>1</v>
      </c>
      <c r="I5" s="3074">
        <v>0</v>
      </c>
      <c r="J5" s="3074">
        <v>0</v>
      </c>
      <c r="K5" s="3074">
        <v>0</v>
      </c>
      <c r="L5" s="3075">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2786</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0">
        <v>2022</v>
      </c>
      <c r="H6" s="2289">
        <v>4</v>
      </c>
      <c r="I6" s="3074">
        <v>0</v>
      </c>
      <c r="J6" s="3074">
        <v>0</v>
      </c>
      <c r="K6" s="3074">
        <v>0</v>
      </c>
      <c r="L6" s="3075">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2785</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0">
        <v>2022</v>
      </c>
      <c r="H7" s="2289">
        <v>3</v>
      </c>
      <c r="I7" s="3074">
        <v>0</v>
      </c>
      <c r="J7" s="3074">
        <v>0</v>
      </c>
      <c r="K7" s="3074">
        <v>0</v>
      </c>
      <c r="L7" s="3075">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2784</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0">
        <v>2022</v>
      </c>
      <c r="H8" s="2289">
        <v>2</v>
      </c>
      <c r="I8" s="3074">
        <v>0</v>
      </c>
      <c r="J8" s="3074">
        <v>0</v>
      </c>
      <c r="K8" s="3074">
        <v>0</v>
      </c>
      <c r="L8" s="3075">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2783</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0">
        <v>2022</v>
      </c>
      <c r="H9" s="2289">
        <v>1</v>
      </c>
      <c r="I9" s="3074">
        <v>0.89</v>
      </c>
      <c r="J9" s="3074">
        <v>0.44</v>
      </c>
      <c r="K9" s="3074">
        <v>0.96</v>
      </c>
      <c r="L9" s="3075">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2782</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59">
        <v>2021</v>
      </c>
      <c r="H10" s="2289">
        <v>4</v>
      </c>
      <c r="I10" s="3074">
        <v>1.03</v>
      </c>
      <c r="J10" s="3074">
        <v>0.24</v>
      </c>
      <c r="K10" s="3074">
        <v>1.17</v>
      </c>
      <c r="L10" s="3075">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2636</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6">
        <v>2021</v>
      </c>
      <c r="H11" s="2289">
        <v>3</v>
      </c>
      <c r="I11" s="3074">
        <v>0.47</v>
      </c>
      <c r="J11" s="3074">
        <v>0.41</v>
      </c>
      <c r="K11" s="3074">
        <v>0.48</v>
      </c>
      <c r="L11" s="3075">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2635</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3">
        <v>2021</v>
      </c>
      <c r="H12" s="2289">
        <v>2</v>
      </c>
      <c r="I12" s="3074">
        <v>0.92</v>
      </c>
      <c r="J12" s="3074">
        <v>0.72</v>
      </c>
      <c r="K12" s="3074">
        <v>0.95</v>
      </c>
      <c r="L12" s="3075">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2634</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2">
        <v>2021</v>
      </c>
      <c r="H13" s="2289">
        <v>1</v>
      </c>
      <c r="I13" s="3074">
        <v>0.97</v>
      </c>
      <c r="J13" s="3074">
        <v>0.16</v>
      </c>
      <c r="K13" s="3074">
        <v>1.1100000000000001</v>
      </c>
      <c r="L13" s="3075">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2628</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3">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2627</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2">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2491</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2488</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2486</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2484</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2479</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2480</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2475</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4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2470</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4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2469</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4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5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4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4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4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5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4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4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4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4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4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4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4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4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4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4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4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4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4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4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4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4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4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4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4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4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4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4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4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4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4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4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4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4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4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4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4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4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4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4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4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4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4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4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4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4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4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4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4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4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K13" sqref="K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44776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2629</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5"/>
      <c r="C2" s="3345"/>
      <c r="D2" s="3345"/>
      <c r="E2" s="3345"/>
    </row>
    <row r="3" spans="1:5" ht="13.5" customHeight="1">
      <c r="A3" s="1290"/>
      <c r="B3" s="1290"/>
      <c r="C3" s="1290"/>
      <c r="D3" s="1290"/>
      <c r="E3" s="1290"/>
    </row>
    <row r="4" spans="1:5" ht="19.5" thickBot="1">
      <c r="A4" s="3346" t="str">
        <f>IF(项目基本情况!D5="房地产市场价值","估价结果一览表（市场价值不需本页表格)","估价结果一览表")</f>
        <v>估价结果一览表</v>
      </c>
      <c r="B4" s="3346"/>
      <c r="C4" s="3346"/>
      <c r="D4" s="3346"/>
      <c r="E4" s="3346"/>
    </row>
    <row r="5" spans="1:5" ht="14.25" customHeight="1" thickTop="1">
      <c r="A5" s="1287"/>
      <c r="B5" s="1291" t="s">
        <v>562</v>
      </c>
      <c r="C5" s="3347" t="s">
        <v>593</v>
      </c>
      <c r="D5" s="3348"/>
      <c r="E5" s="1287"/>
    </row>
    <row r="6" spans="1:5" ht="14.25">
      <c r="A6" s="1287"/>
      <c r="B6" s="1292" t="str">
        <f>项目基本情况!I1</f>
        <v>房地产</v>
      </c>
      <c r="C6" s="3349">
        <f>项目基本情况!C12</f>
        <v>829.41000000000008</v>
      </c>
      <c r="D6" s="3349"/>
      <c r="E6" s="1287"/>
    </row>
    <row r="7" spans="1:5" ht="14.25">
      <c r="A7" s="1287"/>
      <c r="B7" s="3343" t="s">
        <v>594</v>
      </c>
      <c r="C7" s="1293" t="str">
        <f>IF('数据-取费表'!B3="万元","总价（万元）","总价（元）")</f>
        <v>总价（万元）</v>
      </c>
      <c r="D7" s="1294">
        <f ca="1">IF('数据-取费表'!E3="否",结果表!I102,'结果表 (1修多)'!I104)</f>
        <v>547</v>
      </c>
      <c r="E7" s="1287"/>
    </row>
    <row r="8" spans="1:5" ht="14.25">
      <c r="A8" s="1287"/>
      <c r="B8" s="3343"/>
      <c r="C8" s="1295" t="s">
        <v>924</v>
      </c>
      <c r="D8" s="1296" t="str">
        <f ca="1">IF('数据-取费表'!B3="万元",NUMBERSTRING(INT(D7*10000),2)&amp;"元整",NUMBERSTRING(INT(D7),2)&amp;"元整")</f>
        <v>伍佰肆拾柒万元整</v>
      </c>
      <c r="E8" s="1287"/>
    </row>
    <row r="9" spans="1:5" ht="14.25">
      <c r="A9" s="1287"/>
      <c r="B9" s="3343"/>
      <c r="C9" s="1297" t="s">
        <v>1020</v>
      </c>
      <c r="D9" s="1294">
        <f ca="1">IF('数据-取费表'!E3="否",结果表!I103,'结果表 (1修多)'!I105)</f>
        <v>6595</v>
      </c>
      <c r="E9" s="1287"/>
    </row>
    <row r="10" spans="1:5" ht="14.25">
      <c r="A10" s="1287"/>
      <c r="B10" s="3350"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0"/>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0" t="str">
        <f>IF('数据-取费表'!E3="否",结果表!F110,'结果表 (1修多)'!F112)</f>
        <v>3.房地产抵押价值</v>
      </c>
      <c r="C15" s="1288" t="str">
        <f>C7</f>
        <v>总价（万元）</v>
      </c>
      <c r="D15" s="1294">
        <f ca="1">IF('数据-取费表'!E3="否",结果表!I110,'结果表 (1修多)'!I112)</f>
        <v>547</v>
      </c>
      <c r="E15" s="1287"/>
    </row>
    <row r="16" spans="1:5" ht="14.25">
      <c r="A16" s="1287"/>
      <c r="B16" s="3350"/>
      <c r="C16" s="1295" t="s">
        <v>924</v>
      </c>
      <c r="D16" s="1294" t="str">
        <f ca="1">IF('数据-取费表'!B3="万元",NUMBERSTRING(INT(D15*10000),2)&amp;"元整",NUMBERSTRING(INT(D15),2)&amp;"元整")</f>
        <v>伍佰肆拾柒万元整</v>
      </c>
      <c r="E16" s="1287"/>
    </row>
    <row r="17" spans="1:5" ht="14.25">
      <c r="A17" s="1287"/>
      <c r="B17" s="3350"/>
      <c r="C17" s="1297" t="s">
        <v>1020</v>
      </c>
      <c r="D17" s="1294">
        <f ca="1">IF('数据-取费表'!E3="否",结果表!I111,'结果表 (1修多)'!I113)</f>
        <v>6595</v>
      </c>
      <c r="E17" s="1287"/>
    </row>
    <row r="18" spans="1:5" ht="14.25">
      <c r="A18" s="1287"/>
      <c r="B18" s="3350" t="str">
        <f>IF('数据-取费表'!E3="否",结果表!F112,'结果表 (1修多)'!F114)</f>
        <v>——</v>
      </c>
      <c r="C18" s="1288" t="str">
        <f>C7</f>
        <v>总价（万元）</v>
      </c>
      <c r="D18" s="1294" t="str">
        <f>IF('数据-取费表'!E3="否",结果表!I112,'结果表 (1修多)'!I114)</f>
        <v>——</v>
      </c>
      <c r="E18" s="1287"/>
    </row>
    <row r="19" spans="1:5" ht="14.25">
      <c r="A19" s="1287"/>
      <c r="B19" s="3350"/>
      <c r="C19" s="1295" t="s">
        <v>924</v>
      </c>
      <c r="D19" s="1294" t="e">
        <f>IF('数据-取费表'!B3="万元",NUMBERSTRING(INT(D18*10000),2)&amp;"元整",NUMBERSTRING(INT(D18),2)&amp;"元整")</f>
        <v>#VALUE!</v>
      </c>
      <c r="E19" s="1287"/>
    </row>
    <row r="20" spans="1:5" ht="14.25">
      <c r="A20" s="1287"/>
      <c r="B20" s="3350"/>
      <c r="C20" s="1297" t="s">
        <v>1020</v>
      </c>
      <c r="D20" s="1294" t="str">
        <f>IF('数据-取费表'!E3="否",结果表!I113,'结果表 (1修多)'!I115)</f>
        <v>——</v>
      </c>
      <c r="E20" s="1287"/>
    </row>
    <row r="21" spans="1:5" ht="14.25">
      <c r="A21" s="1287"/>
      <c r="B21" s="3343" t="str">
        <f>IF('数据-取费表'!E3="否",结果表!F114,'结果表 (1修多)'!F116)</f>
        <v>——</v>
      </c>
      <c r="C21" s="1293" t="str">
        <f>C7</f>
        <v>总价（万元）</v>
      </c>
      <c r="D21" s="1294" t="str">
        <f>IF('数据-取费表'!E3="否",结果表!I114,'结果表 (1修多)'!I116)</f>
        <v>——</v>
      </c>
      <c r="E21" s="1287"/>
    </row>
    <row r="22" spans="1:5" ht="14.25">
      <c r="A22" s="1287"/>
      <c r="B22" s="3343"/>
      <c r="C22" s="1295" t="s">
        <v>924</v>
      </c>
      <c r="D22" s="1296" t="e">
        <f>IF('数据-取费表'!B3="万元",NUMBERSTRING(INT(D21*10000),2)&amp;"元整",NUMBERSTRING(INT(D21),2)&amp;"元整")</f>
        <v>#VALUE!</v>
      </c>
      <c r="E22" s="1287"/>
    </row>
    <row r="23" spans="1:5" ht="15" thickBot="1">
      <c r="A23" s="1287"/>
      <c r="B23" s="3344"/>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8" t="s">
        <v>1021</v>
      </c>
      <c r="C25" s="3358"/>
      <c r="D25" s="3358"/>
      <c r="E25" s="1287"/>
    </row>
    <row r="26" spans="1:5" ht="18.75" customHeight="1" thickTop="1">
      <c r="A26" s="1287"/>
      <c r="B26" s="3361" t="s">
        <v>923</v>
      </c>
      <c r="C26" s="3362"/>
      <c r="D26" s="3359" t="s">
        <v>922</v>
      </c>
      <c r="E26" s="1287"/>
    </row>
    <row r="27" spans="1:5" ht="18.75" customHeight="1">
      <c r="A27" s="1287"/>
      <c r="B27" s="3363"/>
      <c r="C27" s="3364"/>
      <c r="D27" s="3360"/>
      <c r="E27" s="1287"/>
    </row>
    <row r="28" spans="1:5" ht="14.25">
      <c r="A28" s="1287"/>
      <c r="B28" s="3351" t="s">
        <v>594</v>
      </c>
      <c r="C28" s="1304" t="s">
        <v>925</v>
      </c>
      <c r="D28" s="1305">
        <f ca="1">IF('数据-取费表'!E3="否",结果表!I102,'结果表 (1修多)'!I104)</f>
        <v>547</v>
      </c>
      <c r="E28" s="1287"/>
    </row>
    <row r="29" spans="1:5" ht="14.25">
      <c r="A29" s="1287"/>
      <c r="B29" s="3352"/>
      <c r="C29" s="1306" t="s">
        <v>924</v>
      </c>
      <c r="D29" s="1307" t="str">
        <f ca="1">IF('数据-取费表'!B3="万元",NUMBERSTRING(INT(D28*10000),2)&amp;"元整",NUMBERSTRING(INT(D28),2)&amp;"元整")</f>
        <v>伍佰肆拾柒万元整</v>
      </c>
      <c r="E29" s="1287"/>
    </row>
    <row r="30" spans="1:5" ht="14.25">
      <c r="A30" s="1287"/>
      <c r="B30" s="3353"/>
      <c r="C30" s="1297" t="s">
        <v>927</v>
      </c>
      <c r="D30" s="1308">
        <f ca="1">IF('数据-取费表'!E3="否",结果表!I103,'结果表 (1修多)'!I105)</f>
        <v>6595</v>
      </c>
      <c r="E30" s="1287"/>
    </row>
    <row r="31" spans="1:5" ht="14.25">
      <c r="A31" s="1287"/>
      <c r="B31" s="3356" t="str">
        <f>B10</f>
        <v>2.估价师所知悉的法定优先受偿款</v>
      </c>
      <c r="C31" s="1309" t="s">
        <v>926</v>
      </c>
      <c r="D31" s="1310">
        <f>IF('数据-取费表'!E3="否",结果表!I105,'结果表 (1修多)'!I107)</f>
        <v>0</v>
      </c>
      <c r="E31" s="1287"/>
    </row>
    <row r="32" spans="1:5" ht="14.25">
      <c r="A32" s="1287"/>
      <c r="B32" s="336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4" t="str">
        <f>B15</f>
        <v>3.房地产抵押价值</v>
      </c>
      <c r="C36" s="1309" t="str">
        <f>C28</f>
        <v>总价</v>
      </c>
      <c r="D36" s="1310">
        <f ca="1">IF('数据-取费表'!E3="否",结果表!I110,'结果表 (1修多)'!I112)</f>
        <v>547</v>
      </c>
      <c r="E36" s="1287"/>
    </row>
    <row r="37" spans="1:5" ht="14.25">
      <c r="A37" s="1287"/>
      <c r="B37" s="3354"/>
      <c r="C37" s="1306" t="s">
        <v>924</v>
      </c>
      <c r="D37" s="1311" t="str">
        <f ca="1">IF('数据-取费表'!B3="万元",NUMBERSTRING(INT(D36*10000),2)&amp;"元整",NUMBERSTRING(INT(D36),2)&amp;"元整")</f>
        <v>伍佰肆拾柒万元整</v>
      </c>
      <c r="E37" s="1287"/>
    </row>
    <row r="38" spans="1:5" ht="14.25">
      <c r="A38" s="1287"/>
      <c r="B38" s="3354"/>
      <c r="C38" s="1297" t="s">
        <v>928</v>
      </c>
      <c r="D38" s="1308">
        <f ca="1">IF('数据-取费表'!E3="否",结果表!D113,'结果表 (1修多)'!D117)</f>
        <v>6595</v>
      </c>
      <c r="E38" s="1287"/>
    </row>
    <row r="39" spans="1:5" ht="14.25">
      <c r="A39" s="1287"/>
      <c r="B39" s="3355" t="str">
        <f>B18</f>
        <v>——</v>
      </c>
      <c r="C39" s="1309" t="str">
        <f>C28</f>
        <v>总价</v>
      </c>
      <c r="D39" s="1310" t="str">
        <f>IF('数据-取费表'!E3="否",结果表!I112,'结果表 (1修多)'!I114)</f>
        <v>——</v>
      </c>
      <c r="E39" s="1287"/>
    </row>
    <row r="40" spans="1:5" ht="14.25">
      <c r="A40" s="1287"/>
      <c r="B40" s="3355"/>
      <c r="C40" s="1306" t="s">
        <v>924</v>
      </c>
      <c r="D40" s="1311" t="e">
        <f>IF('数据-取费表'!B3="万元",NUMBERSTRING(INT(D39*10000),2)&amp;"元整",NUMBERSTRING(INT(D39),2)&amp;"元整")</f>
        <v>#VALUE!</v>
      </c>
      <c r="E40" s="1287"/>
    </row>
    <row r="41" spans="1:5" ht="14.25">
      <c r="A41" s="1287"/>
      <c r="B41" s="3355"/>
      <c r="C41" s="1297" t="s">
        <v>928</v>
      </c>
      <c r="D41" s="1308" t="str">
        <f>IF('数据-取费表'!E3="否",结果表!D115,'结果表 (1修多)'!D119)</f>
        <v>——</v>
      </c>
      <c r="E41" s="1287"/>
    </row>
    <row r="42" spans="1:5" ht="14.25">
      <c r="A42" s="1287"/>
      <c r="B42" s="3354" t="str">
        <f>B21</f>
        <v>——</v>
      </c>
      <c r="C42" s="1309" t="str">
        <f>C28</f>
        <v>总价</v>
      </c>
      <c r="D42" s="1310" t="str">
        <f>IF('数据-取费表'!E3="否",结果表!I114,'结果表 (1修多)'!I116)</f>
        <v>——</v>
      </c>
      <c r="E42" s="1287"/>
    </row>
    <row r="43" spans="1:5" ht="14.25">
      <c r="A43" s="1287"/>
      <c r="B43" s="3356"/>
      <c r="C43" s="1306" t="s">
        <v>924</v>
      </c>
      <c r="D43" s="1312" t="e">
        <f>IF('数据-取费表'!B3="万元",NUMBERSTRING(INT(D42*10000),2)&amp;"元整",NUMBERSTRING(INT(D42),2)&amp;"元整")</f>
        <v>#VALUE!</v>
      </c>
      <c r="E43" s="1287"/>
    </row>
    <row r="44" spans="1:5" ht="15" thickBot="1">
      <c r="A44" s="1287"/>
      <c r="B44" s="3357"/>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2" t="str">
        <f>IF(项目基本情况!D5="房地产市场价值","估价结果一览表","结果表-2")</f>
        <v>结果表-2</v>
      </c>
      <c r="B1" s="3372"/>
      <c r="C1" s="3372"/>
      <c r="D1" s="3372"/>
      <c r="E1" s="3372"/>
      <c r="F1" s="3372"/>
      <c r="G1" s="3372"/>
      <c r="H1" s="3372"/>
      <c r="I1" s="3372"/>
    </row>
    <row r="2" spans="1:9" ht="30" customHeight="1" thickTop="1">
      <c r="A2" s="3373" t="s">
        <v>1022</v>
      </c>
      <c r="B2" s="3373" t="s">
        <v>1023</v>
      </c>
      <c r="C2" s="3373" t="s">
        <v>1024</v>
      </c>
      <c r="D2" s="3373" t="str">
        <f>IF('数据-取费表'!E3="否",结果表!D119,'结果表 (1修多)'!D123)</f>
        <v>出让国有建设用地使用权价值</v>
      </c>
      <c r="E2" s="3373"/>
      <c r="F2" s="3373" t="s">
        <v>1025</v>
      </c>
      <c r="G2" s="3373"/>
      <c r="H2" s="3373" t="s">
        <v>1026</v>
      </c>
      <c r="I2" s="3373"/>
    </row>
    <row r="3" spans="1:9" ht="15">
      <c r="A3" s="3368"/>
      <c r="B3" s="3368"/>
      <c r="C3" s="3368"/>
      <c r="D3" s="776" t="s">
        <v>1027</v>
      </c>
      <c r="E3" s="776" t="s">
        <v>1028</v>
      </c>
      <c r="F3" s="776" t="s">
        <v>1027</v>
      </c>
      <c r="G3" s="776" t="s">
        <v>1029</v>
      </c>
      <c r="H3" s="776" t="s">
        <v>1027</v>
      </c>
      <c r="I3" s="776" t="s">
        <v>1029</v>
      </c>
    </row>
    <row r="4" spans="1:9" ht="46.5" customHeight="1">
      <c r="A4" s="776" t="str">
        <f>项目基本情况!I1</f>
        <v>房地产</v>
      </c>
      <c r="B4" s="776">
        <f>结果表!B121</f>
        <v>829.41000000000008</v>
      </c>
      <c r="C4" s="776">
        <f>结果表!C121</f>
        <v>30.71</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547</v>
      </c>
      <c r="I4" s="776">
        <f ca="1">IF('数据-取费表'!E3="否",结果表!I121,'结果表 (1修多)'!I125)</f>
        <v>6595</v>
      </c>
    </row>
    <row r="5" spans="1:9" ht="15">
      <c r="A5" s="3368" t="s">
        <v>1030</v>
      </c>
      <c r="B5" s="3368"/>
      <c r="C5" s="3368"/>
      <c r="D5" s="3366" t="str">
        <f>IF('数据-取费表'!E3="否",结果表!D122,'结果表 (1修多)'!D126)</f>
        <v>零元整</v>
      </c>
      <c r="E5" s="3366"/>
      <c r="F5" s="3366" t="str">
        <f>IF('数据-取费表'!E3="否",结果表!F122,'结果表 (1修多)'!F126)</f>
        <v>零元整</v>
      </c>
      <c r="G5" s="3366"/>
      <c r="H5" s="3366" t="str">
        <f ca="1">IF('数据-取费表'!E3="否",结果表!H122,'结果表 (1修多)'!H126)</f>
        <v>伍佰肆拾柒万元整</v>
      </c>
      <c r="I5" s="3366"/>
    </row>
    <row r="6" spans="1:9" ht="15.75">
      <c r="A6" s="3367" t="str">
        <f>IF('数据-取费表'!E3="否",结果表!A123,'结果表 (1修多)'!A127)</f>
        <v>估价师所知悉的法定优先受偿款</v>
      </c>
      <c r="B6" s="3367"/>
      <c r="C6" s="3367"/>
      <c r="D6" s="3367">
        <f>IF('数据-取费表'!E3="否",结果表!D123,'结果表 (1修多)'!D127)</f>
        <v>0</v>
      </c>
      <c r="E6" s="3367"/>
      <c r="F6" s="3367"/>
      <c r="G6" s="3367"/>
      <c r="H6" s="3367"/>
      <c r="I6" s="3367"/>
    </row>
    <row r="7" spans="1:9" ht="15">
      <c r="A7" s="3368" t="s">
        <v>1030</v>
      </c>
      <c r="B7" s="3368"/>
      <c r="C7" s="3368"/>
      <c r="D7" s="3369">
        <f>IF('数据-取费表'!E3="否",结果表!D124,'结果表 (1修多)'!D128)</f>
        <v>0</v>
      </c>
      <c r="E7" s="3370"/>
      <c r="F7" s="3370"/>
      <c r="G7" s="3370"/>
      <c r="H7" s="3370"/>
      <c r="I7" s="3371"/>
    </row>
    <row r="8" spans="1:9" ht="15.75">
      <c r="A8" s="3367" t="str">
        <f>IF('数据-取费表'!E3="否",结果表!A125,'结果表 (1修多)'!A129)</f>
        <v>房地产抵押价值</v>
      </c>
      <c r="B8" s="3367"/>
      <c r="C8" s="3367"/>
      <c r="D8" s="3367">
        <f ca="1">IF('数据-取费表'!E3="否",结果表!D125,'结果表 (1修多)'!D129)</f>
        <v>547</v>
      </c>
      <c r="E8" s="3367"/>
      <c r="F8" s="3367"/>
      <c r="G8" s="3367"/>
      <c r="H8" s="3367"/>
      <c r="I8" s="3367"/>
    </row>
    <row r="9" spans="1:9" ht="15">
      <c r="A9" s="3368" t="s">
        <v>1030</v>
      </c>
      <c r="B9" s="3368"/>
      <c r="C9" s="3368"/>
      <c r="D9" s="3366">
        <f ca="1">IF('数据-取费表'!E3="否",结果表!D126,'结果表 (1修多)'!D130)</f>
        <v>6595</v>
      </c>
      <c r="E9" s="3366"/>
      <c r="F9" s="3366"/>
      <c r="G9" s="3366"/>
      <c r="H9" s="3366"/>
      <c r="I9" s="3366"/>
    </row>
    <row r="10" spans="1:9" ht="15.75">
      <c r="A10" s="3367" t="str">
        <f>IF('数据-取费表'!E3="否",结果表!A127,'结果表 (1修多)'!A131)</f>
        <v/>
      </c>
      <c r="B10" s="3367"/>
      <c r="C10" s="3367"/>
      <c r="D10" s="3367">
        <f ca="1">IF('数据-取费表'!E3="否",结果表!D127,'结果表 (1修多)'!D130)</f>
        <v>6595</v>
      </c>
      <c r="E10" s="3367"/>
      <c r="F10" s="3367"/>
      <c r="G10" s="3367"/>
      <c r="H10" s="3367"/>
      <c r="I10" s="3367"/>
    </row>
    <row r="11" spans="1:9" ht="15">
      <c r="A11" s="3368" t="s">
        <v>1030</v>
      </c>
      <c r="B11" s="3368"/>
      <c r="C11" s="3368"/>
      <c r="D11" s="3366" t="str">
        <f>IF('数据-取费表'!E3="否",结果表!D128,'结果表 (1修多)'!D132)</f>
        <v>——</v>
      </c>
      <c r="E11" s="3366"/>
      <c r="F11" s="3366"/>
      <c r="G11" s="3366"/>
      <c r="H11" s="3366"/>
      <c r="I11" s="3366"/>
    </row>
    <row r="12" spans="1:9" ht="15.75">
      <c r="A12" s="3367" t="str">
        <f>IF('数据-取费表'!E3="否",结果表!A129,'结果表 (1修多)'!A133)</f>
        <v/>
      </c>
      <c r="B12" s="3367"/>
      <c r="C12" s="3367"/>
      <c r="D12" s="3367" t="str">
        <f>IF('数据-取费表'!E3="否",结果表!D129,'结果表 (1修多)'!D133)</f>
        <v>——</v>
      </c>
      <c r="E12" s="3367"/>
      <c r="F12" s="3367"/>
      <c r="G12" s="3367"/>
      <c r="H12" s="3367"/>
      <c r="I12" s="3367"/>
    </row>
    <row r="13" spans="1:9" ht="15.75" thickBot="1">
      <c r="A13" s="3374" t="s">
        <v>1030</v>
      </c>
      <c r="B13" s="3374"/>
      <c r="C13" s="3374"/>
      <c r="D13" s="3375">
        <f>IF('数据-取费表'!E3="否",结果表!D130,'结果表 (1修多)'!D134)</f>
        <v>0</v>
      </c>
      <c r="E13" s="3375"/>
      <c r="F13" s="3375"/>
      <c r="G13" s="3375"/>
      <c r="H13" s="3375"/>
      <c r="I13" s="3375"/>
    </row>
    <row r="14" spans="1:9" ht="15" thickTop="1">
      <c r="A14" s="3376" t="str">
        <f>IF('数据-取费表'!E3="否",结果表!A131,'结果表 (1修多)'!A135)</f>
        <v>单位：平方米、万元、元/平方米（币种：人民币）</v>
      </c>
      <c r="B14" s="3376"/>
      <c r="C14" s="3376"/>
      <c r="D14" s="3376"/>
      <c r="E14" s="3376"/>
      <c r="F14" s="3376"/>
      <c r="G14" s="3376"/>
      <c r="H14" s="3376"/>
      <c r="I14" s="3376"/>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1" t="s">
        <v>1043</v>
      </c>
      <c r="B1" s="3381"/>
      <c r="C1" s="3381"/>
      <c r="D1" s="3381"/>
    </row>
    <row r="2" spans="1:4" ht="18">
      <c r="A2" s="3380" t="s">
        <v>1032</v>
      </c>
      <c r="B2" s="3380"/>
      <c r="C2" s="3380"/>
      <c r="D2" s="3380"/>
    </row>
    <row r="3" spans="1:4" ht="18.75">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8">
      <c r="A7" s="3380" t="s">
        <v>1037</v>
      </c>
      <c r="B7" s="3380"/>
      <c r="C7" s="3380"/>
      <c r="D7" s="338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7" t="s">
        <v>2492</v>
      </c>
      <c r="B12" s="3379"/>
      <c r="C12" s="3379"/>
      <c r="D12" s="3379"/>
    </row>
    <row r="13" spans="1:4" ht="15.75">
      <c r="A13" s="33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9"/>
      <c r="C13" s="3379"/>
      <c r="D13" s="3379"/>
    </row>
    <row r="14" spans="1:4" ht="30" customHeight="1">
      <c r="A14" s="3377" t="str">
        <f>IF(项目基本情况!D4="抵押","3.抵押双方在办理抵押登记手续时，应使用本公司出具的正式《不动产估价报告书》，特提醒报告使用者注意。","——")</f>
        <v>——</v>
      </c>
      <c r="B14" s="3379"/>
      <c r="C14" s="3379"/>
      <c r="D14" s="3379"/>
    </row>
    <row r="15" spans="1:4" ht="15.75" customHeight="1">
      <c r="A15" s="3377" t="str">
        <f>IF(项目基本情况!D4="抵押","4.本次评估估价师所知悉的法定优先受偿款情况说明如下：","——")</f>
        <v>——</v>
      </c>
      <c r="B15" s="3379"/>
      <c r="C15" s="3379"/>
      <c r="D15" s="3379"/>
    </row>
    <row r="16" spans="1:4" ht="75" customHeight="1">
      <c r="A16" s="3377" t="str">
        <f>IF(项目基本情况!D4="抵押",CONCATENATE(项目基本情况!J13,项目基本情况!J14,项目基本情况!J15),"——")</f>
        <v>——</v>
      </c>
      <c r="B16" s="3377"/>
      <c r="C16" s="3377"/>
      <c r="D16" s="3377"/>
    </row>
    <row r="17" spans="1:4" ht="63.75" customHeight="1">
      <c r="A17" s="3378" t="s">
        <v>1045</v>
      </c>
      <c r="B17" s="3378"/>
      <c r="C17" s="3378"/>
      <c r="D17" s="3378"/>
    </row>
    <row r="18" spans="1:4" ht="15.75" customHeight="1">
      <c r="A18" s="3377" t="str">
        <f>IF(项目基本情况!D4="抵押",结果表!L106,"——")</f>
        <v>——</v>
      </c>
      <c r="B18" s="3377"/>
      <c r="C18" s="3377"/>
      <c r="D18" s="3377"/>
    </row>
    <row r="19" spans="1:4" ht="46.5" customHeight="1">
      <c r="A19" s="33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7"/>
      <c r="C19" s="3377"/>
      <c r="D19" s="3377"/>
    </row>
    <row r="20" spans="1:4" ht="15">
      <c r="A20" s="3378" t="s">
        <v>2493</v>
      </c>
      <c r="B20" s="3378"/>
      <c r="C20" s="3378"/>
      <c r="D20" s="3378"/>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7" t="s">
        <v>1124</v>
      </c>
      <c r="B15" s="3382" t="s">
        <v>1125</v>
      </c>
      <c r="C15" s="3383"/>
    </row>
    <row r="16" spans="1:7" ht="14.25">
      <c r="A16" s="3388"/>
      <c r="B16" s="3382" t="s">
        <v>1126</v>
      </c>
      <c r="C16" s="3383"/>
    </row>
    <row r="17" spans="1:3" ht="14.25">
      <c r="A17" s="3388"/>
      <c r="B17" s="3382" t="s">
        <v>1127</v>
      </c>
      <c r="C17" s="3383"/>
    </row>
    <row r="18" spans="1:3" ht="14.25">
      <c r="A18" s="3389"/>
      <c r="B18" s="3384" t="s">
        <v>1128</v>
      </c>
      <c r="C18" s="3383"/>
    </row>
    <row r="19" spans="1:3" ht="14.25">
      <c r="A19" s="1340" t="s">
        <v>1129</v>
      </c>
      <c r="B19" s="1341"/>
      <c r="C19" s="1342"/>
    </row>
    <row r="20" spans="1:3" ht="14.25">
      <c r="A20" s="3385" t="s">
        <v>1130</v>
      </c>
      <c r="B20" s="3384" t="s">
        <v>1131</v>
      </c>
      <c r="C20" s="3383"/>
    </row>
    <row r="21" spans="1:3" ht="14.25">
      <c r="A21" s="3385"/>
      <c r="B21" s="3384" t="s">
        <v>1132</v>
      </c>
      <c r="C21" s="3383"/>
    </row>
    <row r="22" spans="1:3" ht="14.25">
      <c r="A22" s="3385"/>
      <c r="B22" s="3384" t="s">
        <v>1133</v>
      </c>
      <c r="C22" s="3383"/>
    </row>
    <row r="23" spans="1:3" ht="14.25">
      <c r="A23" s="3385"/>
      <c r="B23" s="3386" t="s">
        <v>1134</v>
      </c>
      <c r="C23" s="1343" t="s">
        <v>1135</v>
      </c>
    </row>
    <row r="24" spans="1:3" ht="14.25">
      <c r="A24" s="3385"/>
      <c r="B24" s="3386"/>
      <c r="C24" s="1343" t="s">
        <v>1136</v>
      </c>
    </row>
    <row r="25" spans="1:3" ht="14.25">
      <c r="A25" s="3385"/>
      <c r="B25" s="3386"/>
      <c r="C25" s="1343" t="s">
        <v>1137</v>
      </c>
    </row>
    <row r="26" spans="1:3" ht="14.25">
      <c r="A26" s="3385"/>
      <c r="B26" s="3386"/>
      <c r="C26" s="1343" t="s">
        <v>1138</v>
      </c>
    </row>
    <row r="27" spans="1:3" ht="14.25">
      <c r="A27" s="3385"/>
      <c r="B27" s="3386"/>
      <c r="C27" s="1343" t="s">
        <v>1139</v>
      </c>
    </row>
    <row r="28" spans="1:3" ht="14.25">
      <c r="A28" s="3385"/>
      <c r="B28" s="3386"/>
      <c r="C28" s="1343" t="s">
        <v>1140</v>
      </c>
    </row>
    <row r="29" spans="1:3" ht="14.25">
      <c r="A29" s="3385"/>
      <c r="B29" s="3386"/>
      <c r="C29" s="1343" t="s">
        <v>1141</v>
      </c>
    </row>
    <row r="30" spans="1:3" ht="14.25">
      <c r="A30" s="3385"/>
      <c r="B30" s="3386"/>
      <c r="C30" s="1343" t="s">
        <v>1142</v>
      </c>
    </row>
    <row r="31" spans="1:3" ht="14.25">
      <c r="A31" s="3385"/>
      <c r="B31" s="338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44776</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2471</v>
      </c>
      <c r="B12" s="1230">
        <f ca="1">IF(C12&lt;B2,"已过期",1120040230)</f>
        <v>1120040230</v>
      </c>
      <c r="C12" s="2990">
        <v>44864</v>
      </c>
      <c r="D12" s="2997" t="str">
        <f t="shared" ca="1" si="0"/>
        <v>苏海（注册号：1120040230）</v>
      </c>
      <c r="E12" s="2999" t="s">
        <v>2471</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2485</v>
      </c>
      <c r="B14" s="1230">
        <f ca="1">IF(C14&lt;B2,"已过期",1119980106)</f>
        <v>1119980106</v>
      </c>
      <c r="C14" s="2990">
        <v>44969</v>
      </c>
      <c r="D14" s="2997" t="str">
        <f t="shared" ca="1" si="0"/>
        <v>刘俊财（注册号：1119980106）</v>
      </c>
      <c r="E14" s="2999" t="s">
        <v>2585</v>
      </c>
      <c r="F14" s="1230">
        <f ca="1">IF(G14&lt;B2,"已过期",96010063)</f>
        <v>96010063</v>
      </c>
      <c r="G14" s="2988">
        <v>47483</v>
      </c>
      <c r="H14" s="2989" t="str">
        <f t="shared" ca="1" si="1"/>
        <v>刘俊财（注册号：96010063）</v>
      </c>
    </row>
    <row r="15" spans="1:8" ht="24" customHeight="1">
      <c r="A15" s="1230" t="s">
        <v>2788</v>
      </c>
      <c r="B15" s="1230">
        <v>1120210056</v>
      </c>
      <c r="C15" s="2990">
        <v>45410</v>
      </c>
      <c r="D15" s="2997" t="str">
        <f t="shared" ref="D15" si="2">A15&amp;"（注册号："&amp;B15&amp;"）"</f>
        <v>宁小鳗（注册号：1120210056）</v>
      </c>
      <c r="E15" s="2999" t="s">
        <v>2588</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90" t="s">
        <v>582</v>
      </c>
      <c r="B17" s="3390"/>
      <c r="C17" s="3390"/>
      <c r="D17" s="3390"/>
      <c r="E17" s="3390"/>
      <c r="F17" s="3390"/>
      <c r="G17" s="3390"/>
      <c r="H17" s="3390"/>
    </row>
    <row r="18" spans="1:8" ht="24" customHeight="1">
      <c r="A18" s="3391" t="s">
        <v>583</v>
      </c>
      <c r="B18" s="3391"/>
      <c r="C18" s="3391"/>
      <c r="D18" s="2986"/>
      <c r="E18" s="3392" t="s">
        <v>584</v>
      </c>
      <c r="F18" s="3391"/>
      <c r="G18" s="3391"/>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2586</v>
      </c>
      <c r="B20" s="2993" t="s">
        <v>2587</v>
      </c>
      <c r="C20" s="2988">
        <v>44820</v>
      </c>
      <c r="D20" s="3000"/>
      <c r="E20" s="3002" t="s">
        <v>588</v>
      </c>
      <c r="F20" s="2995" t="s">
        <v>2789</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2777</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本次估价的“房地产价值”是指在正常市场情况下，在价值时点2022年8月3日，估价对象规划用途为，假定未设立法定优先受偿款下的房地产市场价值。</v>
      </c>
    </row>
    <row r="54" spans="1:4">
      <c r="A54" s="3393"/>
      <c r="B54" s="9" t="s">
        <v>1280</v>
      </c>
      <c r="C54" s="9" t="s">
        <v>1281</v>
      </c>
    </row>
    <row r="55" spans="1:4">
      <c r="A55" s="3393"/>
      <c r="B55" s="9" t="s">
        <v>1282</v>
      </c>
      <c r="C55" s="9" t="s">
        <v>1283</v>
      </c>
    </row>
    <row r="56" spans="1:4">
      <c r="A56" s="3393"/>
      <c r="B56" s="9" t="s">
        <v>1284</v>
      </c>
      <c r="C56" s="9" t="s">
        <v>1285</v>
      </c>
    </row>
    <row r="57" spans="1:4">
      <c r="A57" s="339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信息</vt:lpstr>
      <vt:lpstr>抵押物清单（分楼）</vt:lpstr>
      <vt:lpstr>数据-取费表</vt:lpstr>
      <vt:lpstr>估价对象房地状况</vt:lpstr>
      <vt:lpstr>系统读取表</vt:lpstr>
      <vt:lpstr>结果表</vt:lpstr>
      <vt:lpstr>结果表 (1修多)</vt:lpstr>
      <vt:lpstr>比较法-商业</vt:lpstr>
      <vt:lpstr>比较法案例</vt:lpstr>
      <vt:lpstr>成本法</vt:lpstr>
      <vt:lpstr>假设开发法</vt:lpstr>
      <vt:lpstr>收益法</vt:lpstr>
      <vt:lpstr>典型户型修正</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2022-08-03T09:20:43Z</dcterms:modified>
</cp:coreProperties>
</file>