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D33" i="43"/>
  <c r="U4" i="43"/>
  <c r="U3" i="43"/>
  <c r="Y6" i="1"/>
  <c r="N21" i="1"/>
  <c r="N19" i="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M24" i="15"/>
  <c r="C76" i="67"/>
  <c r="F16" i="67"/>
  <c r="F16" i="15"/>
  <c r="D3" i="73"/>
  <c r="D6" i="73"/>
  <c r="F7" i="15"/>
  <c r="F4" i="73"/>
  <c r="F43" i="15"/>
  <c r="F13" i="67"/>
  <c r="M23" i="67"/>
  <c r="D35" i="9"/>
  <c r="E2" i="69"/>
  <c r="M29" i="15"/>
  <c r="F8" i="15"/>
  <c r="F26" i="67"/>
  <c r="F38" i="15"/>
  <c r="M26" i="15"/>
  <c r="J15" i="67"/>
  <c r="L47" i="15"/>
  <c r="F38" i="67"/>
  <c r="B11" i="76"/>
  <c r="B7" i="76"/>
  <c r="F42" i="67"/>
  <c r="M9" i="67"/>
  <c r="F36" i="15"/>
  <c r="E2" i="68"/>
  <c r="D7" i="73"/>
  <c r="E11" i="76"/>
  <c r="M6" i="67"/>
  <c r="F43" i="67"/>
  <c r="F3" i="73"/>
  <c r="B9" i="76"/>
  <c r="F6" i="67"/>
  <c r="D34" i="9"/>
  <c r="F40" i="15"/>
  <c r="M23" i="15"/>
  <c r="B10" i="76"/>
  <c r="M9" i="15"/>
  <c r="F36" i="67"/>
  <c r="F6" i="73"/>
  <c r="J15" i="15"/>
  <c r="L48" i="15"/>
  <c r="F40" i="67"/>
  <c r="F37" i="15"/>
  <c r="F13" i="15"/>
  <c r="M8" i="15"/>
  <c r="M24" i="67"/>
  <c r="B8" i="76"/>
  <c r="F9" i="15"/>
  <c r="M28" i="67"/>
  <c r="B13" i="76"/>
  <c r="F7" i="73"/>
  <c r="M6" i="15"/>
  <c r="E7" i="76"/>
  <c r="F6" i="15"/>
  <c r="F26" i="15"/>
  <c r="M8" i="67"/>
  <c r="M26" i="67"/>
  <c r="E12" i="76"/>
  <c r="B12" i="76"/>
  <c r="C76" i="15"/>
  <c r="F8" i="67"/>
  <c r="M29" i="67"/>
  <c r="E10" i="76"/>
  <c r="F9" i="67"/>
  <c r="AO13" i="1"/>
  <c r="E13" i="76"/>
  <c r="L47" i="67"/>
  <c r="M22" i="15"/>
  <c r="L48" i="67"/>
  <c r="F42" i="15"/>
  <c r="F7" i="67"/>
  <c r="C18" i="9" l="1"/>
  <c r="D18" i="9" s="1"/>
  <c r="C21" i="68"/>
  <c r="C40" i="69"/>
  <c r="D68" i="9"/>
  <c r="M18" i="15"/>
  <c r="F30" i="69"/>
  <c r="F48" i="69" s="1"/>
  <c r="M18" i="67"/>
  <c r="F31" i="12"/>
  <c r="C31" i="12" s="1"/>
  <c r="F30" i="11"/>
  <c r="C48" i="11" s="1"/>
  <c r="D93" i="9"/>
  <c r="G28"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J26" i="43" l="1"/>
  <c r="N370" i="46"/>
  <c r="G26" i="43"/>
  <c r="P6" i="1"/>
  <c r="C13" i="12" s="1"/>
  <c r="C30" i="6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5" i="69" l="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30" i="12" s="1"/>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5" i="68" l="1"/>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1" i="1"/>
  <c r="AO12" i="1"/>
  <c r="AO6" i="1"/>
  <c r="AO10" i="1"/>
  <c r="AO8" i="1"/>
  <c r="AO7"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D52" i="9"/>
  <c r="D53" i="9"/>
  <c r="C104" i="9"/>
  <c r="H4" i="52"/>
  <c r="I4" i="52"/>
  <c r="C105" i="9"/>
  <c r="D8" i="52"/>
  <c r="B21" i="72"/>
  <c r="M48" i="9"/>
  <c r="C78" i="9"/>
  <c r="C73" i="9"/>
  <c r="D122" i="9"/>
  <c r="D123" i="9"/>
  <c r="D9" i="52"/>
  <c r="B32" i="72"/>
  <c r="E97" i="9"/>
  <c r="B20" i="72"/>
  <c r="B48" i="72"/>
  <c r="H119" i="9"/>
  <c r="H5" i="52"/>
  <c r="C93" i="9"/>
  <c r="C86" i="9"/>
  <c r="B30" i="72"/>
  <c r="D13" i="53"/>
  <c r="D14" i="53"/>
  <c r="C68" i="9"/>
  <c r="D54" i="9"/>
  <c r="B47" i="72"/>
  <c r="C6" i="74"/>
  <c r="C67" i="9"/>
  <c r="D59" i="9"/>
  <c r="M55" i="9"/>
  <c r="C81" i="9"/>
  <c r="D5" i="53"/>
  <c r="D6" i="53"/>
  <c r="B22" i="72"/>
  <c r="B51" i="72"/>
  <c r="C80" i="9"/>
  <c r="E80" i="9"/>
  <c r="E81" i="9"/>
  <c r="F4" i="52"/>
  <c r="E4" i="52"/>
  <c r="B52" i="72"/>
  <c r="G4" i="52"/>
  <c r="D4" i="52"/>
  <c r="N61" i="9"/>
  <c r="N57" i="9"/>
  <c r="N59" i="9"/>
  <c r="N60" i="9"/>
  <c r="C5" i="74"/>
  <c r="H102" i="9"/>
  <c r="D7" i="53"/>
  <c r="B53" i="72"/>
  <c r="G118" i="9"/>
  <c r="F118" i="9"/>
  <c r="F119" i="9"/>
  <c r="F5" i="52"/>
  <c r="H107" i="9"/>
  <c r="H108" i="9"/>
  <c r="D15" i="53"/>
  <c r="B31" i="72"/>
  <c r="C64" i="9"/>
  <c r="C63" i="9"/>
  <c r="D55" i="9"/>
  <c r="M53" i="9"/>
  <c r="C72" i="9"/>
  <c r="C79" i="9"/>
  <c r="E118" i="9"/>
  <c r="D118" i="9"/>
  <c r="D119" i="9"/>
  <c r="D5" i="52"/>
  <c r="B49" i="72"/>
  <c r="C97" i="9"/>
  <c r="D58" i="9"/>
  <c r="D56" i="9"/>
  <c r="M54"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<sst xmlns="http://schemas.openxmlformats.org/spreadsheetml/2006/main" count="7798" uniqueCount="3409">
  <si>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</si>
  <si>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</si>
  <si>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</si>
  <si>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</si>
  <si>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</si>
  <si>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</si>
  <si>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</si>
  <si>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</si>
  <si>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</si>
  <si>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</si>
  <si>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</si>
  <si>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</si>
  <si>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</si>
  <si>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</si>
  <si>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</si>
  <si>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</si>
  <si>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</si>
  <si>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</si>
  <si>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</si>
  <si>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</si>
  <si>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</si>
  <si>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</si>
  <si>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</si>
  <si>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</si>
  <si>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</si>
  <si>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</si>
  <si>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</si>
  <si>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</si>
  <si>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</si>
  <si>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</si>
  <si>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</si>
  <si>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</si>
  <si>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</si>
  <si>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</si>
  <si>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</si>
  <si>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</si>
  <si>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</si>
  <si>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</si>
  <si>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</si>
  <si>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</si>
  <si>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</si>
  <si>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</si>
  <si>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</si>
  <si>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</si>
  <si>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</si>
  <si>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</si>
  <si>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</si>
  <si>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</si>
  <si>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</si>
  <si>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</si>
  <si>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</si>
  <si>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</si>
  <si>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</si>
  <si>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</si>
  <si>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</si>
  <si>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</si>
  <si>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</si>
  <si>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</si>
  <si>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</si>
  <si>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</si>
  <si>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</si>
  <si>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</si>
  <si>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</si>
  <si>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</si>
  <si>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</si>
  <si>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</si>
  <si>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</si>
  <si>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</si>
  <si>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</si>
  <si>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</si>
  <si>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</si>
  <si>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</si>
  <si>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</si>
  <si>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</si>
  <si>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</si>
  <si>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</si>
  <si>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</si>
  <si>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</si>
  <si>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</si>
  <si>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</si>
  <si>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</si>
  <si>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</si>
  <si>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</si>
  <si>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</si>
  <si>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</si>
  <si>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</si>
  <si>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</si>
  <si>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</si>
  <si>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</si>
  <si>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</si>
  <si>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</si>
  <si>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</si>
  <si>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</si>
  <si>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</si>
  <si>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</si>
  <si>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</si>
  <si>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</si>
  <si>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</si>
  <si>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</si>
  <si>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</si>
  <si>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</si>
  <si>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</si>
  <si>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</si>
  <si>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</si>
  <si>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</si>
  <si>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</si>
  <si>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</si>
  <si>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</si>
  <si>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</si>
  <si>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</si>
  <si>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</si>
  <si>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</si>
  <si>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</si>
  <si>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</si>
  <si>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</si>
  <si>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</si>
  <si>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</si>
  <si>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</si>
  <si>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</si>
  <si>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</si>
  <si>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</si>
  <si>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</si>
  <si>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</si>
  <si>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</si>
  <si>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</si>
  <si>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</si>
  <si>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</si>
  <si>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</si>
  <si>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</si>
  <si>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</si>
  <si>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</si>
  <si>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</si>
  <si>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</si>
  <si>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</si>
  <si>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</si>
  <si>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</si>
  <si>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</si>
  <si>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</si>
  <si>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</si>
  <si>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</si>
  <si>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</si>
  <si>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</si>
  <si>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</si>
  <si>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</si>
  <si>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</si>
  <si>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</si>
  <si>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</si>
  <si>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</si>
  <si>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</si>
  <si>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</si>
  <si>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</si>
  <si>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</si>
  <si>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</si>
  <si>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</si>
  <si>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</si>
  <si>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</si>
  <si>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</si>
  <si>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</si>
  <si>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</si>
  <si>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</si>
  <si>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</si>
  <si>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</si>
  <si>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</si>
  <si>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</si>
  <si>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</si>
  <si>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</si>
  <si>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</si>
  <si>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</si>
  <si>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</si>
  <si>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</si>
  <si>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</si>
  <si>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</si>
  <si>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</si>
  <si>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</si>
  <si>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</si>
  <si>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</si>
  <si>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</si>
  <si>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</si>
  <si>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</si>
  <si>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</si>
  <si>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</si>
  <si>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</si>
  <si>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</si>
  <si>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</si>
  <si>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</si>
  <si>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</si>
  <si>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</si>
  <si>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</si>
  <si>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</si>
  <si>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</si>
  <si>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</si>
  <si>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</si>
  <si>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</si>
  <si>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</si>
  <si>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</si>
  <si>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</si>
  <si>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</si>
  <si>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</si>
  <si>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</si>
  <si>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</si>
  <si>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</si>
  <si>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</si>
  <si>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</si>
  <si>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</si>
  <si>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</si>
  <si>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</si>
  <si>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</si>
  <si>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</si>
  <si>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</si>
  <si>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</si>
  <si>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</si>
  <si>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</si>
  <si>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</si>
  <si>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</si>
  <si>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</si>
  <si>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</si>
  <si>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</si>
  <si>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</si>
  <si>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</si>
  <si>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</si>
  <si>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</si>
  <si>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</si>
  <si>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</si>
  <si>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</si>
  <si>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</si>
  <si>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</si>
  <si>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</si>
  <si>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</si>
  <si>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</si>
  <si>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</si>
  <si>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</si>
  <si>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</si>
  <si>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</si>
  <si>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</si>
  <si>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</si>
  <si>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</si>
  <si>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</si>
  <si>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</si>
  <si>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</si>
  <si>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</si>
  <si>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</si>
  <si>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</si>
  <si>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</si>
  <si>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</si>
  <si>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</si>
  <si>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</si>
  <si>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</si>
  <si>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</si>
  <si>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</si>
  <si>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</si>
  <si>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</si>
  <si>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</si>
  <si>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</si>
  <si>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</si>
  <si>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</si>
  <si>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</si>
  <si>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</si>
  <si>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</si>
  <si>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</si>
  <si>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</si>
  <si>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</si>
  <si>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</si>
  <si>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</si>
  <si>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</si>
  <si>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</si>
  <si>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</si>
  <si>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</si>
  <si>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</si>
  <si>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</si>
  <si>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</si>
  <si>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</si>
  <si>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</si>
  <si>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</si>
  <si>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</si>
  <si>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</si>
  <si>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</si>
  <si>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</si>
  <si>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</si>
  <si>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</si>
  <si>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</si>
  <si>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</si>
  <si>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</si>
  <si>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</si>
  <si>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</si>
  <si>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</si>
  <si>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</si>
  <si>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</si>
  <si>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</si>
  <si>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</si>
  <si>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</si>
  <si>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</si>
  <si>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</si>
  <si>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</si>
  <si>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</si>
  <si>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</si>
  <si>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</si>
  <si>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</si>
  <si>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</si>
  <si>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</si>
  <si>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</si>
  <si>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</si>
  <si>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</si>
  <si>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</si>
  <si>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</si>
  <si>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</si>
  <si>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</si>
  <si>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</si>
  <si>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</si>
  <si>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</si>
  <si>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</si>
  <si>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</si>
  <si>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</si>
  <si>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</si>
  <si>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</si>
  <si>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</si>
  <si>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</si>
  <si>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</si>
  <si>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</si>
  <si>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</si>
  <si>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</si>
  <si>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</si>
  <si>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</si>
  <si>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</si>
  <si>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</si>
  <si>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</si>
  <si>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</si>
  <si>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</si>
  <si>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</si>
  <si>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</si>
  <si>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</si>
  <si>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</si>
  <si>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</si>
  <si>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</si>
  <si>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</si>
  <si>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</si>
  <si>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</si>
  <si>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</si>
  <si>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</si>
  <si>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</si>
  <si>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</si>
  <si>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</si>
  <si>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</si>
  <si>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</si>
  <si>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</si>
  <si>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</si>
  <si>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</si>
  <si>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</si>
  <si>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</si>
  <si>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</si>
  <si>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</si>
  <si>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</si>
  <si>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</si>
  <si>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</si>
  <si>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</si>
  <si>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</si>
  <si>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</si>
  <si>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</si>
  <si>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</si>
  <si>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</si>
  <si>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</si>
  <si>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</si>
  <si>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</si>
  <si>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</si>
  <si>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</si>
  <si>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</si>
  <si>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</si>
  <si>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</si>
  <si>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</si>
  <si>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</si>
  <si>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</si>
  <si>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</si>
  <si>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</si>
  <si>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</si>
  <si>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</si>
  <si>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</si>
  <si>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</si>
  <si>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</si>
  <si>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</si>
  <si>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</si>
  <si>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</si>
  <si>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</si>
  <si>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</si>
  <si>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</si>
  <si>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</si>
  <si>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</si>
  <si>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</si>
  <si>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</si>
  <si>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</si>
  <si>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</si>
  <si>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</si>
  <si>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</si>
  <si>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</si>
  <si>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</si>
  <si>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</si>
  <si>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</si>
  <si>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</si>
  <si>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</si>
  <si>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</si>
  <si>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</si>
  <si>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</si>
  <si>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</si>
  <si>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</si>
  <si>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</si>
  <si>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</si>
  <si>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</si>
  <si>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</si>
  <si>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</si>
  <si>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</si>
  <si>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</si>
  <si>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</si>
  <si>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</si>
  <si>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</si>
  <si>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</si>
  <si>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</si>
  <si>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</si>
  <si>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</si>
  <si>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</si>
  <si>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</si>
  <si>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</si>
  <si>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</si>
  <si>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</si>
  <si>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</si>
  <si>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</si>
  <si>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</si>
  <si>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</si>
  <si>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</si>
  <si>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</si>
  <si>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</si>
  <si>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</si>
  <si>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</si>
  <si>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</si>
  <si>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</si>
  <si>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</si>
  <si>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</si>
  <si>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</si>
  <si>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</si>
  <si>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</si>
  <si>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</si>
  <si>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</si>
  <si>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</si>
  <si>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</si>
  <si>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</si>
  <si>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</si>
  <si>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</si>
  <si>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</si>
  <si>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</si>
  <si>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</si>
  <si>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</si>
  <si>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</si>
  <si>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</si>
  <si>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</si>
  <si>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</si>
  <si>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</si>
  <si>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</si>
  <si>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</si>
  <si>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</si>
  <si>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</si>
  <si>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</si>
  <si>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</si>
  <si>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</si>
  <si>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</si>
  <si>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</si>
  <si>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</si>
  <si>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</si>
  <si>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</si>
  <si>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</si>
  <si>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</si>
  <si>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</si>
  <si>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</si>
  <si>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</si>
  <si>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</si>
  <si>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</si>
  <si>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</si>
  <si>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</si>
  <si>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</si>
  <si>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</si>
  <si>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</si>
  <si>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</si>
  <si>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</si>
  <si>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</si>
  <si>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</si>
  <si>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</si>
  <si>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</si>
  <si>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</si>
  <si>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</si>
  <si>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</si>
  <si>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</si>
  <si>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</si>
  <si>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</si>
  <si>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</si>
  <si>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</si>
  <si>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</si>
  <si>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</si>
  <si>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</si>
  <si>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</si>
  <si>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</si>
  <si>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</si>
  <si>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</si>
  <si>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</si>
  <si>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</si>
  <si>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</si>
  <si>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</si>
  <si>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</si>
  <si>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</si>
  <si>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</si>
  <si>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</si>
  <si>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</si>
  <si>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</si>
  <si>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</si>
  <si>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</si>
  <si>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</si>
  <si>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</si>
  <si>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</si>
  <si>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</si>
  <si>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</si>
  <si>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</si>
  <si>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</si>
  <si>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</si>
  <si>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</si>
  <si>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</si>
  <si>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</si>
  <si>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</si>
  <si>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</si>
  <si>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</si>
  <si>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</si>
  <si>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</si>
  <si>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</si>
  <si>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</si>
  <si>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</si>
  <si>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</si>
  <si>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</si>
  <si>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</si>
  <si>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</si>
  <si>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</si>
  <si>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</si>
  <si>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</si>
  <si>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</si>
  <si>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</si>
  <si>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</si>
  <si>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</si>
  <si>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</si>
  <si>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</si>
  <si>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</si>
  <si>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</si>
  <si>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</si>
  <si>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</si>
  <si>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</si>
  <si>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</si>
  <si>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</si>
  <si>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</si>
  <si>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</si>
  <si>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</si>
  <si>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</si>
  <si>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</si>
  <si>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</si>
  <si>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</si>
  <si>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</si>
  <si>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</si>
  <si>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</si>
  <si>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</si>
  <si>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</si>
  <si>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</si>
  <si>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</si>
  <si>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</si>
  <si>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</si>
  <si>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</si>
  <si>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</si>
  <si>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</si>
  <si>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</si>
  <si>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</si>
  <si>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</si>
  <si>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</si>
  <si>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</si>
  <si>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</si>
  <si>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</si>
  <si>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</si>
  <si>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</si>
  <si>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</si>
  <si>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</si>
  <si>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</si>
  <si>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</si>
  <si>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</si>
  <si>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</si>
  <si>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</si>
  <si>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</si>
  <si>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</si>
  <si>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</si>
  <si>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</si>
  <si>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</si>
  <si>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</si>
  <si>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</si>
  <si>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</si>
  <si>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</si>
  <si>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</si>
  <si>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</si>
  <si>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</si>
  <si>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</si>
  <si>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</si>
  <si>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</si>
  <si>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</si>
  <si>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</si>
  <si>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</si>
  <si>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</si>
  <si>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</si>
  <si>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</si>
  <si>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</si>
  <si>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</si>
  <si>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</si>
  <si>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</si>
  <si>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</si>
  <si>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</si>
  <si>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</si>
  <si>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</si>
  <si>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</si>
  <si>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</si>
  <si>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</si>
  <si>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</si>
  <si>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</si>
  <si>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</si>
  <si>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</si>
  <si>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</si>
  <si>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</si>
  <si>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</si>
  <si>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</si>
  <si>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</si>
  <si>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</si>
  <si>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</si>
  <si>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</si>
  <si>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</si>
  <si>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</si>
  <si>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</si>
  <si>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</si>
  <si>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</si>
  <si>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</si>
  <si>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</si>
  <si>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</si>
  <si>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</si>
  <si>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</si>
  <si>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</si>
  <si>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</si>
  <si>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</si>
  <si>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</si>
  <si>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</si>
  <si>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</si>
  <si>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</si>
  <si>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</si>
  <si>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</si>
  <si>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</si>
  <si>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</si>
  <si>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</si>
  <si>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</si>
  <si>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</si>
  <si>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</si>
  <si>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</si>
  <si>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</si>
  <si>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</si>
  <si>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</si>
  <si>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</si>
  <si>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</si>
  <si>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</si>
  <si>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</si>
  <si>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</si>
  <si>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</si>
  <si>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</si>
  <si>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</si>
  <si>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</si>
  <si>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</si>
  <si>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</si>
  <si>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</si>
  <si>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</si>
  <si>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</si>
  <si>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</si>
  <si>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</si>
  <si>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</si>
  <si>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</si>
  <si>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</si>
  <si>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</si>
  <si>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</si>
  <si>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</si>
  <si>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</si>
  <si>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</si>
  <si>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</si>
  <si>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</si>
  <si>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</si>
  <si>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</si>
  <si>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</si>
  <si>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</si>
  <si>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</si>
  <si>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</si>
  <si>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</si>
  <si>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</si>
  <si>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</si>
  <si>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</si>
  <si>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</si>
  <si>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</si>
  <si>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</si>
  <si>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</si>
  <si>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</si>
  <si>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</si>
  <si>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</si>
  <si>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</si>
  <si>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</si>
  <si>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</si>
  <si>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</si>
  <si>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</si>
  <si>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</si>
  <si>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</si>
  <si>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</si>
  <si>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</si>
  <si>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</si>
  <si>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</si>
  <si>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</si>
  <si>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</si>
  <si>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</si>
  <si>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</si>
  <si>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</si>
  <si>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</si>
  <si>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</si>
  <si>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</si>
  <si>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</si>
  <si>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</si>
  <si>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</si>
  <si>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</si>
  <si>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</si>
  <si>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</si>
  <si>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</si>
  <si>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</si>
  <si>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</si>
  <si>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</si>
  <si>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</si>
  <si>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</si>
  <si>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</si>
  <si>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</si>
  <si>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</si>
  <si>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</si>
  <si>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</si>
  <si>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</si>
  <si>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</si>
  <si>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</si>
  <si>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</si>
  <si>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</si>
  <si>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</si>
  <si>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</si>
  <si>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</si>
  <si>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</si>
  <si>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</si>
  <si>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</si>
  <si>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</si>
  <si>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</si>
  <si>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</si>
  <si>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</si>
  <si>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</si>
  <si>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</si>
  <si>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</si>
  <si>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</si>
  <si>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</si>
  <si>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</si>
  <si>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</si>
  <si>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</si>
  <si>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</si>
  <si>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</si>
  <si>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</si>
  <si>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</si>
  <si>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</si>
  <si>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</si>
  <si>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</si>
  <si>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</si>
  <si>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</si>
  <si>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</si>
  <si>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</si>
  <si>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</si>
  <si>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</si>
  <si>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</si>
  <si>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</si>
  <si>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</si>
  <si>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</si>
  <si>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</si>
  <si>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</si>
  <si>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</si>
  <si>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</si>
  <si>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</si>
  <si>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</si>
  <si>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</si>
  <si>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</si>
  <si>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</si>
  <si>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</si>
  <si>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</si>
  <si>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</si>
  <si>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</si>
  <si>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</si>
  <si>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</si>
  <si>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</si>
  <si>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</si>
  <si>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</si>
  <si>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</si>
  <si>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</si>
  <si>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</si>
  <si>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</si>
  <si>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</si>
  <si>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</si>
  <si>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</si>
  <si>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</si>
  <si>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</si>
  <si>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</si>
  <si>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</si>
  <si>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</si>
  <si>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</si>
  <si>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</si>
  <si>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</si>
  <si>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</si>
  <si>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</si>
  <si>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</si>
  <si>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</si>
  <si>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</si>
  <si>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</si>
  <si>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</si>
  <si>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</si>
  <si>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</si>
  <si>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</si>
  <si>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</si>
  <si>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</si>
  <si>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</si>
  <si>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</si>
  <si>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</si>
  <si>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</si>
  <si>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</si>
  <si>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</si>
  <si>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</si>
  <si>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</si>
  <si>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</si>
  <si>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</si>
  <si>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</si>
  <si>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</si>
  <si>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</si>
  <si>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</si>
  <si>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</si>
  <si>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</si>
  <si>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</si>
  <si>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</si>
  <si>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</si>
  <si>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</si>
  <si>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</si>
  <si>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</si>
  <si>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</si>
  <si>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</si>
  <si>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</si>
  <si>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</si>
  <si>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</si>
  <si>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</si>
  <si>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</si>
  <si>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</si>
  <si>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</si>
  <si>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</si>
  <si>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</si>
  <si>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</si>
  <si>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</si>
  <si>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</si>
  <si>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</si>
  <si>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</si>
  <si>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</si>
  <si>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</si>
  <si>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</si>
  <si>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</si>
  <si>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</si>
  <si>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</si>
  <si>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</si>
  <si>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</si>
  <si>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</si>
  <si>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</si>
  <si>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</si>
  <si>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</si>
  <si>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</si>
  <si>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</si>
  <si>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</si>
  <si>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</si>
  <si>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</si>
  <si>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</si>
  <si>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</si>
  <si>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</si>
  <si>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</si>
  <si>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</si>
  <si>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</si>
  <si>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</si>
  <si>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</si>
  <si>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</si>
  <si>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</si>
  <si>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</si>
  <si>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</si>
  <si>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</si>
  <si>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</si>
  <si>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</si>
  <si>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</si>
  <si>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</si>
  <si>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</si>
  <si>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</si>
  <si>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</si>
  <si>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</si>
  <si>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</si>
  <si>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</si>
  <si>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</si>
  <si>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</si>
  <si>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</si>
  <si>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</si>
  <si>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</si>
  <si>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</si>
  <si>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</si>
  <si>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</si>
  <si>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</si>
  <si>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</si>
  <si>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</si>
  <si>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</si>
  <si>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</si>
  <si>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</si>
  <si>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</si>
  <si>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</si>
  <si>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</si>
  <si>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</si>
  <si>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</si>
  <si>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</si>
  <si>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</si>
  <si>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</si>
  <si>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</si>
  <si>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</si>
  <si>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</si>
  <si>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</si>
  <si>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</si>
  <si>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</si>
  <si>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</si>
  <si>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</si>
  <si>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</si>
  <si>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</si>
  <si>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</si>
  <si>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</si>
  <si>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</si>
  <si>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</si>
  <si>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</si>
  <si>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</si>
  <si>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</si>
  <si>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</si>
  <si>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</si>
  <si>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</si>
  <si>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</si>
  <si>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</si>
  <si>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</si>
  <si>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</si>
  <si>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</si>
  <si>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</si>
  <si>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</si>
  <si>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</si>
  <si>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</si>
  <si>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</si>
  <si>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</si>
  <si>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</si>
  <si>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</si>
  <si>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</si>
  <si>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</si>
  <si>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</si>
  <si>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</si>
  <si>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</si>
  <si>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</si>
  <si>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</si>
  <si>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</si>
  <si>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</si>
  <si>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</si>
  <si>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</si>
  <si>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</si>
  <si>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</si>
  <si>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</si>
  <si>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</si>
  <si>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</si>
  <si>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</si>
  <si>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</si>
  <si>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</si>
  <si>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</si>
  <si>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</si>
  <si>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</si>
  <si>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</si>
  <si>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</si>
  <si>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</si>
  <si>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</si>
  <si>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</si>
  <si>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</si>
  <si>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</si>
  <si>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</si>
  <si>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</si>
  <si>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</si>
  <si>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</si>
  <si>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</si>
  <si>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</si>
  <si>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</si>
  <si>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</si>
  <si>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</si>
  <si>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</si>
  <si>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</si>
  <si>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</si>
  <si>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</si>
  <si>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</si>
  <si>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</si>
  <si>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</si>
  <si>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</si>
  <si>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</si>
  <si>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</si>
  <si>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</si>
  <si>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</si>
  <si>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</si>
  <si>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</si>
  <si>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</si>
  <si>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</si>
  <si>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</si>
  <si>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</si>
  <si>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</si>
  <si>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</si>
  <si>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</si>
  <si>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</si>
  <si>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</si>
  <si>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</si>
  <si>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</si>
  <si>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</si>
  <si>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</si>
  <si>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</si>
  <si>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</si>
  <si>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</si>
  <si>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</si>
  <si>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</si>
  <si>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</si>
  <si>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</si>
  <si>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</si>
  <si>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</si>
  <si>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</si>
  <si>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</si>
  <si>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</si>
  <si>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</si>
  <si>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</si>
  <si>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</si>
  <si>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</si>
  <si>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</si>
  <si>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</si>
  <si>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</si>
  <si>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</si>
  <si>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</si>
  <si>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</si>
  <si>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</si>
  <si>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</si>
  <si>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</si>
  <si>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</si>
  <si>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</si>
  <si>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</si>
  <si>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</si>
  <si>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</si>
  <si>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</si>
  <si>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</si>
  <si>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</si>
  <si>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</si>
  <si>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</si>
  <si>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</si>
  <si>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</si>
  <si>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</si>
  <si>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</si>
  <si>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</si>
  <si>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</si>
  <si>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</si>
  <si>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</si>
  <si>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</si>
  <si>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</si>
  <si>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</si>
  <si>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</si>
  <si>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</si>
  <si>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</si>
  <si>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</si>
  <si>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</si>
  <si>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</si>
  <si>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</si>
  <si>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</si>
  <si>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</si>
  <si>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</si>
  <si>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</si>
  <si>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</si>
  <si>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</si>
  <si>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</si>
  <si>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</si>
  <si>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</si>
  <si>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</si>
  <si>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</si>
  <si>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</si>
  <si>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</si>
  <si>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</si>
  <si>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</si>
  <si>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</si>
  <si>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</si>
  <si>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</si>
  <si>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</si>
  <si>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</si>
  <si>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</si>
  <si>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</si>
  <si>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</si>
  <si>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</si>
  <si>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</si>
  <si>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</si>
  <si>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</si>
  <si>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</si>
  <si>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</si>
  <si>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</si>
  <si>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</si>
  <si>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</si>
  <si>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</si>
  <si>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</si>
  <si>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</si>
  <si>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</si>
  <si>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</si>
  <si>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</si>
  <si>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</si>
  <si>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</si>
  <si>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</si>
  <si>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</si>
  <si>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</si>
  <si>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</si>
  <si>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</si>
  <si>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</si>
  <si>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</si>
  <si>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</si>
  <si>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</si>
  <si>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</si>
  <si>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</si>
  <si>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</si>
  <si>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</si>
  <si>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</si>
  <si>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</si>
  <si>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</si>
  <si>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</si>
  <si>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</si>
  <si>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</si>
  <si>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</si>
  <si>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</si>
  <si>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</si>
  <si>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</si>
  <si>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</si>
  <si>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</si>
  <si>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</si>
  <si>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</si>
  <si>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</si>
  <si>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</si>
  <si>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</si>
  <si>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</si>
  <si>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</si>
  <si>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</si>
  <si>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</si>
  <si>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</si>
  <si>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</si>
  <si>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</si>
  <si>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</si>
  <si>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</si>
  <si>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</si>
  <si>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</si>
  <si>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</si>
  <si>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</si>
  <si>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</si>
  <si>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</si>
  <si>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</si>
  <si>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</si>
  <si>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</si>
  <si>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</si>
  <si>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</si>
  <si>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</si>
  <si>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</si>
  <si>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</si>
  <si>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</si>
  <si>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</si>
  <si>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</si>
  <si>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</si>
  <si>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</si>
  <si>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</si>
  <si>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</si>
  <si>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</si>
  <si>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</si>
  <si>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</si>
  <si>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</si>
  <si>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</si>
  <si>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</si>
  <si>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</si>
  <si>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</si>
  <si>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</si>
  <si>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</si>
  <si>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</si>
  <si>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</si>
  <si>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</si>
  <si>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</si>
  <si>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</si>
  <si>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</si>
  <si>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</si>
  <si>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</si>
  <si>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</si>
  <si>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</si>
  <si>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</si>
  <si>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</si>
  <si>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</si>
  <si>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</si>
  <si>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</si>
  <si>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</si>
  <si>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</si>
  <si>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</si>
  <si>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</si>
  <si>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</si>
  <si>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</si>
  <si>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</si>
  <si>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</si>
  <si>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</si>
  <si>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</si>
  <si>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</si>
  <si>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</si>
  <si>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</si>
  <si>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</si>
  <si>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</si>
  <si>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</si>
  <si>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</si>
  <si>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</si>
  <si>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</si>
  <si>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</si>
  <si>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</si>
  <si>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</si>
  <si>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</si>
  <si>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</si>
  <si>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</si>
  <si>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</si>
  <si>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</si>
  <si>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</si>
  <si>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</si>
  <si>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</si>
  <si>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</si>
  <si>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</si>
  <si>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</si>
  <si>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</si>
  <si>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</si>
  <si>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</si>
  <si>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</si>
  <si>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</si>
  <si>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</si>
  <si>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</si>
  <si>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</si>
  <si>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</si>
  <si>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</si>
  <si>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</si>
  <si>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</si>
  <si>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</si>
  <si>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</si>
  <si>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</si>
  <si>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</si>
  <si>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</si>
  <si>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</si>
  <si>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</si>
  <si>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</si>
  <si>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</si>
  <si>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</si>
  <si>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</si>
  <si>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</si>
  <si>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</si>
  <si>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</si>
  <si>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</si>
  <si>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</si>
  <si>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</si>
  <si>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</si>
  <si>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</si>
  <si>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</si>
  <si>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</si>
  <si>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</si>
  <si>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</si>
  <si>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</si>
  <si>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</si>
  <si>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</si>
  <si>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</si>
  <si>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</si>
  <si>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</si>
  <si>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</si>
  <si>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</si>
  <si>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</si>
  <si>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</si>
  <si>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</si>
  <si>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</si>
  <si>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</si>
  <si>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</si>
  <si>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</si>
  <si>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</si>
  <si>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</si>
  <si>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</si>
  <si>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</si>
  <si>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</si>
  <si>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</si>
  <si>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</si>
  <si>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</si>
  <si>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</si>
  <si>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</si>
  <si>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</si>
  <si>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</si>
  <si>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</si>
  <si>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</si>
  <si>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</si>
  <si>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</si>
  <si>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</si>
  <si>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</si>
  <si>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</si>
  <si>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</si>
  <si>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</si>
  <si>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</si>
  <si>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</si>
  <si>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</si>
  <si>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</si>
  <si>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</si>
  <si>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</si>
  <si>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</si>
  <si>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</si>
  <si>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</si>
  <si>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</si>
  <si>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</si>
  <si>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</si>
  <si>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</si>
  <si>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</si>
  <si>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</si>
  <si>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</si>
  <si>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</si>
  <si>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</si>
  <si>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</si>
  <si>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</si>
  <si>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</si>
  <si>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</si>
  <si>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</si>
  <si>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</si>
  <si>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</si>
  <si>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</si>
  <si>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</si>
  <si>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</si>
  <si>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</si>
  <si>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</si>
  <si>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</si>
  <si>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</si>
  <si>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</si>
  <si>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</si>
  <si>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</si>
  <si>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</si>
  <si>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</si>
  <si>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</si>
  <si>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</si>
  <si>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</si>
  <si>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</si>
  <si>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</si>
  <si>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</si>
  <si>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</si>
  <si>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</si>
  <si>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</si>
  <si>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</si>
  <si>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</si>
  <si>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</si>
  <si>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</si>
  <si>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</si>
  <si>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</si>
  <si>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</si>
  <si>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</si>
  <si>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</si>
  <si>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</si>
  <si>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</si>
  <si>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</si>
  <si>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</si>
  <si>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</si>
  <si>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</si>
  <si>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</si>
  <si>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</si>
  <si>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</si>
  <si>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</si>
  <si>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</si>
  <si>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</si>
  <si>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</si>
  <si>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</si>
  <si>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</si>
  <si>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</si>
  <si>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</si>
  <si>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</si>
  <si>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</si>
  <si>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</si>
  <si>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</si>
  <si>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</si>
  <si>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</si>
  <si>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</si>
  <si>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</si>
  <si>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</si>
  <si>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</si>
  <si>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</si>
  <si>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</si>
  <si>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</si>
  <si>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</si>
  <si>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</si>
  <si>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</si>
  <si>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</si>
  <si>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</si>
  <si>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</si>
  <si>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</si>
  <si>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</si>
  <si>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</si>
  <si>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</si>
  <si>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</si>
  <si>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</si>
  <si>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</si>
  <si>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</si>
  <si>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</si>
  <si>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</si>
  <si>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</si>
  <si>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</si>
  <si>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</si>
  <si>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</si>
  <si>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</si>
  <si>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</si>
  <si>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</si>
  <si>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</si>
  <si>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</si>
  <si>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</si>
  <si>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</si>
  <si>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</si>
  <si>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</si>
  <si>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</si>
  <si>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</si>
  <si>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</si>
  <si>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</si>
  <si>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</si>
  <si>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</si>
  <si>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</si>
  <si>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</si>
  <si>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</si>
  <si>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</si>
  <si>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</si>
  <si>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</si>
  <si>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</si>
  <si>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</si>
  <si>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</si>
  <si>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</si>
  <si>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</si>
  <si>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</si>
  <si>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</si>
  <si>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</si>
  <si>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</si>
  <si>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</si>
  <si>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</si>
  <si>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</si>
  <si>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</si>
  <si>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</si>
  <si>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</si>
  <si>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</si>
  <si>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</si>
  <si>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</si>
  <si>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</si>
  <si>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</si>
  <si>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</si>
  <si>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</si>
  <si>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</si>
  <si>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</si>
  <si>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</si>
  <si>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</si>
  <si>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</si>
  <si>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</si>
  <si>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</si>
  <si>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</si>
  <si>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</si>
  <si>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</si>
  <si>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</si>
  <si>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</si>
  <si>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</si>
  <si>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</si>
  <si>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</si>
  <si>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</si>
  <si>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</si>
  <si>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</si>
  <si>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</si>
  <si>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</si>
  <si>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</si>
  <si>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</si>
  <si>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</si>
  <si>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</si>
  <si>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</si>
  <si>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</si>
  <si>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</si>
  <si>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</si>
  <si>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</si>
  <si>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</si>
  <si>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</si>
  <si>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</si>
  <si>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</si>
  <si>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</si>
  <si>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</si>
  <si>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</si>
  <si>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</si>
  <si>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</si>
  <si>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</si>
  <si>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</si>
  <si>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</si>
  <si>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</si>
  <si>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</si>
  <si>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</si>
  <si>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</si>
  <si>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</si>
  <si>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</si>
  <si>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</si>
  <si>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</si>
  <si>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</si>
  <si>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</si>
  <si>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</si>
  <si>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</si>
  <si>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</si>
  <si>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</si>
  <si>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</si>
  <si>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</si>
  <si>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</si>
  <si>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</si>
  <si>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</si>
  <si>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</si>
  <si>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</si>
  <si>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</si>
  <si>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</si>
  <si>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</si>
  <si>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</si>
  <si>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</si>
  <si>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</si>
  <si>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</si>
  <si>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</si>
  <si>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</si>
  <si>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</si>
  <si>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</si>
  <si>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</si>
  <si>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</si>
  <si>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</si>
  <si>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</si>
  <si>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</si>
  <si>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</si>
  <si>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</si>
  <si>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</si>
  <si>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</si>
  <si>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</si>
  <si>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</si>
  <si>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</si>
  <si>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</si>
  <si>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</si>
  <si>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</si>
  <si>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</si>
  <si>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</si>
  <si>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</si>
  <si>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</si>
  <si>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</si>
  <si>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</si>
  <si>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</si>
  <si>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</si>
  <si>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</si>
  <si>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</si>
  <si>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</si>
  <si>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</si>
  <si>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</si>
  <si>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</si>
  <si>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</si>
  <si>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</si>
  <si>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</si>
  <si>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</si>
  <si>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</si>
  <si>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</si>
  <si>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</si>
  <si>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</si>
  <si>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</si>
  <si>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</si>
  <si>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</si>
  <si>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</si>
  <si>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</si>
  <si>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</si>
  <si>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</si>
  <si>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</si>
  <si>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</si>
  <si>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</si>
  <si>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</si>
  <si>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</si>
  <si>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</si>
  <si>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</si>
  <si>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</si>
  <si>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</si>
  <si>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</si>
  <si>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</si>
  <si>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</si>
  <si>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</si>
  <si>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</si>
  <si>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</si>
  <si>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</si>
  <si>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</si>
  <si>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</si>
  <si>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</si>
  <si>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</si>
  <si>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</si>
  <si>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</si>
  <si>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</si>
  <si>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</si>
  <si>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</si>
  <si>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</si>
  <si>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</si>
  <si>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</si>
  <si>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</si>
  <si>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</si>
  <si>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</si>
  <si>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</si>
  <si>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</si>
  <si>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</si>
  <si>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</si>
  <si>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</si>
  <si>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</si>
  <si>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</si>
  <si>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</si>
  <si>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</si>
  <si>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</si>
  <si>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</si>
  <si>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</si>
  <si>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</si>
  <si>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</si>
  <si>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</si>
  <si>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</si>
  <si>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</si>
  <si>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</si>
  <si>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</si>
  <si>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</si>
  <si>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</si>
  <si>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</si>
  <si>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</si>
  <si>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</si>
  <si>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</si>
  <si>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</si>
  <si>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</si>
  <si>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</si>
  <si>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</si>
  <si>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</si>
  <si>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</si>
  <si>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</si>
  <si>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</si>
  <si>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</si>
  <si>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</si>
  <si>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</si>
  <si>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</si>
  <si>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</si>
  <si>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</si>
  <si>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</si>
  <si>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</si>
  <si>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</si>
  <si>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</si>
  <si>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</si>
  <si>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</si>
  <si>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</si>
  <si>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</si>
  <si>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</si>
  <si>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</si>
  <si>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</si>
  <si>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</si>
  <si>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</si>
  <si>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</si>
  <si>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</si>
  <si>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</si>
  <si>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</si>
  <si>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</si>
  <si>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</si>
  <si>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</si>
  <si>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</si>
  <si>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</si>
  <si>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</si>
  <si>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</si>
  <si>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</si>
  <si>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</si>
  <si>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</si>
  <si>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</si>
  <si>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</si>
  <si>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</si>
  <si>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</si>
  <si>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</si>
  <si>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</si>
  <si>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</si>
  <si>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</si>
  <si>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</si>
  <si>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</si>
  <si>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</si>
  <si>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</si>
  <si>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</si>
  <si>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</si>
  <si>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</si>
  <si>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</si>
  <si>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</si>
  <si>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</si>
  <si>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</si>
  <si>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</si>
  <si>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</si>
  <si>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</si>
  <si>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</si>
  <si>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</si>
  <si>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</si>
  <si>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</si>
  <si>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</si>
  <si>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</si>
  <si>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</si>
  <si>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</si>
  <si>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</si>
  <si>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</si>
  <si>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</si>
  <si>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</si>
  <si>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</si>
  <si>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</si>
  <si>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</si>
  <si>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</si>
  <si>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</si>
  <si>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</si>
  <si>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</si>
  <si>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</si>
  <si>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</si>
  <si>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</si>
  <si>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</si>
  <si>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</si>
  <si>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</si>
  <si>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</si>
  <si>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</si>
  <si>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</si>
  <si>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</si>
  <si>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</si>
  <si>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</si>
  <si>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</si>
  <si>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</si>
  <si>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</si>
  <si>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</si>
  <si>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</si>
  <si>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</si>
  <si>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</si>
  <si>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</si>
  <si>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</si>
  <si>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</si>
  <si>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</si>
  <si>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</si>
  <si>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</si>
  <si>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</si>
  <si>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</si>
  <si>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</si>
  <si>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</si>
  <si>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</si>
  <si>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</si>
  <si>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</si>
  <si>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</si>
  <si>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</si>
  <si>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</si>
  <si>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</si>
  <si>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</si>
  <si>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</si>
  <si>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</si>
  <si>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</si>
  <si>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</si>
  <si>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</si>
  <si>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</si>
  <si>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</si>
  <si>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</si>
  <si>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</si>
  <si>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</si>
  <si>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</si>
  <si>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</si>
  <si>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</si>
  <si>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</si>
  <si>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</si>
  <si>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</si>
  <si>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</si>
  <si>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</si>
  <si>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</si>
  <si>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</si>
  <si>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</si>
  <si>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</si>
  <si>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</si>
  <si>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</si>
  <si>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</si>
  <si>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</si>
  <si>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</si>
  <si>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</si>
  <si>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</si>
  <si>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</si>
  <si>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</si>
  <si>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</si>
  <si>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</si>
  <si>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</si>
  <si>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</si>
  <si>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</si>
  <si>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</si>
  <si>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</si>
  <si>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</si>
  <si>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</si>
  <si>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</si>
  <si>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</si>
  <si>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</si>
  <si>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</si>
  <si>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</si>
  <si>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</si>
  <si>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</si>
  <si>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</si>
  <si>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</si>
  <si>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</si>
  <si>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</si>
  <si>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</si>
  <si>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</si>
  <si>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</si>
  <si>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</si>
  <si>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</si>
  <si>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</si>
  <si>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</si>
  <si>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</si>
  <si>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</si>
  <si>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</si>
  <si>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</si>
  <si>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</si>
  <si>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</si>
  <si>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</si>
  <si>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</si>
  <si>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</si>
  <si>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</si>
  <si>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</si>
  <si>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</si>
  <si>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</si>
  <si>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</si>
  <si>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</si>
  <si>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</si>
  <si>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</si>
  <si>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</si>
  <si>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</si>
  <si>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</si>
  <si>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</si>
  <si>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</si>
  <si>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</si>
  <si>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</si>
  <si>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</si>
  <si>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</si>
  <si>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</si>
  <si>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</si>
  <si>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</si>
  <si>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</si>
  <si>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</si>
  <si>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</si>
  <si>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</si>
  <si>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</si>
  <si>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</si>
  <si>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</si>
  <si>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</si>
  <si>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</si>
  <si>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</si>
  <si>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</si>
  <si>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</si>
  <si>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</si>
  <si>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</si>
  <si>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</si>
  <si>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</si>
  <si>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</si>
  <si>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</si>
  <si>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</si>
  <si>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</si>
  <si>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</si>
  <si>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</si>
  <si>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</si>
  <si>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</si>
  <si>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</si>
  <si>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</si>
  <si>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</si>
  <si>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</si>
  <si>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</si>
  <si>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</si>
  <si>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</si>
  <si>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</si>
  <si>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</si>
  <si>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</si>
  <si>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</si>
  <si>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</si>
  <si>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</si>
  <si>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</si>
  <si>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</si>
  <si>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</si>
  <si>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</si>
  <si>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</si>
  <si>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</si>
  <si>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</si>
  <si>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</si>
  <si>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</si>
  <si>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</si>
  <si>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</si>
  <si>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</si>
  <si>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</si>
  <si>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</si>
  <si>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</si>
  <si>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</si>
  <si>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</si>
  <si>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</si>
  <si>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</si>
  <si>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</si>
  <si>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</si>
  <si>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</si>
  <si>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</si>
  <si>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</si>
  <si>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</si>
  <si>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</si>
  <si>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</si>
  <si>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</si>
  <si>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</si>
  <si>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</si>
  <si>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</si>
  <si>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</si>
  <si>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</si>
  <si>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</si>
  <si>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</si>
  <si>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</si>
  <si>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</si>
  <si>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</si>
  <si>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</si>
  <si>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</si>
  <si>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</si>
  <si>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</si>
  <si>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</si>
  <si>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</si>
  <si>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</si>
  <si>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</si>
  <si>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</si>
  <si>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</si>
  <si>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</si>
  <si>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</si>
  <si>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</si>
  <si>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</si>
  <si>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</si>
  <si>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</si>
  <si>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</si>
  <si>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</si>
  <si>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</si>
  <si>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</si>
  <si>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</si>
  <si>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</si>
  <si>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</si>
  <si>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</si>
  <si>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</si>
  <si>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</si>
  <si>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</si>
  <si>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</si>
  <si>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</si>
  <si>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</si>
  <si>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</si>
  <si>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</si>
  <si>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</si>
  <si>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</si>
  <si>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</si>
  <si>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</si>
  <si>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</si>
  <si>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</si>
  <si>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</si>
  <si>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</si>
  <si>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</si>
  <si>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</si>
  <si>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</si>
  <si>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</si>
  <si>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</si>
  <si>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</si>
  <si>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</si>
  <si>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</si>
  <si>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</si>
  <si>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</si>
  <si>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</si>
  <si>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</si>
  <si>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</si>
  <si>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</si>
  <si>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</si>
  <si>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</si>
  <si>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</si>
  <si>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</si>
  <si>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</si>
  <si>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</si>
  <si>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</si>
  <si>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</si>
  <si>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</si>
  <si>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</si>
  <si>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</si>
  <si>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</si>
  <si>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</si>
  <si>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</si>
  <si>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</si>
  <si>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</si>
  <si>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</si>
  <si>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</si>
  <si>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</si>
  <si>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</si>
  <si>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</si>
  <si>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</si>
  <si>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</si>
  <si>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</si>
  <si>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</si>
  <si>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</si>
  <si>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</si>
  <si>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</si>
  <si>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</si>
  <si>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</si>
  <si>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</si>
  <si>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</si>
  <si>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</si>
  <si>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</si>
  <si>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</si>
  <si>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</si>
  <si>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</si>
  <si>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</si>
  <si>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</si>
  <si>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</si>
  <si>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</si>
  <si>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</si>
  <si>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</si>
  <si>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</si>
  <si>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</si>
  <si>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</si>
  <si>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</si>
  <si>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</si>
  <si>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</si>
  <si>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</si>
  <si>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</si>
  <si>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</si>
  <si>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</si>
  <si>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</si>
  <si>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</si>
  <si>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</si>
  <si>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</si>
  <si>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</si>
  <si>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</si>
  <si>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</si>
  <si>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</si>
  <si>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</si>
  <si>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</si>
  <si>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</si>
  <si>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</si>
  <si>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</si>
  <si>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</si>
  <si>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</si>
  <si>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</si>
  <si>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</si>
  <si>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</si>
  <si>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</si>
  <si>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</si>
  <si>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</si>
  <si>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</si>
  <si>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</si>
  <si>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</si>
  <si>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</si>
  <si>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</si>
  <si>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</si>
  <si>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</si>
  <si>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</si>
  <si>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</si>
  <si>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</si>
  <si>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</si>
  <si>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</si>
  <si>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</si>
  <si>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</si>
  <si>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</si>
  <si>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</si>
  <si>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</si>
  <si>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</si>
  <si>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</si>
  <si>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</si>
  <si>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</si>
  <si>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</si>
  <si>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</si>
  <si>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</si>
  <si>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</si>
  <si>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</si>
  <si>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</si>
  <si>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</si>
  <si>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</si>
  <si>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</si>
  <si>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</si>
  <si>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</si>
  <si>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</si>
  <si>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</si>
  <si>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</si>
  <si>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</si>
  <si>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</si>
  <si>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</si>
  <si>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</si>
  <si>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</si>
  <si>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</si>
  <si>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</si>
  <si>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</si>
  <si>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</si>
  <si>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</si>
  <si>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</si>
  <si>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</si>
  <si>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</si>
  <si>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</si>
  <si>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</si>
  <si>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</si>
  <si>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</si>
  <si>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</si>
  <si>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</si>
  <si>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</si>
  <si>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</si>
  <si>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</si>
  <si>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</si>
  <si>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</si>
  <si>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</si>
  <si>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</si>
  <si>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</si>
  <si>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</si>
  <si>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</si>
  <si>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</si>
  <si>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</si>
  <si>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</si>
  <si>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</si>
  <si>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</si>
  <si>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</si>
  <si>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</si>
  <si>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</si>
  <si>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</si>
  <si>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</si>
  <si>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</si>
  <si>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</si>
  <si>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</si>
  <si>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</si>
  <si>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</si>
  <si>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</si>
  <si>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</si>
  <si>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</si>
  <si>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</si>
  <si>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</si>
  <si>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</si>
  <si>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</si>
  <si>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</si>
  <si>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</si>
  <si>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</si>
  <si>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</si>
  <si>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</si>
  <si>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</si>
  <si>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</si>
  <si>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</si>
  <si>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</si>
  <si>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</si>
  <si>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</si>
  <si>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</si>
  <si>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</si>
  <si>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</si>
  <si>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</si>
  <si>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</si>
  <si>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</si>
  <si>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</si>
  <si>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</si>
  <si>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</si>
  <si>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</si>
  <si>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</si>
  <si>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</si>
  <si>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</si>
  <si>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</si>
  <si>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</si>
  <si>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</si>
  <si>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</si>
  <si>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</si>
  <si>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</si>
  <si>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</si>
  <si>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</si>
  <si>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</si>
  <si>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</si>
  <si>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</si>
  <si>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</si>
  <si>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</si>
  <si>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</si>
  <si>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</si>
  <si>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</si>
  <si>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</si>
  <si>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</si>
  <si>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</si>
  <si>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</si>
  <si>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</si>
  <si>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</si>
  <si>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</si>
  <si>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</si>
  <si>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</si>
  <si>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</si>
  <si>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</si>
  <si>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</si>
  <si>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</si>
  <si>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</si>
  <si>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</si>
  <si>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</si>
  <si>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</si>
  <si>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</si>
  <si>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</si>
  <si>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</si>
  <si>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</si>
  <si>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</si>
  <si>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</si>
  <si>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</si>
  <si>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</si>
  <si>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</si>
  <si>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</si>
  <si>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</si>
  <si>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</si>
  <si>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</si>
  <si>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</si>
  <si>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</si>
  <si>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</si>
  <si>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</si>
  <si>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</si>
  <si>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</si>
  <si>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</si>
  <si>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</si>
  <si>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</si>
  <si>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</si>
  <si>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</si>
  <si>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</si>
  <si>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</si>
  <si>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</si>
  <si>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</si>
  <si>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</si>
  <si>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</si>
  <si>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</si>
  <si>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</si>
  <si>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</si>
  <si>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</si>
  <si>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</si>
  <si>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</si>
  <si>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</si>
  <si>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</si>
  <si>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</si>
  <si>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</si>
  <si>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</si>
  <si>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</si>
  <si>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</si>
  <si>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</si>
  <si>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</si>
  <si>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</si>
  <si>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</si>
  <si>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</si>
  <si>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</si>
  <si>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</si>
  <si>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</si>
  <si>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</si>
  <si>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</si>
  <si>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</si>
  <si>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</si>
  <si>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</si>
  <si>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</si>
  <si>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</si>
  <si>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</si>
  <si>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</si>
  <si>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</si>
  <si>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</si>
  <si>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</si>
  <si>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</si>
  <si>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</si>
  <si>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</si>
  <si>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</si>
  <si>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</si>
  <si>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</si>
  <si>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</si>
  <si>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</si>
  <si>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</si>
  <si>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</si>
  <si>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</si>
  <si>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</si>
  <si>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</si>
  <si>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</si>
  <si>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</si>
  <si>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</si>
  <si>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</si>
  <si>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</si>
  <si>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</si>
  <si>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</si>
  <si>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</si>
  <si>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</si>
  <si>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</si>
  <si>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</si>
  <si>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</si>
  <si>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</si>
  <si>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</si>
  <si>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</si>
  <si>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</si>
  <si>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</si>
  <si>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</si>
  <si>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</si>
  <si>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</si>
  <si>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</si>
  <si>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</si>
  <si>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</si>
  <si>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</si>
  <si>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</si>
  <si>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</si>
  <si>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</si>
  <si>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</si>
  <si>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</si>
  <si>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</si>
  <si>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</si>
  <si>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</si>
  <si>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</si>
  <si>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</si>
  <si>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</si>
  <si>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</si>
  <si>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</si>
  <si>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</si>
  <si>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</si>
  <si>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</si>
  <si>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</si>
  <si>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</si>
  <si>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</si>
  <si>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</si>
  <si>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</si>
  <si>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</si>
  <si>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</si>
  <si>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</si>
  <si>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</si>
  <si>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</si>
  <si>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</si>
  <si>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</si>
  <si>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</si>
  <si>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</si>
  <si>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</si>
  <si>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</si>
  <si>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</si>
  <si>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</si>
  <si>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</si>
  <si>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</si>
  <si>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</si>
  <si>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</si>
  <si>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</si>
  <si>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</si>
  <si>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</si>
  <si>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</si>
  <si>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</si>
  <si>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</si>
  <si>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</si>
  <si>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</si>
  <si>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</si>
  <si>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</si>
  <si>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</si>
  <si>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</si>
  <si>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</si>
  <si>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</si>
  <si>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</si>
  <si>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</si>
  <si>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</si>
  <si>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</si>
  <si>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</si>
  <si>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</si>
  <si>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</si>
  <si>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</si>
  <si>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</si>
  <si>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</si>
  <si>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</si>
  <si>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</si>
  <si>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</si>
  <si>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</si>
  <si>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</si>
  <si>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</si>
  <si>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</si>
  <si>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</si>
  <si>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</si>
  <si>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</si>
  <si>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</si>
  <si>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</si>
  <si>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</si>
  <si>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</si>
  <si>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</si>
  <si>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</si>
  <si>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</si>
  <si>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</si>
  <si>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</si>
  <si>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</si>
  <si>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</si>
  <si>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</si>
  <si>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</si>
  <si>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</si>
  <si>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</si>
  <si>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</si>
  <si>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</si>
  <si>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</si>
  <si>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</si>
  <si>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</si>
  <si>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</si>
  <si>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</si>
  <si>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</si>
  <si>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</si>
  <si>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</si>
  <si>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</si>
  <si>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</si>
  <si>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</si>
  <si>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</si>
  <si>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</si>
  <si>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</si>
  <si>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</si>
  <si>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</si>
  <si>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</si>
  <si>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</si>
  <si>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</si>
  <si>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</si>
  <si>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</si>
  <si>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</si>
  <si>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</si>
  <si>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</si>
  <si>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</si>
  <si>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</si>
  <si>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</si>
  <si>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</si>
  <si>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</si>
  <si>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</si>
  <si>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</si>
  <si>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</si>
  <si>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</si>
  <si>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</si>
  <si>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</si>
  <si>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</si>
  <si>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</si>
  <si>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</si>
  <si>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</si>
  <si>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</si>
  <si>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</si>
  <si>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</si>
  <si>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</si>
  <si>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</si>
  <si>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</si>
  <si>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</si>
  <si>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</si>
  <si>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</si>
  <si>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</si>
  <si>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</si>
  <si>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</si>
  <si>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</si>
  <si>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</si>
  <si>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</si>
  <si>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</si>
  <si>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</si>
  <si>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</si>
  <si>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</si>
  <si>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</si>
  <si>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</si>
  <si>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</si>
  <si>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</si>
  <si>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</si>
  <si>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</si>
  <si>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</si>
  <si>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</si>
  <si>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</si>
  <si>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</si>
  <si>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</si>
  <si>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</si>
  <si>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</si>
  <si>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</si>
  <si>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</si>
  <si>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</si>
  <si>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</si>
  <si>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</si>
  <si>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</si>
  <si>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</si>
  <si>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</si>
  <si>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</si>
  <si>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</si>
  <si>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</si>
  <si>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</si>
  <si>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</si>
  <si>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</si>
  <si>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</si>
  <si>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</si>
  <si>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</si>
  <si>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</si>
  <si>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</si>
  <si>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</si>
  <si>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</si>
  <si>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</si>
  <si>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</si>
  <si>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</si>
  <si>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</si>
  <si>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</si>
  <si>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</si>
  <si>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</si>
  <si>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</si>
  <si>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</si>
  <si>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</si>
  <si>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</si>
  <si>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</si>
  <si>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</si>
  <si>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</si>
  <si>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</si>
  <si>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</si>
  <si>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</si>
  <si>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</si>
  <si>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</si>
  <si>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</si>
  <si>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</si>
  <si>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</si>
  <si>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</si>
  <si>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</si>
  <si>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</si>
  <si>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</si>
  <si>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</si>
  <si>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</si>
  <si>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</si>
  <si>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</si>
  <si>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</si>
  <si>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</si>
  <si>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</si>
  <si>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</si>
  <si>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</si>
  <si>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</si>
  <si>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</si>
  <si>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</si>
  <si>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</si>
  <si>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</si>
  <si>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</si>
  <si>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</si>
  <si>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</si>
  <si>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</si>
  <si>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</si>
  <si>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</si>
  <si>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</si>
  <si>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</si>
  <si>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</si>
  <si>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</si>
  <si>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</si>
  <si>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</si>
  <si>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</si>
  <si>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</si>
  <si>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</si>
  <si>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</si>
  <si>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</si>
  <si>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</si>
  <si>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</si>
  <si>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</si>
  <si>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</si>
  <si>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</si>
  <si>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</si>
  <si>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</si>
  <si>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</si>
  <si>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</si>
  <si>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</si>
  <si>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</si>
  <si>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</si>
  <si>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</si>
  <si>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</si>
  <si>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</si>
  <si>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</si>
  <si>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</si>
  <si>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</si>
  <si>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</si>
  <si>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</si>
  <si>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</si>
  <si>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</si>
  <si>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</si>
  <si>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</si>
  <si>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</si>
  <si>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</si>
  <si>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</si>
  <si>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</si>
  <si>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</si>
  <si>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</si>
  <si>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</si>
  <si>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</si>
  <si>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</si>
  <si>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</si>
  <si>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</si>
  <si>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</si>
  <si>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</si>
  <si>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</si>
  <si>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</si>
  <si>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</si>
  <si>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</si>
  <si>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</si>
  <si>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</si>
  <si>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</si>
  <si>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</si>
  <si>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</si>
  <si>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</si>
  <si>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</si>
  <si>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</si>
  <si>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</si>
  <si>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</si>
  <si>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</si>
  <si>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</si>
  <si>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</si>
  <si>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</si>
  <si>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</si>
  <si>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</si>
  <si>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</si>
  <si>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</si>
  <si>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</si>
  <si>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</si>
  <si>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</si>
  <si>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</si>
  <si>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</si>
  <si>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</si>
  <si>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</si>
  <si>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</si>
  <si>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</si>
  <si>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</si>
  <si>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</si>
  <si>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</si>
  <si>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</si>
  <si>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</si>
  <si>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</si>
  <si>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</si>
  <si>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</si>
  <si>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</si>
  <si>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</si>
  <si>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</si>
  <si>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</si>
  <si>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</si>
  <si>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</si>
  <si>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</si>
  <si>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</si>
  <si>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</si>
  <si>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</si>
  <si>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</si>
  <si>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</si>
  <si>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</si>
  <si>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</si>
  <si>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</si>
  <si>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</si>
  <si>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</si>
  <si>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</si>
  <si>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</si>
  <si>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</si>
  <si>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</si>
  <si>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</si>
  <si>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</si>
  <si>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</si>
  <si>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</si>
  <si>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</si>
  <si>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</si>
  <si>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</si>
  <si>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</si>
  <si>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</si>
  <si>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</si>
  <si>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</si>
  <si>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</si>
  <si>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</si>
  <si>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</si>
  <si>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</si>
  <si>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</si>
  <si>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</si>
  <si>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</si>
  <si>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</si>
  <si>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</si>
  <si>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</si>
  <si>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</si>
  <si>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</si>
  <si>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</si>
  <si>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</si>
  <si>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</si>
  <si>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</si>
  <si>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</si>
  <si>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</si>
  <si>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</si>
  <si>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</si>
  <si>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</si>
  <si>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</si>
  <si>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</si>
  <si>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</si>
  <si>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</si>
  <si>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</si>
  <si>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</si>
  <si>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</si>
  <si>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</si>
  <si>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</si>
  <si>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</si>
  <si>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</si>
  <si>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</si>
  <si>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</si>
  <si>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</si>
  <si>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</si>
  <si>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</si>
  <si>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</si>
  <si>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</si>
  <si>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</si>
  <si>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</si>
  <si>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</si>
  <si>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</si>
  <si>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</si>
  <si>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</si>
  <si>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</si>
  <si>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</si>
  <si>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</si>
  <si>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</si>
  <si>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</si>
  <si>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</si>
  <si>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</si>
  <si>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</si>
  <si>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</si>
  <si>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</si>
  <si>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</si>
  <si>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</si>
  <si>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</si>
  <si>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</si>
  <si>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</si>
  <si>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</si>
  <si>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</si>
  <si>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</si>
  <si>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</si>
  <si>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</si>
  <si>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</si>
  <si>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</si>
  <si>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</si>
  <si>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</si>
  <si>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</si>
  <si>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</si>
  <si>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</si>
  <si>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</si>
  <si>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</si>
  <si>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</si>
  <si>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</si>
  <si>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</si>
  <si>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</si>
  <si>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</si>
  <si>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</si>
  <si>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</si>
  <si>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</si>
  <si>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</si>
  <si>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</si>
  <si>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</si>
  <si>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</si>
  <si>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</si>
  <si>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</si>
  <si>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</si>
  <si>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</si>
  <si>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</si>
  <si>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</si>
  <si>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</si>
  <si>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</si>
  <si>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</si>
  <si>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</si>
  <si>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</si>
  <si>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</si>
  <si>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</si>
  <si>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</si>
  <si>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</si>
  <si>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</si>
  <si>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</si>
  <si>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</si>
  <si>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</si>
  <si>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</si>
  <si>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</si>
  <si>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</si>
  <si>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</si>
  <si>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</si>
  <si>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</si>
  <si>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</si>
  <si>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</si>
  <si>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</si>
  <si>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</si>
  <si>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</si>
  <si>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</si>
  <si>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</si>
  <si>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</si>
  <si>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</si>
  <si>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</si>
  <si>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</si>
  <si>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</si>
  <si>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</si>
  <si>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</si>
  <si>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</si>
  <si>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</si>
  <si>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</si>
  <si>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</si>
  <si>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</si>
  <si>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</si>
  <si>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</si>
  <si>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</si>
  <si>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</si>
  <si>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</si>
  <si>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</si>
  <si>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</si>
  <si>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</si>
  <si>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</si>
  <si>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</si>
  <si>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</si>
  <si>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</si>
  <si>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</si>
  <si>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</si>
  <si>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</si>
  <si>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</si>
  <si>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</si>
  <si>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</si>
  <si>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</si>
  <si>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</si>
  <si>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</si>
  <si>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</si>
  <si>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</si>
  <si>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</si>
  <si>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</si>
  <si>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</si>
  <si>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</si>
  <si>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</si>
  <si>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</si>
  <si>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</si>
  <si>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</si>
  <si>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</si>
  <si>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</si>
  <si>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</si>
  <si>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</si>
  <si>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</si>
  <si>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</si>
  <si>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</si>
  <si>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</si>
  <si>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</si>
  <si>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</si>
  <si>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</si>
  <si>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</si>
  <si>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</si>
  <si>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</si>
  <si>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</si>
  <si>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</si>
  <si>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</si>
  <si>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</si>
  <si>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</si>
  <si>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</si>
  <si>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</si>
  <si>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</si>
  <si>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</si>
  <si>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</si>
  <si>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</si>
  <si>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</si>
  <si>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</si>
  <si>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</si>
  <si>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</si>
  <si>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</si>
  <si>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</si>
  <si>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</si>
  <si>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</si>
  <si>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</si>
  <si>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</si>
  <si>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</si>
  <si>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</si>
  <si>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</si>
  <si>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</si>
  <si>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</si>
  <si>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</si>
  <si>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</si>
  <si>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</si>
  <si>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</si>
  <si>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</si>
  <si>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</si>
  <si>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</si>
  <si>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</si>
  <si>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</si>
  <si>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</si>
  <si>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</si>
  <si>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</si>
  <si>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</si>
  <si>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</si>
  <si>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</si>
  <si>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</si>
  <si>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</si>
  <si>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</si>
  <si>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</si>
  <si>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</si>
  <si>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</si>
  <si>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</si>
  <si>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</si>
  <si>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</si>
  <si>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</si>
  <si>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</si>
  <si>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</si>
  <si>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</si>
  <si>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</si>
  <si>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</si>
  <si>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</si>
  <si>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</si>
  <si>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</si>
  <si>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</si>
  <si>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</si>
  <si>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</si>
  <si>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</si>
  <si>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</si>
  <si>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</si>
  <si>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</si>
  <si>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</si>
  <si>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</si>
  <si>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</si>
  <si>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</si>
  <si>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</si>
  <si>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</si>
  <si>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</si>
  <si>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</si>
  <si>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</si>
  <si>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</si>
  <si>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</si>
  <si>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</si>
  <si>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</si>
  <si>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</si>
  <si>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</si>
  <si>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</si>
  <si>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</si>
  <si>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</si>
  <si>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</si>
  <si>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</si>
  <si>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</si>
  <si>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</si>
  <si>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</si>
  <si>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</si>
  <si>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</si>
  <si>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</si>
  <si>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</si>
  <si>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</si>
  <si>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</si>
  <si>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</si>
  <si>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</si>
  <si>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</si>
  <si>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</si>
  <si>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</si>
  <si>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</si>
  <si>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</si>
  <si>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</si>
  <si>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</si>
  <si>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</si>
  <si>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</si>
  <si>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</si>
  <si>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</si>
  <si>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</si>
  <si>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</si>
  <si>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</si>
  <si>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</si>
  <si>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</si>
  <si>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</si>
  <si>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</si>
  <si>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</si>
  <si>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</si>
  <si>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</si>
  <si>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</si>
  <si>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</si>
  <si>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</si>
  <si>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</si>
  <si>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</si>
  <si>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</si>
  <si>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</si>
  <si>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</si>
  <si>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</si>
  <si>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</si>
  <si>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</si>
  <si>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</si>
  <si>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</si>
  <si>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</si>
  <si>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</si>
  <si>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</si>
  <si>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</si>
  <si>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</si>
  <si>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</si>
  <si>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</si>
  <si>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</si>
  <si>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</si>
  <si>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</si>
  <si>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</si>
  <si>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</si>
  <si>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</si>
  <si>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</si>
  <si>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</si>
  <si>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</si>
  <si>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</si>
  <si>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</si>
  <si>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</si>
  <si>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</si>
  <si>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</si>
  <si>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</si>
  <si>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</si>
  <si>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</si>
  <si>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</si>
  <si>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</si>
  <si>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</si>
  <si>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</si>
  <si>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</si>
  <si>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</si>
  <si>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</si>
  <si>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</si>
  <si>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</si>
  <si>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</si>
  <si>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</si>
  <si>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</si>
  <si>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</si>
  <si>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</si>
  <si>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</si>
  <si>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</si>
  <si>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</si>
  <si>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</si>
  <si>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</si>
  <si>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</si>
  <si>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</si>
  <si>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</si>
  <si>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</si>
  <si>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</si>
  <si>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</si>
  <si>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</si>
  <si>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</si>
  <si>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</si>
  <si>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</si>
  <si>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</si>
  <si>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</si>
  <si>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</si>
  <si>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</si>
  <si>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</si>
  <si>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</si>
  <si>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</si>
  <si>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</si>
  <si>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</si>
  <si>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</si>
  <si>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</si>
  <si>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</si>
  <si>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</si>
  <si>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</si>
  <si>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</si>
  <si>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</si>
  <si>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</si>
  <si>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</si>
  <si>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</si>
  <si>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</si>
  <si>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</si>
  <si>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</si>
  <si>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</si>
  <si>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</si>
  <si>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</si>
  <si>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</si>
  <si>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</si>
  <si>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</si>
  <si>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</si>
  <si>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</si>
  <si>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</si>
  <si>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</si>
  <si>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</si>
  <si>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</si>
  <si>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</si>
  <si>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</si>
  <si>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</si>
  <si>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</si>
  <si>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</si>
  <si>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</si>
  <si>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</si>
  <si>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</si>
  <si>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</si>
  <si>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</si>
  <si>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</si>
  <si>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</si>
  <si>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</si>
  <si>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</si>
  <si>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</si>
  <si>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</si>
  <si>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</si>
  <si>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</si>
  <si>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</si>
  <si>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</si>
  <si>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</si>
  <si>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</si>
  <si>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</si>
  <si>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</si>
  <si>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</si>
  <si>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</si>
  <si>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</si>
  <si>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</si>
  <si>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</si>
  <si>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</si>
  <si>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</si>
  <si>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</si>
  <si>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</si>
  <si>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</si>
  <si>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</si>
  <si>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</si>
  <si>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</si>
  <si>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</si>
  <si>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</si>
  <si>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</si>
  <si>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</si>
  <si>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</si>
  <si>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</si>
  <si>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</si>
  <si>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</si>
  <si>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</si>
  <si>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</si>
  <si>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</si>
  <si>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</si>
  <si>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</si>
  <si>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</si>
  <si>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</si>
  <si>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</si>
  <si>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</si>
  <si>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</si>
  <si>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</si>
  <si>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</si>
  <si>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</si>
  <si>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</si>
  <si>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</si>
  <si>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</si>
  <si>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</si>
  <si>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</si>
  <si>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</si>
  <si>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</si>
  <si>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</si>
  <si>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</si>
  <si>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</si>
  <si>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</si>
  <si>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</si>
  <si>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</si>
  <si>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</si>
  <si>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</si>
  <si>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</si>
  <si>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</si>
  <si>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</si>
  <si>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</si>
  <si>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</si>
  <si>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</si>
  <si>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</si>
  <si>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</si>
  <si>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</si>
  <si>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</si>
  <si>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</si>
  <si>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</si>
  <si>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</si>
  <si>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</si>
  <si>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</si>
  <si>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</si>
  <si>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</si>
  <si>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</si>
  <si>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</si>
  <si>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</si>
  <si>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</si>
  <si>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</si>
  <si>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</si>
  <si>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</si>
  <si>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</si>
  <si>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</si>
  <si>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</si>
  <si>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</si>
  <si>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</si>
  <si>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</si>
  <si>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</si>
  <si>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</si>
  <si>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</si>
  <si>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</si>
  <si>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</si>
  <si>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</si>
  <si>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</si>
  <si>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</si>
  <si>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</si>
  <si>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</si>
  <si>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</si>
  <si>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</si>
  <si>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</si>
  <si>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</si>
  <si>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</si>
  <si>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</si>
  <si>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</si>
  <si>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</si>
  <si>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</si>
  <si>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</si>
  <si>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</si>
  <si>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</si>
  <si>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</si>
  <si>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</si>
  <si>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</si>
  <si>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</si>
  <si>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</si>
  <si>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</si>
  <si>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</si>
  <si>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</si>
  <si>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</si>
  <si>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</si>
  <si>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</si>
  <si>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</si>
  <si>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</si>
  <si>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</si>
  <si>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</si>
  <si>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</si>
  <si>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</si>
  <si>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</si>
  <si>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</si>
  <si>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</si>
  <si>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</si>
  <si>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</si>
  <si>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</si>
  <si>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</si>
  <si>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</si>
  <si>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</si>
  <si>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</si>
  <si>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</si>
  <si>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</si>
  <si>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</si>
  <si>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</si>
  <si>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</si>
  <si>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</si>
  <si>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</si>
  <si>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</si>
  <si>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</si>
  <si>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</si>
  <si>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</si>
  <si>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</si>
  <si>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</si>
  <si>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</si>
  <si>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</si>
  <si>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</si>
  <si>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</si>
  <si>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</si>
  <si>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</si>
  <si>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</si>
  <si>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</si>
  <si>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</si>
  <si>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</si>
  <si>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</si>
  <si>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</si>
  <si>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</si>
  <si>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</si>
  <si>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</si>
  <si>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</si>
  <si>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</si>
  <si>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</si>
  <si>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</si>
  <si>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</si>
  <si>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</si>
  <si>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</si>
  <si>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</si>
  <si>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</si>
  <si>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</si>
  <si>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</si>
  <si>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</si>
  <si>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</si>
  <si>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</si>
  <si>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</si>
  <si>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</si>
  <si>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</si>
  <si>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</si>
  <si>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</si>
  <si>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</si>
  <si>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</si>
  <si>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</si>
  <si>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</si>
  <si>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</si>
  <si>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</si>
  <si>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</si>
  <si>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</si>
  <si>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</si>
  <si>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</si>
  <si>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</si>
  <si>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</si>
  <si>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</si>
  <si>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</si>
  <si>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</si>
  <si>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</si>
  <si>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</si>
  <si>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</si>
  <si>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</si>
  <si>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</si>
  <si>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</si>
  <si>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</si>
  <si>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</si>
  <si>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</si>
  <si>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</si>
  <si>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</si>
  <si>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</si>
  <si>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</si>
  <si>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</si>
  <si>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</si>
  <si>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</si>
  <si>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</si>
  <si>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</si>
  <si>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</si>
  <si>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</si>
  <si>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</si>
  <si>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</si>
  <si>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</si>
  <si>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</si>
  <si>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</si>
  <si>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</si>
  <si>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</si>
  <si>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</si>
  <si>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</si>
  <si>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</si>
  <si>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</si>
  <si>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</si>
  <si>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</si>
  <si>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</si>
  <si>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</si>
  <si>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</si>
  <si>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</si>
  <si>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</si>
  <si>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</si>
  <si>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</si>
  <si>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</si>
  <si>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</si>
  <si>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</si>
  <si>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</si>
  <si>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</si>
  <si>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</si>
  <si>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</si>
  <si>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</si>
  <si>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</si>
  <si>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</si>
  <si>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</si>
  <si>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</si>
  <si>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</si>
  <si>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</si>
  <si>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</si>
  <si>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</si>
  <si>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</si>
  <si>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</si>
  <si>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</si>
  <si>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</si>
  <si>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</si>
  <si>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</si>
  <si>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</si>
  <si>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</si>
  <si>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</si>
  <si>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</si>
  <si>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</si>
  <si>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</si>
  <si>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</si>
  <si>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</si>
  <si>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</si>
  <si>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</si>
  <si>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</si>
  <si>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</si>
  <si>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</si>
  <si>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</si>
  <si>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</si>
  <si>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</si>
  <si>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</si>
  <si>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</si>
  <si>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</si>
  <si>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</si>
  <si>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</si>
  <si>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</si>
  <si>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</si>
  <si>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</si>
  <si>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</si>
  <si>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</si>
  <si>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</si>
  <si>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</si>
  <si>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</si>
  <si>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</si>
  <si>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</si>
  <si>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</si>
  <si>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</si>
  <si>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</si>
  <si>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</si>
  <si>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</si>
  <si>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</si>
  <si>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</si>
  <si>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</si>
  <si>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</si>
  <si>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</si>
  <si>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</si>
  <si>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</si>
  <si>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</si>
  <si>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</si>
  <si>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</si>
  <si>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</si>
  <si>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</si>
  <si>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</si>
  <si>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</si>
  <si>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</si>
  <si>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</si>
  <si>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</si>
  <si>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</si>
  <si>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</si>
  <si>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</si>
  <si>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</si>
  <si>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</si>
  <si>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</si>
  <si>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</si>
  <si>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</si>
  <si>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</si>
  <si>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</si>
  <si>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</si>
  <si>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</si>
  <si>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</si>
  <si>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</si>
  <si>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</si>
  <si>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</si>
  <si>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</si>
  <si>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</si>
  <si>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</si>
  <si>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</si>
  <si>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</si>
  <si>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</si>
  <si>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</si>
  <si>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</si>
  <si>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</si>
  <si>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</si>
  <si>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</si>
  <si>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</si>
  <si>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</si>
  <si>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</si>
  <si>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</si>
  <si>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</si>
  <si>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</si>
  <si>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</si>
  <si>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</si>
  <si>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</si>
  <si>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</si>
  <si>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</si>
  <si>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</si>
  <si>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</si>
  <si>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</si>
  <si>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</si>
  <si>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</si>
  <si>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底商</t>
  </si>
  <si>
    <t>2-3层商业</t>
  </si>
  <si>
    <t>2-3层商业</t>
    <phoneticPr fontId="7" type="noConversion"/>
  </si>
  <si>
    <t>成新度</t>
  </si>
  <si>
    <t>收益法</t>
  </si>
  <si>
    <t>估价对象容积率</t>
  </si>
  <si>
    <t>楼层修正</t>
  </si>
  <si>
    <t>不临65条商业街</t>
  </si>
  <si>
    <t>与级别开发程度不一致</t>
  </si>
  <si>
    <t>通路</t>
  </si>
  <si>
    <t>通电</t>
  </si>
  <si>
    <t>通讯</t>
  </si>
  <si>
    <t>通上水</t>
  </si>
  <si>
    <t>通下水</t>
  </si>
  <si>
    <t>通热</t>
  </si>
  <si>
    <t>平整</t>
  </si>
  <si>
    <t>未包含在土地购买价格中</t>
  </si>
  <si>
    <t>全部缴纳</t>
  </si>
  <si>
    <t>已包含在土地取得成本中</t>
  </si>
  <si>
    <t>钢混</t>
  </si>
  <si>
    <t>非生产用房</t>
  </si>
  <si>
    <t>否</t>
  </si>
  <si>
    <t>押一</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</si>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</sst>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估价对象为北京市房地产，为所有。根据《国有土地使用证》[]，估价对象（分摊）出让国有建设用地使用权面积为0平方米，建筑面积为339.66平方米。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估价对象为北京市房地产,属开发建设的，该项目尚在开发建设中。根据《国有土地使用证》[]，估价对象（分摊）出让国有建设用地使用权面积为0平方米，规划建筑面积为339.66平方米。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2023年10月24日</v>
      </c>
    </row>
    <row r="13" spans="1:2" s="1203" customFormat="1">
      <c r="A13" s="1201" t="s">
        <v>529</v>
      </c>
      <c r="B13" s="1202" t="str">
        <f>'预评函-1'!A18</f>
        <v>本次估价的“房地产价值”是指在正常市场情况下，在价值时点2023年10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339.66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45223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3.15</v>
      </c>
      <c r="D5" s="3025">
        <f>IF(ISERROR(ROUND(POWER(1+E5,A5-C5)*(POWER(1+E5,C5)-1)/(POWER(1+E5,A5)-1),3)),0,ROUND(POWER(1+E5,A5-C5)*(POWER(1+E5,C5)-1)/(POWER(1+E5,A5)-1),4))</f>
        <v>0.14680000000000001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13.16</v>
      </c>
      <c r="D6" s="3025">
        <f>IF(ISERROR(ROUND(POWER(1+E6,A6-C6)*(POWER(1+E6,C6)-1)/(POWER(1+E6,A6)-1),3)),0,ROUND(POWER(1+E6,A6-C6)*(POWER(1+E6,C6)-1)/(POWER(1+E6,A6)-1),4))</f>
        <v>0.46920000000000001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33.17</v>
      </c>
      <c r="D7" s="3025">
        <f>IF(ISERROR(ROUND(POWER(1+E7,A7-C7)*(POWER(1+E7,C7)-1)/(POWER(1+E7,A7)-1),3)),0,ROUND(POWER(1+E7,A7-C7)*(POWER(1+E7,C7)-1)/(POWER(1+E7,A7)-1),4))</f>
        <v>0.77769999999999995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50" sqref="G5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3380</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52524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339.66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339.66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339.66</v>
      </c>
      <c r="H5" s="13">
        <f t="shared" ref="H5:AT5" si="0">SUM(H13:H656)</f>
        <v>339.66</v>
      </c>
      <c r="I5" s="13">
        <f t="shared" si="0"/>
        <v>339.66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339.66</v>
      </c>
      <c r="BA5" s="15">
        <f t="shared" si="1"/>
        <v>339.66</v>
      </c>
      <c r="BB5" s="15">
        <f t="shared" si="1"/>
        <v>339.66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339.66</v>
      </c>
      <c r="H13" s="17">
        <f>SUMIF(I$12:AB$12,"总值",I13:AB13)</f>
        <v>339.66</v>
      </c>
      <c r="I13" s="1626">
        <v>339.66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339.66</v>
      </c>
      <c r="BA13" s="13">
        <f>SUM(BB13:BK13)</f>
        <v>339.66</v>
      </c>
      <c r="BB13" s="13">
        <f>IF($D13="是",I13-J13,0)</f>
        <v>339.66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339.66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339.66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339.66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339.66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339.66</v>
      </c>
      <c r="F19" s="2795">
        <v>339.66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339.66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339.66</v>
      </c>
      <c r="F27" s="1140">
        <f>IF(SUM(F19:F26)=E8,SUM(F19:F26),"地上面积有误")</f>
        <v>339.66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339.66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339.66</v>
      </c>
      <c r="F31" s="677">
        <f>F27+F30</f>
        <v>339.66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U6" activePane="bottomRight" state="frozen"/>
      <selection activeCell="C50" sqref="C50"/>
      <selection pane="topRight" activeCell="C50" sqref="C50"/>
      <selection pane="bottomLeft" activeCell="C50" sqref="C50"/>
      <selection pane="bottomRight" activeCell="AP55" sqref="AP5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2-3层商业</v>
      </c>
      <c r="B6" s="1713" t="str">
        <f>IF(A6=0,"","经营性")</f>
        <v>经营性</v>
      </c>
      <c r="C6" s="1714" t="s">
        <v>673</v>
      </c>
      <c r="D6" s="858">
        <f>SUMIF(项目基本情况!C$12:I$12,C6,项目基本情况!C$14:I$14)</f>
        <v>40</v>
      </c>
      <c r="E6" s="857">
        <f>IF(B6="","",SUMIF(项目基本情况!C$12:I$12,C6,项目基本情况!C$13:I$13))</f>
        <v>52524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339.66</v>
      </c>
      <c r="L6" s="733">
        <v>4000</v>
      </c>
      <c r="M6" s="67">
        <f t="shared" ref="M6:M14" si="0">ROUND(K6*L6/10000,0)</f>
        <v>136</v>
      </c>
      <c r="N6" s="731">
        <v>0.82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0.82</v>
      </c>
      <c r="Z6" s="72"/>
      <c r="AA6" s="66"/>
      <c r="AB6" s="66"/>
      <c r="AC6" s="1040"/>
      <c r="AD6" s="73"/>
      <c r="AE6" s="1041">
        <f ca="1">IF(AN6="",0,SUMIF(INDIRECT("'"&amp;AN6&amp;"'"&amp;"!E:E"),$AE$5,INDIRECT("'"&amp;AN6&amp;"'"&amp;"!F:F")))</f>
        <v>20</v>
      </c>
      <c r="AF6" s="1348"/>
      <c r="AG6" s="138">
        <f>IF(AF6="",0,AE6-AF6)</f>
        <v>0</v>
      </c>
      <c r="AH6" s="74"/>
      <c r="AI6" s="76">
        <v>365</v>
      </c>
      <c r="AJ6" s="77"/>
      <c r="AK6" s="78">
        <v>0.01</v>
      </c>
      <c r="AL6" s="79">
        <v>1E-3</v>
      </c>
      <c r="AM6" s="80">
        <v>0.01</v>
      </c>
      <c r="AN6" s="1715" t="s">
        <v>3389</v>
      </c>
      <c r="AO6" s="52">
        <f ca="1">SUMIF(INDIRECT("'"&amp;AN6&amp;"'"&amp;"!A:A"),"总价",INDIRECT("'"&amp;AN6&amp;"'"&amp;"!B:B"))</f>
        <v>662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339.66</v>
      </c>
      <c r="L16" s="93">
        <f>ROUND(M16*10000/SUM(K6:K14),0)</f>
        <v>4004</v>
      </c>
      <c r="M16" s="93">
        <f>SUM(M6:M14)</f>
        <v>136</v>
      </c>
      <c r="N16" s="94">
        <f>ROUND(SUMPRODUCT(M6:M14,N6:N14)/M16,3)</f>
        <v>0.82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0.81499999999999995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190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339.66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1056</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339.66</v>
      </c>
      <c r="C14" s="2518"/>
      <c r="D14" s="2518">
        <f ca="1">结果表!G19</f>
        <v>1056</v>
      </c>
      <c r="E14" s="2518">
        <f ca="1">ROUND(D14*10000/B14,0)</f>
        <v>31090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3408</v>
      </c>
      <c r="D4" s="1756" t="s">
        <v>3389</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339.66</v>
      </c>
      <c r="M18" s="302">
        <f>IF(C1="",'数据-汇总表'!E3,SUMIF(项目类型,C1,'数据-汇总表'!E17:E26))</f>
        <v>339.66</v>
      </c>
    </row>
    <row r="19" spans="1:36" ht="15">
      <c r="A19" s="1761" t="s">
        <v>1290</v>
      </c>
      <c r="B19" s="1762" t="s">
        <v>1291</v>
      </c>
      <c r="C19" s="134">
        <f ca="1">SUMIF(INDIRECT("'"&amp;C4&amp;"'"&amp;"!A:A"),结果表!B19,INDIRECT("'"&amp;C4&amp;"'"&amp;"!B:B"))</f>
        <v>1646</v>
      </c>
      <c r="D19" s="135">
        <f ca="1">SUMIF(INDIRECT("'"&amp;D4&amp;"'"&amp;"!A:A"),结果表!B19,INDIRECT("'"&amp;D4&amp;"'"&amp;"!B:B"))</f>
        <v>662</v>
      </c>
      <c r="E19" s="1761" t="s">
        <v>1292</v>
      </c>
      <c r="F19" s="1762" t="s">
        <v>1291</v>
      </c>
      <c r="G19" s="136">
        <f ca="1">ROUND(C19*$C$18+D19*$D$18,0)</f>
        <v>1056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48460</v>
      </c>
      <c r="D20" s="138">
        <f ca="1">SUMIF(INDIRECT("'"&amp;D4&amp;"'"&amp;"!A:A"),结果表!B20,INDIRECT("'"&amp;D4&amp;"'"&amp;"!B:B"))</f>
        <v>19490</v>
      </c>
      <c r="E20" s="1764"/>
      <c r="F20" s="1026" t="s">
        <v>1295</v>
      </c>
      <c r="G20" s="139">
        <f ca="1">ROUND(C20*$C$18+D20*$D$18,0)</f>
        <v>31078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1.4864048338368581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31078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45223</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t="e">
        <f ca="1">H118</f>
        <v>#REF!</v>
      </c>
      <c r="I101" s="129"/>
    </row>
    <row r="102" spans="1:35" ht="18.75" customHeight="1">
      <c r="A102" s="3585" t="s">
        <v>1433</v>
      </c>
      <c r="B102" s="2584" t="s">
        <v>1432</v>
      </c>
      <c r="C102" s="2585">
        <f ca="1">IF(D32="楼面单价",ROUND(C19,0),C19)</f>
        <v>1646</v>
      </c>
      <c r="D102" s="2586">
        <f ca="1">IF(D32="楼面单价",ROUND(D19,0),D19)</f>
        <v>662</v>
      </c>
      <c r="E102" s="3626"/>
      <c r="F102" s="3583"/>
      <c r="G102" s="1827" t="s">
        <v>1434</v>
      </c>
      <c r="H102" s="2555" t="e">
        <f ca="1">I118</f>
        <v>#REF!</v>
      </c>
      <c r="I102" s="129"/>
    </row>
    <row r="103" spans="1:35" ht="42.75" customHeight="1">
      <c r="A103" s="3585"/>
      <c r="B103" s="2584" t="s">
        <v>1434</v>
      </c>
      <c r="C103" s="2587">
        <f ca="1">C20</f>
        <v>48460</v>
      </c>
      <c r="D103" s="2588">
        <f ca="1">D20</f>
        <v>19490</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339.66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72" sqref="F7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48460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1054</v>
      </c>
      <c r="D5" s="211" t="s">
        <v>1469</v>
      </c>
      <c r="E5" s="212" t="s">
        <v>1470</v>
      </c>
      <c r="F5" s="212" t="s">
        <v>1471</v>
      </c>
      <c r="G5" s="213"/>
    </row>
    <row r="6" spans="1:9" s="214" customFormat="1" ht="13.5" customHeight="1">
      <c r="A6" s="778" t="s">
        <v>1472</v>
      </c>
      <c r="B6" s="215" t="s">
        <v>1473</v>
      </c>
      <c r="C6" s="216">
        <f>基准地价修正!B2</f>
        <v>1016</v>
      </c>
      <c r="D6" s="217"/>
      <c r="E6" s="218"/>
      <c r="F6" s="218"/>
      <c r="G6" s="219"/>
    </row>
    <row r="7" spans="1:9" s="214" customFormat="1" ht="13.5" customHeight="1">
      <c r="A7" s="778" t="s">
        <v>1474</v>
      </c>
      <c r="B7" s="215" t="s">
        <v>1475</v>
      </c>
      <c r="C7" s="220">
        <f>ROUND(C6*F7,0)</f>
        <v>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190</v>
      </c>
      <c r="F9" s="221"/>
      <c r="G9" s="1857" t="s">
        <v>3402</v>
      </c>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339.66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339.66</v>
      </c>
      <c r="E19" s="211">
        <f>'数据-取费表'!B31</f>
        <v>200</v>
      </c>
      <c r="F19" s="231"/>
      <c r="G19" s="1856" t="s">
        <v>3403</v>
      </c>
    </row>
    <row r="20" spans="1:7" s="214" customFormat="1" ht="13.5" customHeight="1">
      <c r="A20" s="255" t="s">
        <v>1493</v>
      </c>
      <c r="B20" s="210" t="s">
        <v>1494</v>
      </c>
      <c r="C20" s="232">
        <f ca="1">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215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215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136</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339.66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30</v>
      </c>
      <c r="D45" s="235">
        <f ca="1">C47</f>
        <v>4.0000000000000001E-3</v>
      </c>
      <c r="E45" s="236" t="s">
        <v>1539</v>
      </c>
      <c r="F45" s="246">
        <f ca="1">F27</f>
        <v>0.2</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166</v>
      </c>
      <c r="D51" s="232"/>
      <c r="E51" s="232"/>
      <c r="F51" s="264"/>
      <c r="G51" s="234" t="s">
        <v>1560</v>
      </c>
    </row>
    <row r="52" spans="1:7" s="208" customFormat="1" ht="16.5" thickBot="1">
      <c r="A52" s="265" t="s">
        <v>1561</v>
      </c>
      <c r="B52" s="266"/>
      <c r="C52" s="267">
        <f ca="1">C31+C51</f>
        <v>1646</v>
      </c>
      <c r="D52" s="266"/>
      <c r="E52" s="266"/>
      <c r="F52" s="266"/>
      <c r="G52" s="268"/>
    </row>
    <row r="55" spans="1:7" ht="15">
      <c r="B55" s="270" t="s">
        <v>1562</v>
      </c>
      <c r="C55" s="271"/>
    </row>
    <row r="56" spans="1:7">
      <c r="B56" s="273" t="s">
        <v>802</v>
      </c>
      <c r="C56" s="275">
        <f ca="1">1-C57</f>
        <v>0.89900000000000002</v>
      </c>
    </row>
    <row r="57" spans="1:7">
      <c r="B57" s="273" t="s">
        <v>803</v>
      </c>
      <c r="C57" s="274">
        <f ca="1">ROUND(C51/C52,3)</f>
        <v>0.10100000000000001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185.68790000000001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5467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67932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67932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190</v>
      </c>
      <c r="F9" s="221"/>
      <c r="G9" s="226"/>
    </row>
    <row r="10" spans="1:8" s="214" customFormat="1" ht="13.5" customHeight="1">
      <c r="A10" s="779" t="s">
        <v>356</v>
      </c>
      <c r="B10" s="224" t="s">
        <v>1480</v>
      </c>
      <c r="C10" s="225">
        <f ca="1">ROUND(D10*E10,0)</f>
        <v>67932</v>
      </c>
      <c r="D10" s="845">
        <f ca="1">IF(B1="",'数据-汇总表'!E6,IF(INDIRECT("'数据-取费表'!c"&amp;$G$1)="住宅",INDIRECT("'数据-取费表'!s"&amp;$G$1),INDIRECT("'数据-取费表'!k"&amp;$G$1)+INDIRECT("'数据-取费表'!s"&amp;$G$1)))</f>
        <v>339.66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67932</v>
      </c>
      <c r="D19" s="849">
        <f ca="1">D9+D10</f>
        <v>339.66</v>
      </c>
      <c r="E19" s="211">
        <f>'数据-取费表'!B31</f>
        <v>200</v>
      </c>
      <c r="F19" s="231"/>
      <c r="G19" s="1856"/>
    </row>
    <row r="20" spans="1:7" s="214" customFormat="1" ht="13.5" customHeight="1">
      <c r="A20" s="255" t="s">
        <v>1574</v>
      </c>
      <c r="B20" s="210" t="s">
        <v>1575</v>
      </c>
      <c r="C20" s="232">
        <f ca="1">ROUND((C5+C19)*F20,0)</f>
        <v>2717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4768</v>
      </c>
      <c r="D24" s="238"/>
      <c r="E24" s="238"/>
      <c r="F24" s="239"/>
      <c r="G24" s="240" t="s">
        <v>1586</v>
      </c>
    </row>
    <row r="25" spans="1:7" s="214" customFormat="1" ht="24">
      <c r="A25" s="780" t="s">
        <v>1476</v>
      </c>
      <c r="B25" s="215" t="s">
        <v>1587</v>
      </c>
      <c r="C25" s="1128">
        <f ca="1">ROUND(IF('数据-取费表'!B22&lt;=1,C20*F22*'数据-取费表'!B22/2,C20*(POWER((1+F22),'数据-取费表'!B22/2)-1)),0)</f>
        <v>94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27716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27716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190810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1487711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1358640</v>
      </c>
      <c r="D34" s="217"/>
      <c r="E34" s="220"/>
      <c r="F34" s="257"/>
      <c r="G34" s="219"/>
    </row>
    <row r="35" spans="1:7" ht="13.5" customHeight="1">
      <c r="A35" s="780" t="s">
        <v>351</v>
      </c>
      <c r="B35" s="215" t="s">
        <v>1527</v>
      </c>
      <c r="C35" s="220">
        <f ca="1">ROUND(C34*F35,0)</f>
        <v>40759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67932</v>
      </c>
      <c r="D37" s="217">
        <f ca="1">D19</f>
        <v>339.66</v>
      </c>
      <c r="E37" s="249">
        <f>'数据-取费表'!B35</f>
        <v>200</v>
      </c>
      <c r="F37" s="259"/>
      <c r="G37" s="261"/>
    </row>
    <row r="38" spans="1:7" ht="13.5" customHeight="1">
      <c r="A38" s="780" t="s">
        <v>354</v>
      </c>
      <c r="B38" s="215" t="s">
        <v>1533</v>
      </c>
      <c r="C38" s="220">
        <f ca="1">ROUND(C34*F38,0)</f>
        <v>20380</v>
      </c>
      <c r="D38" s="220"/>
      <c r="E38" s="220"/>
      <c r="F38" s="259">
        <f>'数据-取费表'!B36</f>
        <v>1.4999999999999999E-2</v>
      </c>
      <c r="G38" s="219" t="s">
        <v>1528</v>
      </c>
    </row>
    <row r="39" spans="1:7" s="214" customFormat="1" ht="13.5" customHeight="1">
      <c r="A39" s="255" t="s">
        <v>1534</v>
      </c>
      <c r="B39" s="210" t="s">
        <v>1535</v>
      </c>
      <c r="C39" s="232">
        <f ca="1">ROUND(C33*F20,0)</f>
        <v>29754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52353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51326</v>
      </c>
      <c r="D42" s="238"/>
      <c r="E42" s="238"/>
      <c r="F42" s="239"/>
      <c r="G42" s="3633" t="s">
        <v>1591</v>
      </c>
    </row>
    <row r="43" spans="1:7" ht="13.5" customHeight="1">
      <c r="A43" s="780" t="s">
        <v>347</v>
      </c>
      <c r="B43" s="215" t="s">
        <v>1545</v>
      </c>
      <c r="C43" s="238">
        <f ca="1">ROUND(IF('数据-取费表'!B22&lt;=1,C39*F22*'数据-取费表'!B20/2,C39*(POWER((1+F22),'数据-取费表'!B20/2)-1)),0)</f>
        <v>1027</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303493</v>
      </c>
      <c r="D45" s="235">
        <f ca="1">C47</f>
        <v>4.0000000000000001E-3</v>
      </c>
      <c r="E45" s="236" t="s">
        <v>1539</v>
      </c>
      <c r="F45" s="246">
        <f ca="1">F27</f>
        <v>0.2</v>
      </c>
      <c r="G45" s="247" t="s">
        <v>1548</v>
      </c>
    </row>
    <row r="46" spans="1:7" s="214" customFormat="1" ht="13.5" customHeight="1">
      <c r="A46" s="780" t="s">
        <v>346</v>
      </c>
      <c r="B46" s="248" t="s">
        <v>1549</v>
      </c>
      <c r="C46" s="249">
        <f ca="1">ROUND((C33+C39)*F27,0)</f>
        <v>303493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2031791</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1666069</v>
      </c>
      <c r="D51" s="232"/>
      <c r="E51" s="232"/>
      <c r="F51" s="264"/>
      <c r="G51" s="234" t="s">
        <v>1560</v>
      </c>
    </row>
    <row r="52" spans="1:7" s="208" customFormat="1" ht="16.5" thickBot="1">
      <c r="A52" s="265" t="s">
        <v>1561</v>
      </c>
      <c r="B52" s="266"/>
      <c r="C52" s="267">
        <f ca="1">C31+C51</f>
        <v>1856879</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339.66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339.66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190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339.66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662</v>
      </c>
      <c r="C2" s="1387" t="s">
        <v>805</v>
      </c>
      <c r="D2" s="1387"/>
      <c r="E2" s="1388"/>
      <c r="F2" s="1389"/>
      <c r="G2" s="2706"/>
      <c r="H2" s="2695"/>
      <c r="I2" s="2695"/>
      <c r="J2" s="2695"/>
      <c r="K2" s="2696"/>
      <c r="L2" s="2695"/>
      <c r="M2" s="2695"/>
    </row>
    <row r="3" spans="1:37" ht="18" customHeight="1" thickBot="1">
      <c r="A3" s="1390" t="s">
        <v>806</v>
      </c>
      <c r="B3" s="1391">
        <f ca="1">IF(ISERROR(B2*10000/F43),0,ROUND(B2*10000/F43,0))</f>
        <v>19490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56</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56</v>
      </c>
      <c r="D6" s="155" t="s">
        <v>2109</v>
      </c>
      <c r="E6" s="302" t="s">
        <v>696</v>
      </c>
      <c r="F6" s="303">
        <f ca="1">INDIRECT("'数据-取费表'!u"&amp;$G$1)</f>
        <v>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339.66</v>
      </c>
      <c r="G7" s="1384"/>
      <c r="H7" s="304"/>
      <c r="I7" s="3639"/>
      <c r="J7" s="306"/>
      <c r="K7" s="307"/>
      <c r="L7" s="302" t="s">
        <v>697</v>
      </c>
      <c r="M7" s="303">
        <f ca="1">F7</f>
        <v>339.66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166</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136</v>
      </c>
      <c r="D14" s="1345" t="s">
        <v>708</v>
      </c>
      <c r="E14" s="1342"/>
      <c r="F14" s="319"/>
      <c r="G14" s="1384"/>
      <c r="H14" s="982" t="s">
        <v>398</v>
      </c>
      <c r="I14" s="302" t="s">
        <v>709</v>
      </c>
      <c r="J14" s="21">
        <f ca="1">C29</f>
        <v>203</v>
      </c>
      <c r="K14" s="12"/>
      <c r="L14" s="807"/>
      <c r="M14" s="808"/>
    </row>
    <row r="15" spans="1:37" s="1397" customFormat="1" ht="18" customHeight="1" thickBot="1">
      <c r="A15" s="982" t="s">
        <v>399</v>
      </c>
      <c r="B15" s="302" t="s">
        <v>710</v>
      </c>
      <c r="C15" s="21">
        <f ca="1">ROUND(C14*F15,0)</f>
        <v>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149</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2.0299999999999998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30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203</v>
      </c>
      <c r="D29" s="1092"/>
      <c r="E29" s="1090"/>
      <c r="F29" s="1093"/>
      <c r="G29" s="1396"/>
      <c r="H29" s="334" t="s">
        <v>396</v>
      </c>
      <c r="I29" s="335" t="s">
        <v>768</v>
      </c>
      <c r="J29" s="336">
        <f ca="1">ROUND(J26/(1+F40)^F41,0)</f>
        <v>0</v>
      </c>
      <c r="K29" s="337" t="s">
        <v>769</v>
      </c>
      <c r="L29" s="338"/>
      <c r="M29" s="339">
        <f ca="1">INDIRECT("'数据-取费表'!k"&amp;$G$1)</f>
        <v>339.66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2.0299999999999998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0.56000000000000005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643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18931</v>
      </c>
      <c r="D43" s="337" t="s">
        <v>777</v>
      </c>
      <c r="E43" s="338" t="s">
        <v>778</v>
      </c>
      <c r="F43" s="339">
        <f ca="1">INDIRECT("'数据-取费表'!k"&amp;$G$1)</f>
        <v>339.66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-667</v>
      </c>
      <c r="D46" s="1406" t="str">
        <f>C2</f>
        <v>万元</v>
      </c>
      <c r="E46" s="1400"/>
      <c r="F46" s="1400"/>
      <c r="I46" s="1407" t="s">
        <v>810</v>
      </c>
      <c r="J46" s="1408"/>
      <c r="K46" s="1409"/>
      <c r="L46" s="1410">
        <f ca="1">IF(M47="住宅",0,IF(L48&gt;J51,L60,J60))</f>
        <v>19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643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20</v>
      </c>
      <c r="O48" s="1418" t="s">
        <v>404</v>
      </c>
      <c r="P48" s="1419" t="s">
        <v>821</v>
      </c>
      <c r="Q48" s="1420">
        <f ca="1">J60</f>
        <v>19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203</v>
      </c>
      <c r="R49" s="1420" t="s">
        <v>818</v>
      </c>
    </row>
    <row r="50" spans="1:18" s="1384" customFormat="1" ht="13.5" thickBot="1">
      <c r="A50" s="976"/>
      <c r="B50" s="979"/>
      <c r="C50" s="1118"/>
      <c r="D50" s="953"/>
      <c r="E50" s="1056" t="s">
        <v>697</v>
      </c>
      <c r="F50" s="1057">
        <f ca="1">F7</f>
        <v>339.66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v>
      </c>
      <c r="K53" s="3636" t="s">
        <v>837</v>
      </c>
      <c r="L53" s="3637"/>
      <c r="O53" s="1418" t="s">
        <v>409</v>
      </c>
      <c r="P53" s="1419" t="s">
        <v>838</v>
      </c>
      <c r="Q53" s="1420">
        <f ca="1">Q47+Q48</f>
        <v>662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25.5" thickTop="1" thickBot="1">
      <c r="A56" s="957">
        <v>2</v>
      </c>
      <c r="B56" s="958" t="s">
        <v>704</v>
      </c>
      <c r="C56" s="232">
        <f ca="1">C13</f>
        <v>166</v>
      </c>
      <c r="D56" s="1447"/>
      <c r="E56" s="1448"/>
      <c r="F56" s="1440"/>
      <c r="I56" s="1449" t="s">
        <v>842</v>
      </c>
      <c r="J56" s="1450" t="s">
        <v>3406</v>
      </c>
      <c r="K56" s="1421" t="s">
        <v>843</v>
      </c>
      <c r="L56" s="1424" t="str">
        <f ca="1">IF(L48&lt;J51,"——",L48-J53)</f>
        <v>——</v>
      </c>
      <c r="O56" s="1418" t="s">
        <v>403</v>
      </c>
      <c r="P56" s="1419" t="s">
        <v>817</v>
      </c>
      <c r="Q56" s="1420">
        <f ca="1">C40+J29</f>
        <v>643</v>
      </c>
      <c r="R56" s="1420" t="s">
        <v>818</v>
      </c>
    </row>
    <row r="57" spans="1:18" s="1384" customFormat="1" ht="24.75" thickBot="1">
      <c r="A57" s="1451"/>
      <c r="B57" s="950" t="s">
        <v>767</v>
      </c>
      <c r="C57" s="238">
        <f ca="1">C29</f>
        <v>203</v>
      </c>
      <c r="D57" s="1452"/>
      <c r="E57" s="1453"/>
      <c r="F57" s="1454"/>
      <c r="I57" s="1455" t="s">
        <v>844</v>
      </c>
      <c r="J57" s="1456">
        <f ca="1">IF(OR(M47="住宅",J51&lt;L48,J56="是"),"——",J51-L48)</f>
        <v>24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2.0299999999999998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0.17</v>
      </c>
      <c r="D65" s="964" t="s">
        <v>743</v>
      </c>
      <c r="E65" s="950" t="s">
        <v>744</v>
      </c>
      <c r="F65" s="330">
        <f t="shared" ca="1" si="0"/>
        <v>1E-3</v>
      </c>
      <c r="I65" s="1462" t="s">
        <v>867</v>
      </c>
      <c r="J65" s="1463">
        <v>40</v>
      </c>
      <c r="K65" s="1463">
        <v>30</v>
      </c>
      <c r="L65" s="1463">
        <v>50</v>
      </c>
      <c r="M65" s="1465">
        <v>0.02</v>
      </c>
      <c r="O65" s="1418" t="s">
        <v>403</v>
      </c>
      <c r="P65" s="1419" t="s">
        <v>868</v>
      </c>
      <c r="Q65" s="1420">
        <f ca="1">C40+J29</f>
        <v>643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572</v>
      </c>
      <c r="R67" s="1420" t="s">
        <v>870</v>
      </c>
    </row>
    <row r="68" spans="1:18" s="1384" customFormat="1" ht="16.5" thickBot="1">
      <c r="A68" s="947" t="s">
        <v>395</v>
      </c>
      <c r="B68" s="948" t="s">
        <v>774</v>
      </c>
      <c r="C68" s="301">
        <f ca="1">ROUND(C67*(1-((1+F70)/(1+F68))^F69)/(F68-F70),0)</f>
        <v>-24</v>
      </c>
      <c r="D68" s="965" t="s">
        <v>758</v>
      </c>
      <c r="E68" s="950" t="s">
        <v>759</v>
      </c>
      <c r="F68" s="312">
        <f ca="1">F40</f>
        <v>5.5E-2</v>
      </c>
      <c r="O68" s="1428" t="s">
        <v>406</v>
      </c>
      <c r="P68" s="1467" t="s">
        <v>871</v>
      </c>
      <c r="Q68" s="1420">
        <f ca="1">ROUND(Q69-Q70*Q71,0)</f>
        <v>32</v>
      </c>
      <c r="R68" s="1420" t="s">
        <v>414</v>
      </c>
    </row>
    <row r="69" spans="1:18" s="1384" customFormat="1" ht="13.5" thickBot="1">
      <c r="A69" s="951"/>
      <c r="B69" s="952"/>
      <c r="C69" s="306"/>
      <c r="D69" s="970" t="s">
        <v>762</v>
      </c>
      <c r="E69" s="950" t="s">
        <v>763</v>
      </c>
      <c r="F69" s="333">
        <f ca="1">F41</f>
        <v>20</v>
      </c>
      <c r="O69" s="1428" t="s">
        <v>411</v>
      </c>
      <c r="P69" s="1467" t="s">
        <v>872</v>
      </c>
      <c r="Q69" s="1420">
        <f ca="1">C39</f>
        <v>44</v>
      </c>
      <c r="R69" s="1420" t="s">
        <v>818</v>
      </c>
    </row>
    <row r="70" spans="1:18" s="1384" customFormat="1" ht="13.5" thickBot="1">
      <c r="A70" s="954"/>
      <c r="B70" s="955"/>
      <c r="C70" s="310"/>
      <c r="D70" s="966"/>
      <c r="E70" s="950" t="s">
        <v>766</v>
      </c>
      <c r="F70" s="1054"/>
      <c r="O70" s="1428" t="s">
        <v>412</v>
      </c>
      <c r="P70" s="1467" t="s">
        <v>873</v>
      </c>
      <c r="Q70" s="1420">
        <f ca="1">C13</f>
        <v>166</v>
      </c>
      <c r="R70" s="1420" t="s">
        <v>818</v>
      </c>
    </row>
    <row r="71" spans="1:18" s="1384" customFormat="1" ht="13.5" thickBot="1">
      <c r="A71" s="971" t="s">
        <v>396</v>
      </c>
      <c r="B71" s="972" t="s">
        <v>776</v>
      </c>
      <c r="C71" s="336">
        <f ca="1">ROUND(C68*10000/F71,0)</f>
        <v>-707</v>
      </c>
      <c r="D71" s="973" t="s">
        <v>777</v>
      </c>
      <c r="E71" s="974" t="s">
        <v>778</v>
      </c>
      <c r="F71" s="339">
        <f ca="1">F43</f>
        <v>339.66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v>
      </c>
      <c r="D75" s="1384"/>
      <c r="E75" s="1384"/>
      <c r="F75" s="1384"/>
      <c r="K75" s="1402"/>
      <c r="L75" s="1384"/>
      <c r="O75" s="1418" t="s">
        <v>409</v>
      </c>
      <c r="P75" s="1419" t="s">
        <v>838</v>
      </c>
      <c r="Q75" s="1420">
        <f ca="1">Q65+Q66</f>
        <v>643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0.72699999999999998</v>
      </c>
    </row>
    <row r="80" spans="1:18">
      <c r="B80" s="340" t="s">
        <v>800</v>
      </c>
      <c r="C80" s="274">
        <f ca="1">ROUND(C75/C39,3)</f>
        <v>0.27300000000000002</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662</v>
      </c>
      <c r="C2" s="1872" t="s">
        <v>1651</v>
      </c>
      <c r="D2" s="1873" t="s">
        <v>1652</v>
      </c>
      <c r="E2" s="2607">
        <f>SUM(E6:E13)</f>
        <v>339.66</v>
      </c>
      <c r="F2" s="2707"/>
      <c r="G2" s="1489"/>
      <c r="H2" s="1489"/>
      <c r="I2" s="1489"/>
      <c r="J2" s="1489"/>
      <c r="K2" s="1489"/>
      <c r="L2" s="1489"/>
      <c r="M2" s="1489"/>
      <c r="N2" s="1489"/>
      <c r="O2" s="1489"/>
      <c r="P2" s="1489"/>
      <c r="Q2" s="1489"/>
      <c r="R2" s="1489"/>
      <c r="S2" s="1489"/>
    </row>
    <row r="3" spans="1:22" ht="15.75">
      <c r="A3" s="1870" t="s">
        <v>686</v>
      </c>
      <c r="B3" s="2601">
        <f ca="1">ROUND(B2*10000/E2,0)</f>
        <v>19490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662</v>
      </c>
      <c r="C6" s="1872" t="s">
        <v>1651</v>
      </c>
      <c r="D6" s="2709"/>
      <c r="E6" s="2606">
        <f>IF(OR(A6=0,F6="否"),0,'数据-取费表'!K6+'数据-取费表'!S6)</f>
        <v>339.66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339.66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45223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339.66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45223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339.66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45223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339.66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45223</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估价对象为北京市房地产，为所有。根据《国有土地使用证》[]，估价对象（分摊）出让国有建设用地使用权面积为0平方米，建筑面积为339.66平方米。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估价对象为北京市房地产,属开发建设的，该项目尚在开发建设中。根据《国有土地使用证》[]，估价对象（分摊）出让国有建设用地使用权面积为0平方米，规划建筑面积为339.66平方米。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45223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45223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45223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65"/>
      <c r="Q10" s="1343" t="str">
        <f t="shared" si="6"/>
        <v>土地使用年限（年）</v>
      </c>
      <c r="R10" s="701" t="s">
        <v>14</v>
      </c>
      <c r="S10" s="702">
        <f t="shared" si="0"/>
        <v>138</v>
      </c>
      <c r="T10" s="701" t="s">
        <v>14</v>
      </c>
      <c r="U10" s="702">
        <f t="shared" si="1"/>
        <v>138</v>
      </c>
      <c r="V10" s="701" t="s">
        <v>14</v>
      </c>
      <c r="W10" s="702">
        <f t="shared" si="2"/>
        <v>138</v>
      </c>
      <c r="X10" s="703"/>
      <c r="Y10" s="3540"/>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339.66</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339.66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45223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65"/>
      <c r="Q10" s="1343" t="str">
        <f t="shared" si="6"/>
        <v>土地使用年限（年）</v>
      </c>
      <c r="R10" s="701" t="s">
        <v>14</v>
      </c>
      <c r="S10" s="702">
        <f t="shared" si="0"/>
        <v>138</v>
      </c>
      <c r="T10" s="701" t="s">
        <v>14</v>
      </c>
      <c r="U10" s="702">
        <f t="shared" si="1"/>
        <v>138</v>
      </c>
      <c r="V10" s="701" t="s">
        <v>14</v>
      </c>
      <c r="W10" s="702">
        <f t="shared" si="2"/>
        <v>138</v>
      </c>
      <c r="X10" s="703"/>
      <c r="Y10" s="3540"/>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339.66</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1016</v>
      </c>
      <c r="C2" s="2145" t="s">
        <v>2074</v>
      </c>
      <c r="D2" s="2145" t="s">
        <v>2075</v>
      </c>
      <c r="E2" s="2612">
        <f ca="1">SUMIF(E6:E13,"&lt;&gt;#ref!",E6:E13)</f>
        <v>399.66</v>
      </c>
      <c r="F2" s="2793"/>
      <c r="G2" s="2793"/>
      <c r="H2" s="2793"/>
      <c r="I2" s="2793"/>
      <c r="J2" s="2793"/>
      <c r="K2" s="2793"/>
      <c r="L2" s="2793"/>
      <c r="M2" s="2793"/>
      <c r="N2" s="2793"/>
      <c r="O2" s="2793"/>
      <c r="P2" s="2793"/>
    </row>
    <row r="3" spans="1:16" ht="15.75">
      <c r="A3" s="2145" t="s">
        <v>2076</v>
      </c>
      <c r="B3" s="2602">
        <f ca="1">ROUND(B2*10000/E2,0)</f>
        <v>25422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1016</v>
      </c>
      <c r="C6" s="2145" t="s">
        <v>2074</v>
      </c>
      <c r="D6" s="2793"/>
      <c r="E6" s="2612">
        <f ca="1">SUMIF(INDIRECT("'"&amp;A6&amp;"'"&amp;"!C:C"),"建筑面积",INDIRECT("'"&amp;A6&amp;"'"&amp;"!D:D"))</f>
        <v>399.66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N38" sqref="N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399.66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1016</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Ⅱ—08</v>
      </c>
      <c r="J2" s="2002"/>
      <c r="K2" s="1119"/>
      <c r="L2" s="2003" t="s">
        <v>1939</v>
      </c>
      <c r="M2" s="864">
        <f>SUMPRODUCT((区片价!B10:B29=I2)*(区片价!C3:G3=E2)*(区片价!C10:G29))</f>
        <v>29180</v>
      </c>
      <c r="N2" s="866">
        <f>SUMPRODUCT((因素修正幅度!B10:B29=I2)*(因素修正幅度!C3:G3=E2)*(因素修正幅度!C10:G29))</f>
        <v>8.8999999999999996E-2</v>
      </c>
      <c r="O2" s="1119"/>
      <c r="P2" s="1119"/>
      <c r="Q2" s="1119"/>
      <c r="R2" s="1212">
        <v>1</v>
      </c>
      <c r="S2" s="3361">
        <f>ROUND(SUMPRODUCT((B106:B110=R2)*(C105:N105=G2)*(C106:N110)),4)</f>
        <v>1.5206</v>
      </c>
      <c r="T2" s="3361">
        <f t="shared" ref="T2:T16" si="0">ROUND($C$5*$C$22*$C$23*$C$24*S2*$C$28,0)</f>
        <v>34336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25422</v>
      </c>
      <c r="C3" s="1999" t="s">
        <v>1941</v>
      </c>
      <c r="D3" s="2000" t="s">
        <v>1942</v>
      </c>
      <c r="E3" s="3420" t="s">
        <v>2443</v>
      </c>
      <c r="F3" s="2004" t="s">
        <v>3390</v>
      </c>
      <c r="G3" s="752" t="e">
        <f>IF(F3="宗地容积率",'数据-汇总表'!I4,IF(F3="估价对象容积率",'数据-汇总表'!I6,'数据-汇总表'!I7))</f>
        <v>#DIV/0!</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27260</v>
      </c>
      <c r="U3" s="1213">
        <f>399.66/2</f>
        <v>199.83</v>
      </c>
      <c r="V3" s="3361">
        <f t="shared" ref="V3:V16" si="1">ROUND(T3*U3/10000,0)</f>
        <v>545</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23554</v>
      </c>
      <c r="U4" s="1213">
        <f>U3</f>
        <v>199.83</v>
      </c>
      <c r="V4" s="3361">
        <f t="shared" si="1"/>
        <v>471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29166</v>
      </c>
      <c r="D5" s="1339">
        <f>ROUND(C6*C17+C20,0)</f>
        <v>29166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21314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29180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20314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t="e">
        <f>G3</f>
        <v>#DIV/0!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-14</v>
      </c>
      <c r="D20" s="3341" t="s">
        <v>1998</v>
      </c>
      <c r="E20" s="3342"/>
      <c r="F20" s="3755" t="s">
        <v>1995</v>
      </c>
      <c r="G20" s="3756"/>
      <c r="H20" s="3326" t="s">
        <v>3394</v>
      </c>
      <c r="I20" s="3326" t="s">
        <v>3395</v>
      </c>
      <c r="J20" s="3327" t="s">
        <v>3396</v>
      </c>
      <c r="K20" s="2047" t="s">
        <v>3397</v>
      </c>
      <c r="L20" s="2047" t="s">
        <v>3398</v>
      </c>
      <c r="M20" s="2047" t="s">
        <v>3399</v>
      </c>
      <c r="N20" s="2047" t="s">
        <v>3400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3393</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45223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1.2072000000000001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1016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27260</v>
      </c>
      <c r="D33" s="2098">
        <f>U3+U4</f>
        <v>399.66</v>
      </c>
      <c r="E33" s="773">
        <f>ROUND(C33*D33/10000,0)</f>
        <v>1089</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15807</v>
      </c>
      <c r="D37" s="2098"/>
      <c r="E37" s="171">
        <f>ROUND(C37*D37/10000,0)</f>
        <v>0</v>
      </c>
      <c r="F37" s="171">
        <f>SUMIF(修正!A57:A68,G2,修正!B57:B68)</f>
        <v>0.7</v>
      </c>
      <c r="G37" s="171">
        <f>ROUND(IF(E2="工业",C37*$M$42,C37*$M$41),0)</f>
        <v>3952</v>
      </c>
      <c r="H37" s="171">
        <f>D37</f>
        <v>0</v>
      </c>
      <c r="I37" s="171">
        <f>ROUND(G37*H37/10000,0)</f>
        <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9032</v>
      </c>
      <c r="D38" s="2098"/>
      <c r="E38" s="171">
        <f t="shared" ref="E38:E42" si="4">ROUND(C38*D38/10000,0)</f>
        <v>0</v>
      </c>
      <c r="F38" s="171">
        <f>SUMIF(修正!A57:A68,G2,修正!C57:C68)</f>
        <v>0.4</v>
      </c>
      <c r="G38" s="171">
        <f>ROUND(IF(E2="工业",C38*$M$42,C38*$M$41),0)</f>
        <v>2258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6774</v>
      </c>
      <c r="D39" s="2098"/>
      <c r="E39" s="171">
        <f t="shared" si="4"/>
        <v>0</v>
      </c>
      <c r="F39" s="171">
        <f>SUMIF(修正!A57:A68,G2,修正!D57:D68)</f>
        <v>0.3</v>
      </c>
      <c r="G39" s="171">
        <f>ROUND(IF(E2="工业",C39*$M$42,C39*$M$41),0)</f>
        <v>1694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6774</v>
      </c>
      <c r="D40" s="2098"/>
      <c r="E40" s="171">
        <f t="shared" si="4"/>
        <v>0</v>
      </c>
      <c r="F40" s="175">
        <f>SUMIF(修正!A57:A68,G2,修正!E57:E68)</f>
        <v>0.3</v>
      </c>
      <c r="G40" s="171">
        <f>ROUND(IF(E2="工业",C40*$M$42,C40*$M$41),0)</f>
        <v>1694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8.8999999999999996E-2</v>
      </c>
      <c r="G50" s="1063"/>
      <c r="H50" s="1066">
        <f t="shared" ref="H50:H58" si="8">IFERROR(ROUNDDOWN($F$50*I50/2,4),"——")</f>
        <v>1.3299999999999999E-2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9.7000000000000003E-3</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f t="shared" si="8"/>
        <v>5.3E-3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2.2000000000000001E-3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3.5000000000000001E-3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2.2000000000000001E-3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2.2000000000000001E-3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3.5000000000000001E-3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2.2000000000000001E-3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2</v>
      </c>
      <c r="D111" s="3396">
        <f t="shared" ref="D111:M111" si="32">$I$3</f>
        <v>2</v>
      </c>
      <c r="E111" s="3396">
        <f t="shared" si="32"/>
        <v>2</v>
      </c>
      <c r="F111" s="3396">
        <f t="shared" si="32"/>
        <v>2</v>
      </c>
      <c r="G111" s="3396">
        <f t="shared" si="32"/>
        <v>2</v>
      </c>
      <c r="H111" s="3396">
        <f t="shared" si="32"/>
        <v>2</v>
      </c>
      <c r="I111" s="3396">
        <f t="shared" si="32"/>
        <v>2</v>
      </c>
      <c r="J111" s="3396">
        <f t="shared" si="32"/>
        <v>2</v>
      </c>
      <c r="K111" s="3396">
        <f t="shared" si="32"/>
        <v>2</v>
      </c>
      <c r="L111" s="3396">
        <f t="shared" si="32"/>
        <v>2</v>
      </c>
      <c r="M111" s="3396">
        <f t="shared" si="32"/>
        <v>2</v>
      </c>
      <c r="N111" s="3396">
        <f>$I$3</f>
        <v>2</v>
      </c>
    </row>
    <row r="112" spans="1:14">
      <c r="A112" s="3740"/>
      <c r="B112" s="3395">
        <v>6</v>
      </c>
      <c r="C112" s="3388">
        <f>(-0.5556*(C111^2)-0.2719*C111+8944)*(10^(-4))</f>
        <v>0.89412338000000002</v>
      </c>
      <c r="D112" s="3388">
        <f>(-0.5556*(D111^2)-0.2719*D111+8944)*(10^(-4))</f>
        <v>0.89412338000000002</v>
      </c>
      <c r="E112" s="3388">
        <f>(-0.7912*(E111^2)-11.3794*E111+8482)*(10^(-4))</f>
        <v>0.84560763999999999</v>
      </c>
      <c r="F112" s="3388">
        <f t="shared" ref="F112:I112" si="33">(-0.7912*(F111^2)-11.3794*F111+8482)*(10^(-4))</f>
        <v>0.84560763999999999</v>
      </c>
      <c r="G112" s="3388">
        <f t="shared" si="33"/>
        <v>0.84560763999999999</v>
      </c>
      <c r="H112" s="3388">
        <f t="shared" si="33"/>
        <v>0.84560763999999999</v>
      </c>
      <c r="I112" s="3388">
        <f t="shared" si="33"/>
        <v>0.84560763999999999</v>
      </c>
      <c r="J112" s="3388">
        <f>(-0.989*(J111^2)-63.78*J111+7771)*(10^(-4))</f>
        <v>0.76394840000000008</v>
      </c>
      <c r="K112" s="3388">
        <f t="shared" ref="K112:N112" si="34">(-0.989*(K111^2)-63.78*K111+7771)*(10^(-4))</f>
        <v>0.76394840000000008</v>
      </c>
      <c r="L112" s="3388">
        <f t="shared" si="34"/>
        <v>0.76394840000000008</v>
      </c>
      <c r="M112" s="3388">
        <f t="shared" si="34"/>
        <v>0.76394840000000008</v>
      </c>
      <c r="N112" s="3388">
        <f t="shared" si="34"/>
        <v>0.76394840000000008</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3320</v>
      </c>
      <c r="F116" s="3402" t="str">
        <f>E2</f>
        <v>商业</v>
      </c>
      <c r="G116" s="2000" t="s">
        <v>3321</v>
      </c>
      <c r="H116" s="3402" t="str">
        <f>G2</f>
        <v>二级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5">I118</f>
        <v>#DIV/0!</v>
      </c>
      <c r="K118" s="3388" t="e">
        <f t="shared" si="35"/>
        <v>#DIV/0!</v>
      </c>
      <c r="L118" s="3388" t="e">
        <f t="shared" si="35"/>
        <v>#DIV/0!</v>
      </c>
      <c r="M118" s="3411" t="e">
        <f t="shared" si="35"/>
        <v>#DIV/0!</v>
      </c>
      <c r="N118" s="3398"/>
    </row>
    <row r="119" spans="1:14">
      <c r="A119" s="3410" t="s">
        <v>3335</v>
      </c>
      <c r="B119" s="3388" t="e">
        <f>ROUND(0.993-0.0112*B116,4)</f>
        <v>#DIV/0!</v>
      </c>
      <c r="C119" s="3388" t="e">
        <f>B119</f>
        <v>#DIV/0!</v>
      </c>
      <c r="D119" s="3388" t="e">
        <f>ROUND(0.9415-0.0142*B116,4)</f>
        <v>#DIV/0!</v>
      </c>
      <c r="E119" s="3388" t="e">
        <f t="shared" ref="E119:H120" si="36">D119</f>
        <v>#DIV/0!</v>
      </c>
      <c r="F119" s="3388" t="e">
        <f t="shared" si="36"/>
        <v>#DIV/0!</v>
      </c>
      <c r="G119" s="3388" t="e">
        <f t="shared" si="36"/>
        <v>#DIV/0!</v>
      </c>
      <c r="H119" s="3388" t="e">
        <f t="shared" si="36"/>
        <v>#DIV/0!</v>
      </c>
      <c r="I119" s="3388" t="e">
        <f>ROUND(0.838-0.0182*B116,4)</f>
        <v>#DIV/0!</v>
      </c>
      <c r="J119" s="3388" t="e">
        <f t="shared" si="35"/>
        <v>#DIV/0!</v>
      </c>
      <c r="K119" s="3388" t="e">
        <f t="shared" si="35"/>
        <v>#DIV/0!</v>
      </c>
      <c r="L119" s="3388" t="e">
        <f t="shared" si="35"/>
        <v>#DIV/0!</v>
      </c>
      <c r="M119" s="3411" t="e">
        <f t="shared" si="35"/>
        <v>#DIV/0!</v>
      </c>
      <c r="N119" s="3398"/>
    </row>
    <row r="120" spans="1:14">
      <c r="A120" s="3410" t="s">
        <v>3336</v>
      </c>
      <c r="B120" s="3388" t="e">
        <f>ROUND(0.9448-0.0115*B116,4)</f>
        <v>#DIV/0!</v>
      </c>
      <c r="C120" s="3388" t="e">
        <f>B120</f>
        <v>#DIV/0!</v>
      </c>
      <c r="D120" s="3388" t="e">
        <f>ROUND(0.937-0.0145*B116,4)</f>
        <v>#DIV/0!</v>
      </c>
      <c r="E120" s="3388" t="e">
        <f t="shared" si="36"/>
        <v>#DIV/0!</v>
      </c>
      <c r="F120" s="3388" t="e">
        <f t="shared" si="36"/>
        <v>#DIV/0!</v>
      </c>
      <c r="G120" s="3388" t="e">
        <f t="shared" si="36"/>
        <v>#DIV/0!</v>
      </c>
      <c r="H120" s="3388" t="e">
        <f t="shared" si="36"/>
        <v>#DIV/0!</v>
      </c>
      <c r="I120" s="3388" t="e">
        <f>ROUND(0.7965-0.0185*B116,4)</f>
        <v>#DIV/0!</v>
      </c>
      <c r="J120" s="3388" t="e">
        <f t="shared" si="35"/>
        <v>#DIV/0!</v>
      </c>
      <c r="K120" s="3388" t="e">
        <f t="shared" si="35"/>
        <v>#DIV/0!</v>
      </c>
      <c r="L120" s="3388" t="e">
        <f t="shared" si="35"/>
        <v>#DIV/0!</v>
      </c>
      <c r="M120" s="3411" t="e">
        <f t="shared" si="35"/>
        <v>#DIV/0!</v>
      </c>
      <c r="N120" s="3398"/>
    </row>
    <row r="121" spans="1:14" ht="13.5" thickBot="1">
      <c r="A121" s="3412" t="s">
        <v>3337</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5"/>
        <v>#DIV/0!</v>
      </c>
      <c r="K121" s="3413" t="e">
        <f t="shared" si="35"/>
        <v>#DIV/0!</v>
      </c>
      <c r="L121" s="3413" t="e">
        <f t="shared" si="35"/>
        <v>#DIV/0!</v>
      </c>
      <c r="M121" s="3414" t="e">
        <f t="shared" si="35"/>
        <v>#DIV/0!</v>
      </c>
      <c r="N121" s="3398"/>
    </row>
    <row r="122" spans="1:14">
      <c r="A122" s="3415" t="s">
        <v>2616</v>
      </c>
      <c r="B122" s="3388" t="e">
        <f>ROUND(0.9404-0.0106*B116,4)</f>
        <v>#DIV/0!</v>
      </c>
      <c r="C122" s="3388" t="e">
        <f>B122</f>
        <v>#DIV/0!</v>
      </c>
      <c r="D122" s="3388" t="e">
        <f>ROUND(0.8955-0.0135*B116,4)</f>
        <v>#DIV/0!</v>
      </c>
      <c r="E122" s="3388" t="e">
        <f t="shared" ref="E122:H122" si="37">D122</f>
        <v>#DIV/0!</v>
      </c>
      <c r="F122" s="3388" t="e">
        <f t="shared" si="37"/>
        <v>#DIV/0!</v>
      </c>
      <c r="G122" s="3388" t="e">
        <f t="shared" si="37"/>
        <v>#DIV/0!</v>
      </c>
      <c r="H122" s="3388" t="e">
        <f t="shared" si="37"/>
        <v>#DIV/0!</v>
      </c>
      <c r="I122" s="3388" t="e">
        <f>ROUND(0.7632-0.0166*B116,4)</f>
        <v>#DIV/0!</v>
      </c>
      <c r="J122" s="3388" t="e">
        <f t="shared" si="35"/>
        <v>#DIV/0!</v>
      </c>
      <c r="K122" s="3388" t="e">
        <f t="shared" si="35"/>
        <v>#DIV/0!</v>
      </c>
      <c r="L122" s="3388" t="e">
        <f t="shared" si="35"/>
        <v>#DIV/0!</v>
      </c>
      <c r="M122" s="3411" t="e">
        <f t="shared" si="35"/>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t="e">
        <f>SUMPRODUCT((A95:A184=ROUNDDOWN(基准地价修正!G3,1))*(B94:M94=基准地价修正!G2)*(B95:M184))</f>
        <v>#DIV/0!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t="e">
        <f>SUMPRODUCT((A371:A460=ROUNDDOWN(基准地价修正!G3,1))*(B370:M370=基准地价修正!G2)*(B371:M460))</f>
        <v>#DIV/0!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29121</v>
      </c>
      <c r="C2" s="2" t="s">
        <v>106</v>
      </c>
      <c r="D2" s="199"/>
      <c r="E2" s="199"/>
      <c r="F2" s="199"/>
      <c r="G2" s="199"/>
    </row>
    <row r="3" spans="1:7" s="200" customFormat="1" ht="18" customHeight="1" thickBot="1">
      <c r="A3" s="203" t="s">
        <v>58</v>
      </c>
      <c r="B3" s="204">
        <f ca="1">ROUND(B2*10000/'数据-汇总表'!E3,0)</f>
        <v>857357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190</v>
      </c>
      <c r="F9" s="221"/>
      <c r="G9" s="226"/>
    </row>
    <row r="10" spans="1:7" s="214" customFormat="1" ht="13.5" customHeight="1">
      <c r="A10" s="779" t="s">
        <v>356</v>
      </c>
      <c r="B10" s="224" t="s">
        <v>67</v>
      </c>
      <c r="C10" s="225">
        <f>ROUND(D10*E10/10000,0)</f>
        <v>7</v>
      </c>
      <c r="D10" s="845">
        <f>'数据-汇总表'!E6</f>
        <v>339.66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339.66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136</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339.66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30</v>
      </c>
      <c r="D45" s="235">
        <f>C47</f>
        <v>4.0000000000000001E-3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166</v>
      </c>
      <c r="D51" s="232"/>
      <c r="E51" s="232"/>
      <c r="F51" s="264"/>
      <c r="G51" s="234" t="s">
        <v>37</v>
      </c>
    </row>
    <row r="52" spans="1:7" s="208" customFormat="1" ht="16.5" thickBot="1">
      <c r="A52" s="265" t="s">
        <v>38</v>
      </c>
      <c r="B52" s="266"/>
      <c r="C52" s="267">
        <f ca="1">C31+C51</f>
        <v>29121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45223</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339.66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2023-11-09T02:21:55Z</dcterms:modified>
</cp:coreProperties>
</file>