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周彤\报告\2025年\城关租金\"/>
    </mc:Choice>
  </mc:AlternateContent>
  <xr:revisionPtr revIDLastSave="0" documentId="13_ncr:1_{9BBE1D3A-F3CC-4901-AE1F-C0615061710F}" xr6:coauthVersionLast="47" xr6:coauthVersionMax="47" xr10:uidLastSave="{00000000-0000-0000-0000-000000000000}"/>
  <bookViews>
    <workbookView xWindow="-108" yWindow="-108" windowWidth="23256" windowHeight="12576" tabRatio="899" firstSheet="9"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2"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仓储" sheetId="36" r:id="rId29"/>
    <sheet name="比较法-办公展思门路" sheetId="34" state="hidden" r:id="rId30"/>
    <sheet name="比较法-工业" sheetId="37" state="hidden" r:id="rId31"/>
    <sheet name="比较法-车位" sheetId="35"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29" hidden="1">'比较法-办公展思门路'!$A$1:$L$50</definedName>
    <definedName name="_xlnm._FilterDatabase" localSheetId="28"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'比较法-办公展思门路'!$A$1:$M$132</definedName>
    <definedName name="_xlnm.Print_Area" localSheetId="28">'比较法-仓储'!$A$1:$K$42,'比较法-仓储'!$A$45:$M$96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'比较法-办公展思门路'!$B$119:$M$119</definedName>
    <definedName name="办公朝向" localSheetId="13">'[1]比较法-办公'!$B$91:$M$91</definedName>
    <definedName name="办公朝向">'比较法-办公展思门路'!$B$91:$M$91</definedName>
    <definedName name="办公道路级别" localSheetId="13">'[1]比较法-办公'!$B$87:$M$87</definedName>
    <definedName name="办公道路级别">'比较法-办公展思门路'!$B$87:$M$87</definedName>
    <definedName name="办公公共部分装修" localSheetId="13">'[1]比较法-办公'!$B$108:$M$108</definedName>
    <definedName name="办公公共部分装修">'比较法-办公展思门路'!$B$108:$M$108</definedName>
    <definedName name="办公基础设施水平" localSheetId="13">'[1]比较法-办公'!$B$117:$M$117</definedName>
    <definedName name="办公基础设施水平">'比较法-办公展思门路'!$B$117:$M$117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'比较法-办公展思门路'!$B$106:$M$106</definedName>
    <definedName name="办公建筑类型" localSheetId="13">'[1]比较法-办公'!$B$101:$M$101</definedName>
    <definedName name="办公建筑类型">'比较法-办公展思门路'!$B$101:$M$101</definedName>
    <definedName name="办公交易情况" localSheetId="13">'[1]比较法-办公'!$A$62:$M$62</definedName>
    <definedName name="办公交易情况">'比较法-办公展思门路'!$A$62:$M$62</definedName>
    <definedName name="办公楼层" localSheetId="13">'[1]比较法-办公'!$B$89:$M$89</definedName>
    <definedName name="办公楼层">'比较法-办公展思门路'!$B$89:$M$89</definedName>
    <definedName name="办公内部装修" localSheetId="13">'[1]比较法-办公'!$B$123:$M$123</definedName>
    <definedName name="办公内部装修">'比较法-办公展思门路'!$B$123:$M$123</definedName>
    <definedName name="办公物业管理" localSheetId="13">'[1]比较法-办公'!$B$115:$M$115</definedName>
    <definedName name="办公物业管理">'比较法-办公展思门路'!$B$115:$M$115</definedName>
    <definedName name="办公用途" localSheetId="13">'[1]比较法-办公'!$B$64:$M$64</definedName>
    <definedName name="办公用途">'比较法-办公展思门路'!$B$64:$M$64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4">'[2]数据-汇总表'!$C$17:$C$26</definedName>
    <definedName name="项目类型">'数据-汇总表'!$C$17:$C$26</definedName>
    <definedName name="写字楼等级" localSheetId="13">'[1]比较法-办公'!$B$113:$M$113</definedName>
    <definedName name="写字楼等级">'比较法-办公展思门路'!$B$113:$M$113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E10" i="74"/>
  <c r="E96" i="36"/>
  <c r="D96" i="36"/>
  <c r="H88" i="36"/>
  <c r="C30" i="36"/>
  <c r="E94" i="36"/>
  <c r="F94" i="36" s="1"/>
  <c r="G94" i="36" s="1"/>
  <c r="D94" i="36"/>
  <c r="D72" i="36"/>
  <c r="E88" i="36"/>
  <c r="F88" i="36" s="1"/>
  <c r="G88" i="36" s="1"/>
  <c r="D88" i="36"/>
  <c r="E92" i="36"/>
  <c r="D92" i="36"/>
  <c r="I13" i="3"/>
  <c r="E20" i="82"/>
  <c r="K17" i="82" s="1"/>
  <c r="N19" i="82"/>
  <c r="O19" i="82" s="1"/>
  <c r="K18" i="82"/>
  <c r="K16" i="82"/>
  <c r="K15" i="82"/>
  <c r="K14" i="82"/>
  <c r="K12" i="82"/>
  <c r="K11" i="82"/>
  <c r="K10" i="82"/>
  <c r="J9" i="82"/>
  <c r="K8" i="82"/>
  <c r="E2" i="82"/>
  <c r="D3" i="4"/>
  <c r="E21" i="82" l="1"/>
  <c r="K9" i="82"/>
  <c r="K19" i="82" s="1"/>
  <c r="K13" i="82"/>
  <c r="K20" i="82" l="1"/>
  <c r="J21" i="82"/>
  <c r="I21" i="82"/>
  <c r="H39" i="6" l="1"/>
  <c r="N35" i="34" l="1"/>
  <c r="G37" i="34"/>
  <c r="E37" i="34"/>
  <c r="I34" i="34"/>
  <c r="G34" i="34"/>
  <c r="E34" i="34"/>
  <c r="E48" i="34"/>
  <c r="G48" i="34"/>
  <c r="E5" i="34"/>
  <c r="I48" i="34"/>
  <c r="D105" i="34"/>
  <c r="E105" i="34" s="1"/>
  <c r="F105" i="34" s="1"/>
  <c r="G105" i="34" s="1"/>
  <c r="H105" i="34" s="1"/>
  <c r="I105" i="34"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C59" i="71" s="1"/>
  <c r="C60" i="71" s="1"/>
  <c r="D60"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X38" i="71" s="1"/>
  <c r="Q37" i="71"/>
  <c r="P37" i="71"/>
  <c r="AA37"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B39" i="71"/>
  <c r="B40" i="71" s="1"/>
  <c r="S40" i="71" s="1"/>
  <c r="C30" i="71"/>
  <c r="D30" i="71"/>
  <c r="C43" i="71"/>
  <c r="C44" i="71" s="1"/>
  <c r="D44" i="71" s="1"/>
  <c r="P28" i="71"/>
  <c r="E28" i="71" s="1"/>
  <c r="Q28" i="71"/>
  <c r="F28" i="71" s="1"/>
  <c r="F27" i="71" s="1"/>
  <c r="F26" i="71" s="1"/>
  <c r="D58" i="71"/>
  <c r="D72" i="71"/>
  <c r="E79" i="71"/>
  <c r="E78" i="71" s="1"/>
  <c r="D59" i="71"/>
  <c r="T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C29" i="39"/>
  <c r="S25" i="40"/>
  <c r="H25" i="40"/>
  <c r="AB25" i="40" s="1"/>
  <c r="J25" i="40"/>
  <c r="W25" i="40" s="1"/>
  <c r="H29" i="39"/>
  <c r="AB29" i="39" s="1"/>
  <c r="J29" i="39"/>
  <c r="AC29" i="39" s="1"/>
  <c r="J18" i="36"/>
  <c r="AC18" i="36" s="1"/>
  <c r="H18" i="35"/>
  <c r="AB18" i="35" s="1"/>
  <c r="J18" i="35"/>
  <c r="W18" i="35" s="1"/>
  <c r="H21" i="37"/>
  <c r="F21" i="37"/>
  <c r="AA21" i="37" s="1"/>
  <c r="H21" i="33"/>
  <c r="F21" i="33"/>
  <c r="AA21" i="33" s="1"/>
  <c r="H1" i="69"/>
  <c r="AC25" i="40"/>
  <c r="W29" i="39"/>
  <c r="J21" i="37"/>
  <c r="W21" i="37"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W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U33" i="36" s="1"/>
  <c r="B91" i="36"/>
  <c r="B95" i="36"/>
  <c r="J34" i="36" s="1"/>
  <c r="W34" i="36" s="1"/>
  <c r="D83" i="36"/>
  <c r="E83" i="36" s="1"/>
  <c r="F83" i="36" s="1"/>
  <c r="G83" i="36" s="1"/>
  <c r="H83" i="36" s="1"/>
  <c r="I83" i="36" s="1"/>
  <c r="J83" i="36" s="1"/>
  <c r="K83" i="36" s="1"/>
  <c r="L83" i="36" s="1"/>
  <c r="M83" i="36" s="1"/>
  <c r="D78" i="36"/>
  <c r="E78" i="36" s="1"/>
  <c r="B75" i="36"/>
  <c r="J25" i="36" s="1"/>
  <c r="W25" i="36" s="1"/>
  <c r="B73" i="36"/>
  <c r="B71" i="36"/>
  <c r="F23" i="36" s="1"/>
  <c r="AA23" i="36" s="1"/>
  <c r="D70" i="36"/>
  <c r="H22" i="36"/>
  <c r="AB22" i="36" s="1"/>
  <c r="D68" i="36"/>
  <c r="E68" i="36" s="1"/>
  <c r="F68" i="36" s="1"/>
  <c r="G68" i="36" s="1"/>
  <c r="D64" i="36"/>
  <c r="E64" i="36" s="1"/>
  <c r="F64" i="36" s="1"/>
  <c r="J16" i="36"/>
  <c r="W16" i="36" s="1"/>
  <c r="D62" i="36"/>
  <c r="E62" i="36" s="1"/>
  <c r="F62" i="36" s="1"/>
  <c r="G62" i="36" s="1"/>
  <c r="B59" i="36"/>
  <c r="J13" i="36" s="1"/>
  <c r="B57" i="36"/>
  <c r="B55" i="36"/>
  <c r="F11" i="36" s="1"/>
  <c r="C51" i="36"/>
  <c r="P37" i="36"/>
  <c r="P36" i="36"/>
  <c r="V35" i="36"/>
  <c r="T35" i="36"/>
  <c r="R35" i="36"/>
  <c r="P35" i="36"/>
  <c r="Q34" i="36"/>
  <c r="Z34" i="36" s="1"/>
  <c r="Q33" i="36"/>
  <c r="Z33" i="36" s="1"/>
  <c r="Q32" i="36"/>
  <c r="Z32" i="36"/>
  <c r="Q31" i="36"/>
  <c r="Z31" i="36" s="1"/>
  <c r="Q30" i="36"/>
  <c r="Z30" i="36"/>
  <c r="Q29" i="36"/>
  <c r="Z29" i="36" s="1"/>
  <c r="Q28" i="36"/>
  <c r="Z28" i="36" s="1"/>
  <c r="J28" i="36"/>
  <c r="AC28" i="36" s="1"/>
  <c r="Q27" i="36"/>
  <c r="Z27" i="36"/>
  <c r="Q26" i="36"/>
  <c r="Z26" i="36" s="1"/>
  <c r="Q25" i="36"/>
  <c r="Z25" i="36" s="1"/>
  <c r="Q24" i="36"/>
  <c r="Z24" i="36" s="1"/>
  <c r="Q23" i="36"/>
  <c r="Z23" i="36" s="1"/>
  <c r="Q22" i="36"/>
  <c r="Z22" i="36" s="1"/>
  <c r="J22" i="36"/>
  <c r="AC22" i="36"/>
  <c r="Q20" i="36"/>
  <c r="Z20" i="36" s="1"/>
  <c r="Q16" i="36"/>
  <c r="Z16" i="36" s="1"/>
  <c r="Q14" i="36"/>
  <c r="Z14" i="36" s="1"/>
  <c r="Q13" i="36"/>
  <c r="Z13" i="36"/>
  <c r="Q12" i="36"/>
  <c r="Z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J36" i="35" s="1"/>
  <c r="AC36" i="35" s="1"/>
  <c r="H36" i="35"/>
  <c r="AB36" i="35" s="1"/>
  <c r="B99" i="35"/>
  <c r="J35" i="35" s="1"/>
  <c r="AC35" i="35" s="1"/>
  <c r="B97" i="35"/>
  <c r="H34" i="35" s="1"/>
  <c r="B77" i="35"/>
  <c r="H25" i="35" s="1"/>
  <c r="B75" i="35"/>
  <c r="B73" i="35"/>
  <c r="F23" i="35" s="1"/>
  <c r="AA23" i="35" s="1"/>
  <c r="B57" i="35"/>
  <c r="H11" i="35" s="1"/>
  <c r="AB11" i="35" s="1"/>
  <c r="B61" i="35"/>
  <c r="J13" i="35" s="1"/>
  <c r="AC13" i="35" s="1"/>
  <c r="B59" i="35"/>
  <c r="B131" i="34"/>
  <c r="H47" i="34" s="1"/>
  <c r="U47" i="34" s="1"/>
  <c r="B129" i="34"/>
  <c r="J46" i="34" s="1"/>
  <c r="AC46" i="34" s="1"/>
  <c r="B127" i="34"/>
  <c r="F45" i="34" s="1"/>
  <c r="S45" i="34" s="1"/>
  <c r="B99" i="34"/>
  <c r="F32" i="34" s="1"/>
  <c r="B97" i="34"/>
  <c r="H31" i="34" s="1"/>
  <c r="B95" i="34"/>
  <c r="H30" i="34" s="1"/>
  <c r="B93" i="34"/>
  <c r="J29" i="34" s="1"/>
  <c r="B75" i="34"/>
  <c r="B73" i="34"/>
  <c r="J13" i="34" s="1"/>
  <c r="B71" i="34"/>
  <c r="B130" i="33"/>
  <c r="J46" i="33" s="1"/>
  <c r="AC46" i="33" s="1"/>
  <c r="B128" i="33"/>
  <c r="F45" i="33" s="1"/>
  <c r="B126" i="33"/>
  <c r="H44" i="33" s="1"/>
  <c r="B98" i="33"/>
  <c r="J31" i="33" s="1"/>
  <c r="B96" i="33"/>
  <c r="H30" i="33" s="1"/>
  <c r="AB30" i="33" s="1"/>
  <c r="B94" i="33"/>
  <c r="J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D118" i="34"/>
  <c r="E118" i="34" s="1"/>
  <c r="F118" i="34" s="1"/>
  <c r="G118" i="34" s="1"/>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c r="Q38" i="34"/>
  <c r="Z38" i="34"/>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c r="J39" i="33"/>
  <c r="AC39" i="33" s="1"/>
  <c r="Q38" i="33"/>
  <c r="Z38" i="33" s="1"/>
  <c r="J38" i="33"/>
  <c r="AC38" i="33" s="1"/>
  <c r="H38" i="33"/>
  <c r="AB38" i="33"/>
  <c r="F38" i="33"/>
  <c r="AA38" i="33" s="1"/>
  <c r="Q37" i="33"/>
  <c r="Z37" i="33"/>
  <c r="Q36" i="33"/>
  <c r="Z36" i="33" s="1"/>
  <c r="Q35" i="33"/>
  <c r="Z35" i="33"/>
  <c r="H35" i="33"/>
  <c r="U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C25" i="39" s="1"/>
  <c r="C18" i="20"/>
  <c r="B94"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J44" i="21" s="1"/>
  <c r="AC44" i="21" s="1"/>
  <c r="B98" i="21"/>
  <c r="H31" i="21" s="1"/>
  <c r="B96" i="21"/>
  <c r="H30" i="21" s="1"/>
  <c r="U30" i="21" s="1"/>
  <c r="B94" i="21"/>
  <c r="B92" i="21"/>
  <c r="F28" i="21" s="1"/>
  <c r="AA28" i="21" s="1"/>
  <c r="B90" i="21"/>
  <c r="H27" i="21" s="1"/>
  <c r="J27" i="21"/>
  <c r="W27" i="21" s="1"/>
  <c r="B74" i="21"/>
  <c r="H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J45" i="39"/>
  <c r="W45" i="39" s="1"/>
  <c r="H36" i="39"/>
  <c r="AB36" i="39" s="1"/>
  <c r="J35" i="39"/>
  <c r="AC35" i="39" s="1"/>
  <c r="F35" i="39"/>
  <c r="AA35" i="39" s="1"/>
  <c r="W25" i="37"/>
  <c r="U30" i="37"/>
  <c r="W31" i="37"/>
  <c r="F29" i="36"/>
  <c r="AA29" i="36" s="1"/>
  <c r="F16" i="36"/>
  <c r="AA16" i="36" s="1"/>
  <c r="H22" i="35"/>
  <c r="AB22" i="35" s="1"/>
  <c r="W28" i="35"/>
  <c r="U31" i="35"/>
  <c r="S31" i="35"/>
  <c r="F36" i="34"/>
  <c r="S36" i="34" s="1"/>
  <c r="J35" i="34"/>
  <c r="W35" i="34" s="1"/>
  <c r="H39" i="33"/>
  <c r="AB39" i="33" s="1"/>
  <c r="F26" i="33"/>
  <c r="AA26" i="33"/>
  <c r="W39" i="33"/>
  <c r="H39" i="37"/>
  <c r="F11" i="40"/>
  <c r="AA11" i="40" s="1"/>
  <c r="H11" i="40"/>
  <c r="AB11" i="40"/>
  <c r="W8" i="40"/>
  <c r="S34" i="40"/>
  <c r="W31"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F27" i="39"/>
  <c r="F11" i="21"/>
  <c r="S11" i="21" s="1"/>
  <c r="S40" i="21"/>
  <c r="U34" i="21"/>
  <c r="H11" i="39"/>
  <c r="H32" i="33"/>
  <c r="U32" i="33" s="1"/>
  <c r="AB32" i="33"/>
  <c r="H11" i="21"/>
  <c r="U11" i="21" s="1"/>
  <c r="J11" i="21"/>
  <c r="W11" i="21" s="1"/>
  <c r="H37" i="40"/>
  <c r="U37" i="40"/>
  <c r="H36" i="40"/>
  <c r="AB36" i="40" s="1"/>
  <c r="F35" i="40"/>
  <c r="S35" i="40" s="1"/>
  <c r="AA35" i="40"/>
  <c r="H23" i="40"/>
  <c r="AB23" i="40" s="1"/>
  <c r="H17" i="40"/>
  <c r="U17" i="40" s="1"/>
  <c r="J15" i="40"/>
  <c r="W15" i="40" s="1"/>
  <c r="J11" i="40"/>
  <c r="W11" i="40"/>
  <c r="F37" i="39"/>
  <c r="AA37" i="39" s="1"/>
  <c r="J30" i="35"/>
  <c r="W30" i="35" s="1"/>
  <c r="H30" i="35"/>
  <c r="AB30" i="35" s="1"/>
  <c r="F22" i="35"/>
  <c r="AA22" i="35" s="1"/>
  <c r="H10" i="35"/>
  <c r="U10" i="35" s="1"/>
  <c r="J29" i="36"/>
  <c r="AC29" i="36" s="1"/>
  <c r="F34" i="36"/>
  <c r="S3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H17" i="34"/>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S34" i="37"/>
  <c r="AA34" i="37"/>
  <c r="AB42" i="34"/>
  <c r="J40" i="34"/>
  <c r="W40" i="34" s="1"/>
  <c r="H38" i="34"/>
  <c r="AB38" i="34" s="1"/>
  <c r="J36" i="34"/>
  <c r="W36" i="34" s="1"/>
  <c r="H37" i="34"/>
  <c r="U37" i="34" s="1"/>
  <c r="H25" i="34"/>
  <c r="AB25" i="34" s="1"/>
  <c r="F17" i="34"/>
  <c r="AA17" i="34" s="1"/>
  <c r="J17" i="34"/>
  <c r="W17" i="34" s="1"/>
  <c r="H37" i="33"/>
  <c r="AB37" i="33" s="1"/>
  <c r="H15" i="33"/>
  <c r="AB15" i="33" s="1"/>
  <c r="H11" i="33"/>
  <c r="AB11" i="33" s="1"/>
  <c r="F28" i="40"/>
  <c r="AA28" i="40" s="1"/>
  <c r="S42" i="34"/>
  <c r="AA38" i="34"/>
  <c r="J11" i="33"/>
  <c r="W11" i="33" s="1"/>
  <c r="M123" i="21"/>
  <c r="J42" i="21"/>
  <c r="AC42" i="21" s="1"/>
  <c r="H42" i="21"/>
  <c r="U42" i="21" s="1"/>
  <c r="J44" i="34"/>
  <c r="AC44" i="34" s="1"/>
  <c r="J10" i="35"/>
  <c r="AC10" i="35" s="1"/>
  <c r="J14" i="21"/>
  <c r="W14" i="21" s="1"/>
  <c r="F14" i="21"/>
  <c r="S14" i="21" s="1"/>
  <c r="U14" i="21"/>
  <c r="H28" i="21"/>
  <c r="AB28" i="21" s="1"/>
  <c r="J28" i="21"/>
  <c r="W28" i="21" s="1"/>
  <c r="F30" i="21"/>
  <c r="S30" i="21" s="1"/>
  <c r="J30" i="21"/>
  <c r="AC30" i="21"/>
  <c r="F44" i="21"/>
  <c r="AA44" i="21" s="1"/>
  <c r="H46" i="21"/>
  <c r="U46" i="21" s="1"/>
  <c r="F46" i="21"/>
  <c r="AA46"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J13" i="33"/>
  <c r="H13" i="33"/>
  <c r="U13" i="33" s="1"/>
  <c r="F13" i="33"/>
  <c r="S13" i="33" s="1"/>
  <c r="H29" i="33"/>
  <c r="U29" i="33"/>
  <c r="F29" i="33"/>
  <c r="S29" i="33" s="1"/>
  <c r="F31" i="33"/>
  <c r="H45" i="33"/>
  <c r="J45" i="33"/>
  <c r="W45" i="33" s="1"/>
  <c r="J14" i="34"/>
  <c r="W14" i="34" s="1"/>
  <c r="F14" i="34"/>
  <c r="S14" i="34" s="1"/>
  <c r="H14" i="34"/>
  <c r="U14" i="34" s="1"/>
  <c r="F30" i="34"/>
  <c r="S30" i="34" s="1"/>
  <c r="J30" i="34"/>
  <c r="H32" i="34"/>
  <c r="J32" i="34"/>
  <c r="W32" i="34" s="1"/>
  <c r="H46" i="34"/>
  <c r="U46" i="34" s="1"/>
  <c r="F46" i="34"/>
  <c r="S46" i="34" s="1"/>
  <c r="J11" i="35"/>
  <c r="W11" i="35" s="1"/>
  <c r="AC11" i="35"/>
  <c r="F11" i="35"/>
  <c r="S11" i="35" s="1"/>
  <c r="H28" i="36"/>
  <c r="U28" i="36" s="1"/>
  <c r="J11" i="36"/>
  <c r="AC11"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H14" i="33"/>
  <c r="U14" i="33" s="1"/>
  <c r="F14" i="33"/>
  <c r="S14" i="33" s="1"/>
  <c r="F30" i="33"/>
  <c r="J30" i="33"/>
  <c r="F44" i="33"/>
  <c r="S44" i="33" s="1"/>
  <c r="F46" i="33"/>
  <c r="AA46" i="33" s="1"/>
  <c r="H46" i="33"/>
  <c r="U46" i="33" s="1"/>
  <c r="H13" i="34"/>
  <c r="U13" i="34" s="1"/>
  <c r="W13" i="34"/>
  <c r="F29" i="34"/>
  <c r="S29" i="34" s="1"/>
  <c r="H29" i="34"/>
  <c r="AB29" i="34" s="1"/>
  <c r="J31" i="34"/>
  <c r="J45" i="34"/>
  <c r="W45" i="34" s="1"/>
  <c r="J47" i="34"/>
  <c r="AC47" i="34" s="1"/>
  <c r="F13" i="35"/>
  <c r="H13" i="35"/>
  <c r="U13" i="35" s="1"/>
  <c r="J25" i="35"/>
  <c r="W25" i="35" s="1"/>
  <c r="F25" i="35"/>
  <c r="S25" i="35" s="1"/>
  <c r="AB25" i="35"/>
  <c r="F35" i="35"/>
  <c r="AA35" i="35" s="1"/>
  <c r="F25" i="36"/>
  <c r="S25" i="36" s="1"/>
  <c r="F13" i="37"/>
  <c r="S13" i="37" s="1"/>
  <c r="J13" i="37"/>
  <c r="W13" i="37" s="1"/>
  <c r="J28" i="37"/>
  <c r="AC28" i="37" s="1"/>
  <c r="H28" i="37"/>
  <c r="J38" i="37"/>
  <c r="AC38" i="37" s="1"/>
  <c r="F38" i="37"/>
  <c r="S38" i="37" s="1"/>
  <c r="F43" i="39"/>
  <c r="AA43" i="39" s="1"/>
  <c r="H43" i="39"/>
  <c r="J14" i="39"/>
  <c r="AC14" i="39" s="1"/>
  <c r="H14" i="39"/>
  <c r="AB14" i="39" s="1"/>
  <c r="F12" i="40"/>
  <c r="S12" i="40" s="1"/>
  <c r="H30" i="40"/>
  <c r="AB30" i="40" s="1"/>
  <c r="F33" i="40"/>
  <c r="AA33" i="40" s="1"/>
  <c r="H33" i="40"/>
  <c r="U33" i="40" s="1"/>
  <c r="J35" i="40"/>
  <c r="AC35" i="40" s="1"/>
  <c r="J37" i="40"/>
  <c r="AC37" i="40" s="1"/>
  <c r="H13" i="40"/>
  <c r="U13" i="40" s="1"/>
  <c r="F13" i="40"/>
  <c r="AA13" i="40" s="1"/>
  <c r="F14" i="37"/>
  <c r="F27" i="37"/>
  <c r="AA27" i="37" s="1"/>
  <c r="F13" i="39"/>
  <c r="J13" i="39"/>
  <c r="W13" i="39" s="1"/>
  <c r="H13" i="39"/>
  <c r="U13" i="39" s="1"/>
  <c r="H14" i="40"/>
  <c r="U14" i="40" s="1"/>
  <c r="F14" i="40"/>
  <c r="AA14" i="40" s="1"/>
  <c r="J14" i="37"/>
  <c r="AA14" i="33"/>
  <c r="J36" i="37"/>
  <c r="AC36" i="37" s="1"/>
  <c r="J10" i="36"/>
  <c r="AC10" i="36" s="1"/>
  <c r="BA586" i="3"/>
  <c r="F17" i="21"/>
  <c r="AA17" i="21" s="1"/>
  <c r="H17" i="21"/>
  <c r="AB17" i="21" s="1"/>
  <c r="F15" i="21"/>
  <c r="S15" i="21" s="1"/>
  <c r="J41" i="39"/>
  <c r="W41" i="39" s="1"/>
  <c r="S35" i="39"/>
  <c r="G531" i="3"/>
  <c r="G518" i="3"/>
  <c r="G514" i="3"/>
  <c r="G500" i="3"/>
  <c r="G576" i="3"/>
  <c r="G560" i="3"/>
  <c r="G554" i="3"/>
  <c r="BL512" i="3"/>
  <c r="BL562" i="3"/>
  <c r="G529" i="3"/>
  <c r="G493" i="3"/>
  <c r="BA568" i="3"/>
  <c r="BA548" i="3"/>
  <c r="BA510" i="3"/>
  <c r="BA579" i="3"/>
  <c r="BA559" i="3"/>
  <c r="BA507" i="3"/>
  <c r="G583" i="3"/>
  <c r="G581" i="3"/>
  <c r="G577" i="3"/>
  <c r="G575" i="3"/>
  <c r="G569" i="3"/>
  <c r="G567" i="3"/>
  <c r="G561" i="3"/>
  <c r="AC557" i="3"/>
  <c r="BQ557" i="3"/>
  <c r="BL557" i="3" s="1"/>
  <c r="BQ583" i="3"/>
  <c r="BQ581" i="3"/>
  <c r="BQ579" i="3"/>
  <c r="BQ577" i="3"/>
  <c r="BL577" i="3" s="1"/>
  <c r="BQ575" i="3"/>
  <c r="BQ573" i="3"/>
  <c r="BQ571" i="3"/>
  <c r="BQ569" i="3"/>
  <c r="BL569" i="3" s="1"/>
  <c r="BQ567" i="3"/>
  <c r="BQ565" i="3"/>
  <c r="BQ563" i="3"/>
  <c r="BQ561" i="3"/>
  <c r="BQ559" i="3"/>
  <c r="G555"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L519" i="3" s="1"/>
  <c r="BQ517" i="3"/>
  <c r="BQ515" i="3"/>
  <c r="BQ513" i="3"/>
  <c r="BQ511" i="3"/>
  <c r="AC509" i="3"/>
  <c r="G509" i="3" s="1"/>
  <c r="BQ509" i="3"/>
  <c r="BL508" i="3"/>
  <c r="G503" i="3"/>
  <c r="G501" i="3"/>
  <c r="G495" i="3"/>
  <c r="BQ507" i="3"/>
  <c r="BQ505" i="3"/>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F14" i="36"/>
  <c r="AA14" i="36" s="1"/>
  <c r="F22" i="36"/>
  <c r="S22" i="36" s="1"/>
  <c r="H27" i="34"/>
  <c r="AB27" i="34" s="1"/>
  <c r="H35" i="34"/>
  <c r="U35" i="34" s="1"/>
  <c r="F41" i="34"/>
  <c r="J41" i="34"/>
  <c r="AC41" i="34" s="1"/>
  <c r="F10" i="35"/>
  <c r="S10" i="35" s="1"/>
  <c r="H24" i="35"/>
  <c r="AB24" i="35" s="1"/>
  <c r="H23" i="37"/>
  <c r="AB23" i="37" s="1"/>
  <c r="J32" i="37"/>
  <c r="AC32" i="37" s="1"/>
  <c r="F36" i="37"/>
  <c r="AA36" i="37" s="1"/>
  <c r="F37" i="37"/>
  <c r="AA37" i="37" s="1"/>
  <c r="F31" i="40"/>
  <c r="AA31" i="40" s="1"/>
  <c r="H31" i="40"/>
  <c r="U31" i="40" s="1"/>
  <c r="J36" i="40"/>
  <c r="W36" i="40" s="1"/>
  <c r="H19" i="37"/>
  <c r="AB19" i="37" s="1"/>
  <c r="H42" i="33"/>
  <c r="AB42" i="33" s="1"/>
  <c r="J43" i="33"/>
  <c r="AC43" i="33" s="1"/>
  <c r="S28" i="31"/>
  <c r="S27" i="31"/>
  <c r="S26" i="31"/>
  <c r="AC36" i="34"/>
  <c r="AC45" i="33"/>
  <c r="U11" i="33"/>
  <c r="U19" i="21"/>
  <c r="W44" i="21"/>
  <c r="AB38" i="21"/>
  <c r="F43" i="33"/>
  <c r="AA43" i="33" s="1"/>
  <c r="W16" i="35"/>
  <c r="H37" i="21"/>
  <c r="U37" i="21"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S14" i="40"/>
  <c r="AC13"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4"/>
  <c r="A118" i="9"/>
  <c r="A4" i="52"/>
  <c r="B41" i="72" s="1"/>
  <c r="J11" i="39"/>
  <c r="W11" i="39" s="1"/>
  <c r="F11" i="39"/>
  <c r="S11"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AZ383" i="3" s="1"/>
  <c r="BL384" i="3"/>
  <c r="G385" i="3"/>
  <c r="BA387" i="3"/>
  <c r="AZ387" i="3" s="1"/>
  <c r="BL388" i="3"/>
  <c r="G389" i="3"/>
  <c r="BA391" i="3"/>
  <c r="BL392" i="3"/>
  <c r="G393" i="3"/>
  <c r="G538" i="3"/>
  <c r="G520" i="3"/>
  <c r="G502" i="3"/>
  <c r="G17" i="3"/>
  <c r="AZ356" i="3"/>
  <c r="BL493" i="3"/>
  <c r="U36" i="40"/>
  <c r="F83" i="43"/>
  <c r="H85" i="43" s="1"/>
  <c r="F50" i="43"/>
  <c r="H54" i="43" s="1"/>
  <c r="F72" i="43"/>
  <c r="H75" i="43" s="1"/>
  <c r="U17" i="39"/>
  <c r="S14" i="35"/>
  <c r="U43" i="21"/>
  <c r="U35" i="21"/>
  <c r="AC35" i="21"/>
  <c r="G10" i="1"/>
  <c r="W37" i="37"/>
  <c r="U13" i="37"/>
  <c r="AA12" i="40"/>
  <c r="J37" i="33"/>
  <c r="W37" i="33" s="1"/>
  <c r="AC17" i="34"/>
  <c r="F106" i="33"/>
  <c r="G106" i="33" s="1"/>
  <c r="H106" i="33" s="1"/>
  <c r="I106" i="33" s="1"/>
  <c r="J106" i="33" s="1"/>
  <c r="K106" i="33" s="1"/>
  <c r="L106" i="33" s="1"/>
  <c r="M106" i="33" s="1"/>
  <c r="J34" i="33"/>
  <c r="W34" i="33"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S32" i="37" s="1"/>
  <c r="F20" i="36"/>
  <c r="AA20" i="36" s="1"/>
  <c r="H23" i="39"/>
  <c r="U23" i="39" s="1"/>
  <c r="D48" i="9"/>
  <c r="M52" i="9" s="1"/>
  <c r="K9" i="1"/>
  <c r="M9" i="1" s="1"/>
  <c r="D93" i="9"/>
  <c r="AC26" i="33"/>
  <c r="W26" i="33"/>
  <c r="W27" i="34"/>
  <c r="AC12" i="39"/>
  <c r="W12" i="39"/>
  <c r="W12" i="33"/>
  <c r="AC12" i="33"/>
  <c r="U30" i="33"/>
  <c r="AC13" i="34"/>
  <c r="W28" i="37"/>
  <c r="F12" i="33"/>
  <c r="S12" i="33" s="1"/>
  <c r="H12" i="39"/>
  <c r="AB12" i="39" s="1"/>
  <c r="F39" i="40"/>
  <c r="B12" i="1"/>
  <c r="E12" i="1" s="1"/>
  <c r="B10" i="1"/>
  <c r="E10" i="1" s="1"/>
  <c r="K12" i="1"/>
  <c r="M12" i="1" s="1"/>
  <c r="S13" i="1"/>
  <c r="AR13" i="1" s="1"/>
  <c r="R13" i="1"/>
  <c r="J51" i="67"/>
  <c r="B41" i="1"/>
  <c r="F48" i="9" s="1"/>
  <c r="O52" i="9" s="1"/>
  <c r="AB37" i="40"/>
  <c r="S17" i="40"/>
  <c r="S23" i="40"/>
  <c r="AC17" i="40"/>
  <c r="AC15" i="40"/>
  <c r="S28" i="40"/>
  <c r="U21" i="40"/>
  <c r="AB19" i="40"/>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AA22" i="36"/>
  <c r="U22" i="36"/>
  <c r="AA25" i="36"/>
  <c r="AA25" i="35"/>
  <c r="S23" i="35"/>
  <c r="AB13" i="35"/>
  <c r="U29" i="35"/>
  <c r="U28" i="35"/>
  <c r="AB27" i="35"/>
  <c r="U36" i="35"/>
  <c r="U32" i="35"/>
  <c r="AC30" i="35"/>
  <c r="S32" i="35"/>
  <c r="AA36" i="35"/>
  <c r="S28" i="35"/>
  <c r="AB16" i="35"/>
  <c r="U22" i="35"/>
  <c r="S20" i="35"/>
  <c r="S22" i="35"/>
  <c r="U14" i="35"/>
  <c r="AA11" i="35"/>
  <c r="AC9" i="35"/>
  <c r="W9" i="35"/>
  <c r="W13" i="35"/>
  <c r="F9" i="35"/>
  <c r="S9" i="35" s="1"/>
  <c r="H9" i="35"/>
  <c r="U9" i="35" s="1"/>
  <c r="AC29" i="37"/>
  <c r="U29" i="37"/>
  <c r="AB31" i="37"/>
  <c r="W30" i="37"/>
  <c r="S36" i="37"/>
  <c r="AA38" i="37"/>
  <c r="U32" i="37"/>
  <c r="W38" i="37"/>
  <c r="AC35" i="37"/>
  <c r="W39" i="37"/>
  <c r="S30"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B8" i="34"/>
  <c r="AC42" i="34"/>
  <c r="AA29" i="34"/>
  <c r="H10" i="34"/>
  <c r="AB10" i="34" s="1"/>
  <c r="F11" i="34"/>
  <c r="S11" i="34" s="1"/>
  <c r="F70" i="34"/>
  <c r="W42" i="33"/>
  <c r="S27" i="33"/>
  <c r="S32" i="33"/>
  <c r="AB29" i="33"/>
  <c r="W38" i="33"/>
  <c r="H41" i="33"/>
  <c r="AB41" i="33" s="1"/>
  <c r="F121" i="33"/>
  <c r="G121" i="33" s="1"/>
  <c r="H121" i="33" s="1"/>
  <c r="I121" i="33" s="1"/>
  <c r="J121" i="33" s="1"/>
  <c r="K121" i="33" s="1"/>
  <c r="L121" i="33" s="1"/>
  <c r="M121" i="33" s="1"/>
  <c r="U42" i="33"/>
  <c r="S42" i="33"/>
  <c r="F36" i="33"/>
  <c r="AA36" i="33" s="1"/>
  <c r="J35" i="33"/>
  <c r="S37" i="33"/>
  <c r="AA37" i="33"/>
  <c r="S39"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F25" i="33"/>
  <c r="J23" i="33"/>
  <c r="AC23" i="33" s="1"/>
  <c r="F85" i="33"/>
  <c r="G85" i="33" s="1"/>
  <c r="H23" i="33"/>
  <c r="U23" i="33" s="1"/>
  <c r="F81" i="33"/>
  <c r="F19" i="33"/>
  <c r="S19" i="33" s="1"/>
  <c r="W19" i="33"/>
  <c r="J17" i="33"/>
  <c r="AC17" i="33" s="1"/>
  <c r="S15" i="33"/>
  <c r="W15" i="33"/>
  <c r="J10" i="33"/>
  <c r="W10" i="33" s="1"/>
  <c r="H10" i="33"/>
  <c r="U10" i="33" s="1"/>
  <c r="AC11" i="33"/>
  <c r="W43" i="21"/>
  <c r="W36" i="21"/>
  <c r="W41" i="21"/>
  <c r="AB39" i="21"/>
  <c r="AA43" i="21"/>
  <c r="S39" i="21"/>
  <c r="AA38" i="21"/>
  <c r="AA36" i="21"/>
  <c r="AC40" i="21"/>
  <c r="J15" i="21"/>
  <c r="W15" i="21" s="1"/>
  <c r="F77" i="21"/>
  <c r="G77" i="21" s="1"/>
  <c r="F23" i="21"/>
  <c r="S23" i="21"/>
  <c r="E85" i="21"/>
  <c r="F85" i="21" s="1"/>
  <c r="G85" i="21" s="1"/>
  <c r="AA14" i="21"/>
  <c r="D120" i="9"/>
  <c r="D121" i="9" s="1"/>
  <c r="D7" i="52" s="1"/>
  <c r="C18" i="9"/>
  <c r="D18" i="9" s="1"/>
  <c r="F34" i="67"/>
  <c r="F62" i="67" s="1"/>
  <c r="M20" i="67"/>
  <c r="F34" i="15"/>
  <c r="F62" i="15" s="1"/>
  <c r="G13" i="3"/>
  <c r="BL17" i="3"/>
  <c r="BL13" i="3"/>
  <c r="J56" i="9"/>
  <c r="J57" i="9" s="1"/>
  <c r="J59" i="9" s="1"/>
  <c r="J61" i="9" s="1"/>
  <c r="A24" i="51"/>
  <c r="B18" i="72" s="1"/>
  <c r="E5" i="6"/>
  <c r="E32" i="6"/>
  <c r="G1" i="68"/>
  <c r="K1" i="12"/>
  <c r="E19" i="69"/>
  <c r="E19" i="68"/>
  <c r="E19" i="11"/>
  <c r="G22" i="68"/>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S33" i="40"/>
  <c r="AA15" i="40"/>
  <c r="U11" i="40"/>
  <c r="S31" i="40"/>
  <c r="AB13" i="40"/>
  <c r="U15" i="40"/>
  <c r="AB17" i="40"/>
  <c r="U8" i="40"/>
  <c r="S8" i="40"/>
  <c r="AC41" i="39"/>
  <c r="U42" i="39"/>
  <c r="U41" i="39"/>
  <c r="AC25" i="39"/>
  <c r="AA13" i="39"/>
  <c r="S13" i="39"/>
  <c r="S14" i="39"/>
  <c r="AA14" i="39"/>
  <c r="U43" i="39"/>
  <c r="AB43" i="39"/>
  <c r="AB11" i="39"/>
  <c r="U11" i="39"/>
  <c r="AA27" i="39"/>
  <c r="S27" i="39"/>
  <c r="W17" i="39"/>
  <c r="AC17" i="39"/>
  <c r="W31" i="39"/>
  <c r="AC31" i="39"/>
  <c r="S23" i="39"/>
  <c r="AB39" i="39"/>
  <c r="W34" i="39"/>
  <c r="U38" i="39"/>
  <c r="S8" i="39"/>
  <c r="AC25" i="36"/>
  <c r="W22" i="36"/>
  <c r="AB20" i="35"/>
  <c r="AC25" i="35"/>
  <c r="U25" i="35"/>
  <c r="U24" i="35"/>
  <c r="S35" i="35"/>
  <c r="W35" i="35"/>
  <c r="AA35" i="37"/>
  <c r="W36" i="37"/>
  <c r="S27" i="37"/>
  <c r="S28" i="37"/>
  <c r="W32" i="37"/>
  <c r="U36" i="37"/>
  <c r="U38" i="37"/>
  <c r="AB37" i="37"/>
  <c r="AC34" i="37"/>
  <c r="AB35" i="37"/>
  <c r="U19" i="37"/>
  <c r="U8" i="37"/>
  <c r="AA30" i="34"/>
  <c r="AB47" i="34"/>
  <c r="AC14" i="34"/>
  <c r="AC32" i="34"/>
  <c r="AC29" i="34"/>
  <c r="W29" i="34"/>
  <c r="S32" i="34"/>
  <c r="AA32" i="34"/>
  <c r="U30" i="34"/>
  <c r="AB30" i="34"/>
  <c r="U38" i="34"/>
  <c r="AA8" i="34"/>
  <c r="S8" i="34"/>
  <c r="U32" i="34"/>
  <c r="AB3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32" i="21"/>
  <c r="W32" i="21" s="1"/>
  <c r="F32" i="21"/>
  <c r="S32" i="21" s="1"/>
  <c r="U17" i="21"/>
  <c r="S19" i="21"/>
  <c r="S9" i="21"/>
  <c r="AA9" i="21"/>
  <c r="K141" i="21"/>
  <c r="K144" i="21"/>
  <c r="K143" i="21"/>
  <c r="U27" i="21"/>
  <c r="AA30" i="21"/>
  <c r="W42" i="21"/>
  <c r="F10" i="21"/>
  <c r="AA10" i="21" s="1"/>
  <c r="K145" i="21"/>
  <c r="W17" i="21"/>
  <c r="W25" i="21"/>
  <c r="W31" i="21"/>
  <c r="S27" i="21"/>
  <c r="S17" i="21"/>
  <c r="AA15" i="21"/>
  <c r="AC27" i="21"/>
  <c r="AC26" i="21"/>
  <c r="S28" i="21"/>
  <c r="AC34" i="21"/>
  <c r="AB36" i="21"/>
  <c r="W30" i="40"/>
  <c r="C17" i="40"/>
  <c r="C23" i="40"/>
  <c r="C21" i="40"/>
  <c r="B54" i="43"/>
  <c r="B58" i="43"/>
  <c r="B69" i="43"/>
  <c r="D23" i="15"/>
  <c r="D22" i="15"/>
  <c r="E4" i="4"/>
  <c r="B5" i="62" s="1"/>
  <c r="B73" i="72" s="1"/>
  <c r="C4" i="4"/>
  <c r="F30" i="68"/>
  <c r="F48" i="68" s="1"/>
  <c r="F31" i="12"/>
  <c r="F52" i="9"/>
  <c r="F30" i="69"/>
  <c r="F48" i="69" s="1"/>
  <c r="F32" i="15"/>
  <c r="F60" i="15" s="1"/>
  <c r="AA39" i="40"/>
  <c r="S39" i="40"/>
  <c r="J32" i="39"/>
  <c r="W32" i="39" s="1"/>
  <c r="H32" i="39"/>
  <c r="AB32" i="39" s="1"/>
  <c r="S32" i="39"/>
  <c r="AB21" i="39"/>
  <c r="U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U41" i="33"/>
  <c r="W35" i="33"/>
  <c r="AC35" i="33"/>
  <c r="J36" i="33"/>
  <c r="W36" i="33" s="1"/>
  <c r="H36" i="33"/>
  <c r="U36" i="33" s="1"/>
  <c r="S36" i="33"/>
  <c r="U27" i="33"/>
  <c r="J27" i="33"/>
  <c r="U25" i="33"/>
  <c r="AB25" i="33"/>
  <c r="S25" i="33"/>
  <c r="AA25" i="33"/>
  <c r="J25" i="33"/>
  <c r="AC25" i="33" s="1"/>
  <c r="AB23" i="33"/>
  <c r="F23" i="33"/>
  <c r="AA19" i="33"/>
  <c r="H19" i="33"/>
  <c r="AB19" i="33" s="1"/>
  <c r="G81" i="33"/>
  <c r="H17" i="33"/>
  <c r="U17" i="33" s="1"/>
  <c r="F17" i="33"/>
  <c r="S17" i="33" s="1"/>
  <c r="W17" i="33"/>
  <c r="AA23" i="21"/>
  <c r="AB15" i="21"/>
  <c r="J23" i="21"/>
  <c r="W23" i="21" s="1"/>
  <c r="H23" i="21"/>
  <c r="U23" i="21" s="1"/>
  <c r="S13" i="21"/>
  <c r="D6" i="52"/>
  <c r="AP7" i="1"/>
  <c r="U9" i="21"/>
  <c r="A18" i="62"/>
  <c r="B64" i="72" s="1"/>
  <c r="AC23" i="37"/>
  <c r="J11" i="37"/>
  <c r="AC11" i="37" s="1"/>
  <c r="J11" i="34"/>
  <c r="W11" i="34" s="1"/>
  <c r="W27" i="33"/>
  <c r="AC27" i="33"/>
  <c r="W25"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40" i="15"/>
  <c r="E12" i="76"/>
  <c r="M6" i="15"/>
  <c r="F5" i="73"/>
  <c r="J15" i="15"/>
  <c r="C76" i="15"/>
  <c r="M22" i="15"/>
  <c r="B12" i="76"/>
  <c r="B8" i="76"/>
  <c r="F42" i="67"/>
  <c r="C20" i="9"/>
  <c r="F16" i="15"/>
  <c r="F38" i="67"/>
  <c r="B13" i="76"/>
  <c r="E7" i="76"/>
  <c r="C76" i="67"/>
  <c r="L48" i="15"/>
  <c r="F6" i="73"/>
  <c r="F37" i="15"/>
  <c r="F20" i="31"/>
  <c r="E13" i="76"/>
  <c r="M23" i="15"/>
  <c r="F38" i="15"/>
  <c r="E2" i="69"/>
  <c r="D35" i="9"/>
  <c r="C19" i="9"/>
  <c r="M24" i="15"/>
  <c r="F8" i="15"/>
  <c r="F43" i="15"/>
  <c r="AO13" i="1"/>
  <c r="M22" i="67"/>
  <c r="E10" i="76"/>
  <c r="F7" i="15"/>
  <c r="F3" i="73"/>
  <c r="F7" i="73"/>
  <c r="M8" i="15"/>
  <c r="E11" i="76"/>
  <c r="D34" i="9"/>
  <c r="E8" i="76"/>
  <c r="D6" i="73"/>
  <c r="D19" i="9"/>
  <c r="F13" i="15"/>
  <c r="F16" i="67"/>
  <c r="F4" i="73"/>
  <c r="F9" i="15"/>
  <c r="F6" i="15"/>
  <c r="B10" i="76"/>
  <c r="B9" i="76"/>
  <c r="L47" i="15"/>
  <c r="B11" i="76"/>
  <c r="M8" i="67"/>
  <c r="M28" i="15"/>
  <c r="E2" i="68"/>
  <c r="F26" i="15"/>
  <c r="B7" i="76"/>
  <c r="E9" i="76"/>
  <c r="D20" i="9"/>
  <c r="G64" i="36" l="1"/>
  <c r="H16" i="36"/>
  <c r="AB16" i="36" s="1"/>
  <c r="S16" i="36"/>
  <c r="W29" i="36"/>
  <c r="U29" i="36"/>
  <c r="F78" i="36"/>
  <c r="F26" i="36"/>
  <c r="S26" i="36" s="1"/>
  <c r="H26" i="36"/>
  <c r="AB26" i="36" s="1"/>
  <c r="AA26" i="36"/>
  <c r="AB33" i="36"/>
  <c r="H34" i="36"/>
  <c r="AA34" i="36"/>
  <c r="S23" i="36"/>
  <c r="AB28" i="36"/>
  <c r="W28" i="36"/>
  <c r="BA17" i="3"/>
  <c r="BA16" i="3"/>
  <c r="G18" i="3"/>
  <c r="AB14" i="36"/>
  <c r="S20" i="36"/>
  <c r="AC20" i="36"/>
  <c r="W14" i="36"/>
  <c r="S14" i="36"/>
  <c r="C19" i="39"/>
  <c r="B67" i="43"/>
  <c r="B56" i="43"/>
  <c r="B62" i="43"/>
  <c r="C40" i="68"/>
  <c r="C21" i="68"/>
  <c r="G22" i="11"/>
  <c r="E1" i="73"/>
  <c r="G22" i="69"/>
  <c r="G26" i="12"/>
  <c r="S37" i="21"/>
  <c r="F54" i="9"/>
  <c r="F28" i="15"/>
  <c r="F32" i="67"/>
  <c r="F60" i="67" s="1"/>
  <c r="F28" i="67"/>
  <c r="U33" i="33"/>
  <c r="AC32" i="39"/>
  <c r="AA19" i="37"/>
  <c r="D68" i="9"/>
  <c r="M18" i="15"/>
  <c r="M18" i="67"/>
  <c r="F30" i="11"/>
  <c r="C48" i="11" s="1"/>
  <c r="AC15" i="37"/>
  <c r="AB20" i="36"/>
  <c r="AA12" i="39"/>
  <c r="S30" i="40"/>
  <c r="AZ175" i="3"/>
  <c r="S25" i="21"/>
  <c r="AA25" i="21"/>
  <c r="S14" i="37"/>
  <c r="AA14" i="37"/>
  <c r="F40" i="37"/>
  <c r="H40" i="37"/>
  <c r="AC11" i="39"/>
  <c r="AZ381" i="3"/>
  <c r="AC27" i="39"/>
  <c r="W27" i="39"/>
  <c r="AB39" i="37"/>
  <c r="U39" i="37"/>
  <c r="F39" i="34"/>
  <c r="AA39" i="34" s="1"/>
  <c r="F12" i="35"/>
  <c r="J12" i="35"/>
  <c r="H12" i="35"/>
  <c r="J24" i="35"/>
  <c r="F24" i="35"/>
  <c r="AZ183" i="3"/>
  <c r="AZ380" i="3"/>
  <c r="H44" i="39"/>
  <c r="F44" i="39"/>
  <c r="J44" i="39"/>
  <c r="BL584" i="3"/>
  <c r="BA583" i="3"/>
  <c r="BL582" i="3"/>
  <c r="BA582" i="3"/>
  <c r="BI5" i="3"/>
  <c r="BM5" i="3"/>
  <c r="AZ379" i="3"/>
  <c r="AZ372" i="3"/>
  <c r="AZ203" i="3"/>
  <c r="H25" i="36"/>
  <c r="H45" i="34"/>
  <c r="U45" i="34" s="1"/>
  <c r="H31" i="33"/>
  <c r="U31" i="33" s="1"/>
  <c r="F31" i="21"/>
  <c r="J13" i="21"/>
  <c r="H44" i="21"/>
  <c r="J25" i="34"/>
  <c r="AC25" i="34" s="1"/>
  <c r="F25" i="34"/>
  <c r="S25" i="34" s="1"/>
  <c r="U38" i="40"/>
  <c r="W33" i="33"/>
  <c r="W22" i="35"/>
  <c r="J33" i="36"/>
  <c r="AC33" i="36" s="1"/>
  <c r="F39" i="37"/>
  <c r="S39" i="37" s="1"/>
  <c r="U9" i="39"/>
  <c r="F36" i="39"/>
  <c r="S36" i="39" s="1"/>
  <c r="G586" i="3"/>
  <c r="H12" i="33"/>
  <c r="U12" i="33" s="1"/>
  <c r="BA578" i="3"/>
  <c r="BA571" i="3"/>
  <c r="BA570" i="3"/>
  <c r="BA569" i="3"/>
  <c r="BL568" i="3"/>
  <c r="BG5" i="3"/>
  <c r="BL566" i="3"/>
  <c r="BJ5" i="3"/>
  <c r="BA561" i="3"/>
  <c r="BA560" i="3"/>
  <c r="BL558" i="3"/>
  <c r="BA558" i="3"/>
  <c r="BA552" i="3"/>
  <c r="BA547" i="3"/>
  <c r="BA543" i="3"/>
  <c r="BL542" i="3"/>
  <c r="AZ542" i="3" s="1"/>
  <c r="BA542" i="3"/>
  <c r="BL540" i="3"/>
  <c r="AZ540" i="3" s="1"/>
  <c r="BA540" i="3"/>
  <c r="BL538" i="3"/>
  <c r="BA535" i="3"/>
  <c r="BA534" i="3"/>
  <c r="BL533" i="3"/>
  <c r="AZ533" i="3" s="1"/>
  <c r="BA525" i="3"/>
  <c r="BL524" i="3"/>
  <c r="BA523" i="3"/>
  <c r="AZ523" i="3" s="1"/>
  <c r="BL522" i="3"/>
  <c r="BA522" i="3"/>
  <c r="AZ522" i="3" s="1"/>
  <c r="BA520" i="3"/>
  <c r="BA513" i="3"/>
  <c r="BA512" i="3"/>
  <c r="AZ512" i="3" s="1"/>
  <c r="G511" i="3"/>
  <c r="G510" i="3"/>
  <c r="BA509" i="3"/>
  <c r="G507" i="3"/>
  <c r="G505" i="3"/>
  <c r="BL504" i="3"/>
  <c r="G504" i="3"/>
  <c r="BA502" i="3"/>
  <c r="BT5" i="3"/>
  <c r="BL500" i="3"/>
  <c r="BA499" i="3"/>
  <c r="G499" i="3"/>
  <c r="BA498" i="3"/>
  <c r="G498" i="3"/>
  <c r="BA497" i="3"/>
  <c r="G497" i="3"/>
  <c r="H5" i="3"/>
  <c r="BL494" i="3"/>
  <c r="BK5" i="3"/>
  <c r="BC5" i="3"/>
  <c r="BO5" i="3"/>
  <c r="F29" i="6" s="1"/>
  <c r="G408" i="3"/>
  <c r="G409" i="3"/>
  <c r="G413" i="3"/>
  <c r="BA413" i="3"/>
  <c r="G424" i="3"/>
  <c r="G425" i="3"/>
  <c r="BL427" i="3"/>
  <c r="G429" i="3"/>
  <c r="G430" i="3"/>
  <c r="BA431" i="3"/>
  <c r="AZ431" i="3" s="1"/>
  <c r="G448" i="3"/>
  <c r="G453" i="3"/>
  <c r="BL455" i="3"/>
  <c r="G456" i="3"/>
  <c r="BA466" i="3"/>
  <c r="G469" i="3"/>
  <c r="BA469" i="3"/>
  <c r="BA470" i="3"/>
  <c r="BL479" i="3"/>
  <c r="G480" i="3"/>
  <c r="BA485" i="3"/>
  <c r="G213" i="3"/>
  <c r="G226" i="3"/>
  <c r="BA254" i="3"/>
  <c r="AZ254" i="3" s="1"/>
  <c r="G256" i="3"/>
  <c r="BA257" i="3"/>
  <c r="BL259" i="3"/>
  <c r="G260" i="3"/>
  <c r="G273" i="3"/>
  <c r="G276" i="3"/>
  <c r="G158" i="3"/>
  <c r="BA162" i="3"/>
  <c r="G170" i="3"/>
  <c r="G174" i="3"/>
  <c r="G179" i="3"/>
  <c r="G188" i="3"/>
  <c r="G29" i="3"/>
  <c r="BA40" i="3"/>
  <c r="G41" i="3"/>
  <c r="BA67" i="3"/>
  <c r="BA70" i="3"/>
  <c r="BA72" i="3"/>
  <c r="AZ72" i="3" s="1"/>
  <c r="BL72" i="3"/>
  <c r="G74" i="3"/>
  <c r="BA75" i="3"/>
  <c r="G87" i="3"/>
  <c r="BL91" i="3"/>
  <c r="G92" i="3"/>
  <c r="BA92" i="3"/>
  <c r="G95" i="3"/>
  <c r="G99" i="3"/>
  <c r="BL100" i="3"/>
  <c r="BL103" i="3"/>
  <c r="G104" i="3"/>
  <c r="G105" i="3"/>
  <c r="AC18" i="35"/>
  <c r="P27" i="6"/>
  <c r="BA65" i="3"/>
  <c r="AZ65" i="3" s="1"/>
  <c r="BA88" i="3"/>
  <c r="BL99" i="3"/>
  <c r="S21" i="33"/>
  <c r="B68" i="43"/>
  <c r="Y25" i="71"/>
  <c r="Z25" i="71" s="1"/>
  <c r="C63" i="71"/>
  <c r="C64" i="71" s="1"/>
  <c r="BA407" i="3"/>
  <c r="BL409" i="3"/>
  <c r="G410" i="3"/>
  <c r="BA419" i="3"/>
  <c r="G426" i="3"/>
  <c r="G431" i="3"/>
  <c r="BA444" i="3"/>
  <c r="G447" i="3"/>
  <c r="G454" i="3"/>
  <c r="G455" i="3"/>
  <c r="BL458" i="3"/>
  <c r="G459" i="3"/>
  <c r="G470" i="3"/>
  <c r="G474" i="3"/>
  <c r="G478" i="3"/>
  <c r="BA487" i="3"/>
  <c r="G358" i="3"/>
  <c r="BL223" i="3"/>
  <c r="G224" i="3"/>
  <c r="G232" i="3"/>
  <c r="G249" i="3"/>
  <c r="BA260" i="3"/>
  <c r="G266" i="3"/>
  <c r="BL269" i="3"/>
  <c r="G274" i="3"/>
  <c r="BL289" i="3"/>
  <c r="BA291" i="3"/>
  <c r="G123" i="3"/>
  <c r="G147" i="3"/>
  <c r="G163" i="3"/>
  <c r="BA30" i="3"/>
  <c r="G31" i="3"/>
  <c r="G39" i="3"/>
  <c r="G63" i="3"/>
  <c r="BA78" i="3"/>
  <c r="BL79" i="3"/>
  <c r="BL81" i="3"/>
  <c r="BA82" i="3"/>
  <c r="G85" i="3"/>
  <c r="BL85" i="3"/>
  <c r="BA86" i="3"/>
  <c r="G93" i="3"/>
  <c r="G98" i="3"/>
  <c r="BA98" i="3"/>
  <c r="F3" i="35"/>
  <c r="S21" i="37"/>
  <c r="S18" i="36"/>
  <c r="B57" i="43"/>
  <c r="C87" i="71"/>
  <c r="Q68" i="71"/>
  <c r="N68" i="71"/>
  <c r="V68" i="71"/>
  <c r="BL399" i="3"/>
  <c r="BA402" i="3"/>
  <c r="BA406" i="3"/>
  <c r="BL433" i="3"/>
  <c r="BL434" i="3"/>
  <c r="BL472" i="3"/>
  <c r="BL381" i="3"/>
  <c r="BA386" i="3"/>
  <c r="AZ386" i="3" s="1"/>
  <c r="BL395" i="3"/>
  <c r="BA397" i="3"/>
  <c r="AZ397" i="3" s="1"/>
  <c r="BL397" i="3"/>
  <c r="BL227" i="3"/>
  <c r="BL252" i="3"/>
  <c r="BA275" i="3"/>
  <c r="BA282" i="3"/>
  <c r="BL282" i="3"/>
  <c r="BL158" i="3"/>
  <c r="BA168" i="3"/>
  <c r="AZ168" i="3" s="1"/>
  <c r="BL175" i="3"/>
  <c r="BA176" i="3"/>
  <c r="AZ176" i="3" s="1"/>
  <c r="BL183" i="3"/>
  <c r="BA186" i="3"/>
  <c r="BA190" i="3"/>
  <c r="BL201" i="3"/>
  <c r="BL203" i="3"/>
  <c r="BA204" i="3"/>
  <c r="AZ204" i="3" s="1"/>
  <c r="BA18" i="3"/>
  <c r="BL21" i="3"/>
  <c r="D80" i="71"/>
  <c r="B63" i="71"/>
  <c r="B64" i="71" s="1"/>
  <c r="S64" i="71" s="1"/>
  <c r="F79" i="71"/>
  <c r="F78" i="71" s="1"/>
  <c r="W46" i="34"/>
  <c r="H33" i="34"/>
  <c r="U33" i="34" s="1"/>
  <c r="F33" i="34"/>
  <c r="S33" i="34" s="1"/>
  <c r="J33" i="34"/>
  <c r="AC33" i="34" s="1"/>
  <c r="J39" i="34"/>
  <c r="W39" i="34" s="1"/>
  <c r="AB45" i="34"/>
  <c r="AC45" i="34"/>
  <c r="AA45" i="34"/>
  <c r="AZ558" i="3"/>
  <c r="W28" i="34"/>
  <c r="AC28" i="34"/>
  <c r="J24" i="36"/>
  <c r="H24" i="36"/>
  <c r="F24" i="36"/>
  <c r="F32" i="36"/>
  <c r="H32" i="36"/>
  <c r="AB34" i="40"/>
  <c r="U34" i="40"/>
  <c r="J32" i="40"/>
  <c r="AC32" i="40" s="1"/>
  <c r="F32" i="40"/>
  <c r="S40" i="33"/>
  <c r="AA40" i="33"/>
  <c r="W31" i="35"/>
  <c r="AC31" i="35"/>
  <c r="AC30" i="36"/>
  <c r="W30" i="36"/>
  <c r="BA584" i="3"/>
  <c r="BL580" i="3"/>
  <c r="BL578" i="3"/>
  <c r="AZ578" i="3" s="1"/>
  <c r="BA577" i="3"/>
  <c r="BL576" i="3"/>
  <c r="BA576" i="3"/>
  <c r="BL575" i="3"/>
  <c r="AZ575" i="3" s="1"/>
  <c r="BA575" i="3"/>
  <c r="BA574" i="3"/>
  <c r="BL570" i="3"/>
  <c r="AZ570" i="3" s="1"/>
  <c r="BA567" i="3"/>
  <c r="BA566" i="3"/>
  <c r="AZ566" i="3" s="1"/>
  <c r="BA563" i="3"/>
  <c r="BA562" i="3"/>
  <c r="BL561" i="3"/>
  <c r="BL560" i="3"/>
  <c r="BA557" i="3"/>
  <c r="AZ557" i="3" s="1"/>
  <c r="BA556" i="3"/>
  <c r="BA554" i="3"/>
  <c r="BA553" i="3"/>
  <c r="BL552" i="3"/>
  <c r="AZ552" i="3" s="1"/>
  <c r="BA549" i="3"/>
  <c r="AZ549" i="3" s="1"/>
  <c r="BL546" i="3"/>
  <c r="BL544" i="3"/>
  <c r="BA544" i="3"/>
  <c r="BA541" i="3"/>
  <c r="BA539" i="3"/>
  <c r="BA538" i="3"/>
  <c r="BL532" i="3"/>
  <c r="BA531" i="3"/>
  <c r="BL530" i="3"/>
  <c r="AZ530" i="3" s="1"/>
  <c r="BA528" i="3"/>
  <c r="BA527" i="3"/>
  <c r="BL526" i="3"/>
  <c r="BA524" i="3"/>
  <c r="BA521" i="3"/>
  <c r="BL520" i="3"/>
  <c r="AZ520" i="3" s="1"/>
  <c r="BL518" i="3"/>
  <c r="BA517" i="3"/>
  <c r="BA516" i="3"/>
  <c r="BA515" i="3"/>
  <c r="BA514" i="3"/>
  <c r="BL510" i="3"/>
  <c r="AZ510" i="3" s="1"/>
  <c r="BA508" i="3"/>
  <c r="AZ508" i="3" s="1"/>
  <c r="BL506" i="3"/>
  <c r="BA505" i="3"/>
  <c r="BA504" i="3"/>
  <c r="AZ504" i="3" s="1"/>
  <c r="BA503" i="3"/>
  <c r="BL502" i="3"/>
  <c r="AZ502" i="3" s="1"/>
  <c r="BA496" i="3"/>
  <c r="BA495" i="3"/>
  <c r="AZ577" i="3"/>
  <c r="AZ568" i="3"/>
  <c r="U19" i="33"/>
  <c r="U32" i="39"/>
  <c r="W32" i="33"/>
  <c r="U30" i="40"/>
  <c r="C15" i="40"/>
  <c r="AB14" i="34"/>
  <c r="AA46" i="34"/>
  <c r="AA36" i="34"/>
  <c r="AA31" i="37"/>
  <c r="AA16" i="35"/>
  <c r="AA39" i="39"/>
  <c r="U29" i="34"/>
  <c r="AA35" i="33"/>
  <c r="S37" i="37"/>
  <c r="AC36" i="40"/>
  <c r="S19" i="39"/>
  <c r="S15" i="37"/>
  <c r="AZ391" i="3"/>
  <c r="AZ338" i="3"/>
  <c r="AZ327" i="3"/>
  <c r="AZ311" i="3"/>
  <c r="AZ389" i="3"/>
  <c r="AA13" i="33"/>
  <c r="H32" i="40"/>
  <c r="S21" i="40"/>
  <c r="BL563" i="3"/>
  <c r="G496" i="3"/>
  <c r="AB30" i="21"/>
  <c r="W40" i="37"/>
  <c r="AC40" i="37"/>
  <c r="J32" i="36"/>
  <c r="AB23" i="21"/>
  <c r="AA32" i="21"/>
  <c r="S17" i="37"/>
  <c r="AA12" i="33"/>
  <c r="B51" i="43"/>
  <c r="AB25" i="21"/>
  <c r="J9" i="21"/>
  <c r="AC15" i="21"/>
  <c r="AA13" i="36"/>
  <c r="AB13" i="39"/>
  <c r="AB14" i="33"/>
  <c r="U9" i="33"/>
  <c r="AA29" i="33"/>
  <c r="U37" i="39"/>
  <c r="AA19" i="40"/>
  <c r="U35" i="40"/>
  <c r="BE5" i="3"/>
  <c r="AC5" i="3"/>
  <c r="AZ310" i="3"/>
  <c r="AZ355" i="3"/>
  <c r="W35" i="40"/>
  <c r="BL531" i="3"/>
  <c r="BL537" i="3"/>
  <c r="BL545" i="3"/>
  <c r="AB26" i="37"/>
  <c r="U26" i="37"/>
  <c r="AA17" i="33"/>
  <c r="AB32" i="21"/>
  <c r="AB34" i="33"/>
  <c r="AA29" i="37"/>
  <c r="W27" i="40"/>
  <c r="AC20" i="35"/>
  <c r="AA33" i="35"/>
  <c r="AZ17" i="3"/>
  <c r="S42" i="39"/>
  <c r="W47" i="34"/>
  <c r="BL499" i="3"/>
  <c r="AZ499" i="3" s="1"/>
  <c r="BL521" i="3"/>
  <c r="AZ521" i="3" s="1"/>
  <c r="BL547" i="3"/>
  <c r="AZ547" i="3" s="1"/>
  <c r="BL553" i="3"/>
  <c r="BL583" i="3"/>
  <c r="AZ583" i="3" s="1"/>
  <c r="W31" i="34"/>
  <c r="AC31" i="34"/>
  <c r="AA45" i="33"/>
  <c r="S45" i="33"/>
  <c r="U34" i="37"/>
  <c r="BA587" i="3"/>
  <c r="E82" i="34"/>
  <c r="F19" i="34"/>
  <c r="AA19" i="34" s="1"/>
  <c r="F28" i="34"/>
  <c r="H28" i="34"/>
  <c r="E126" i="34"/>
  <c r="F126" i="34" s="1"/>
  <c r="G126" i="34" s="1"/>
  <c r="F44" i="34"/>
  <c r="AA44" i="34" s="1"/>
  <c r="BL503" i="3"/>
  <c r="BL513" i="3"/>
  <c r="BL527" i="3"/>
  <c r="BL541" i="3"/>
  <c r="AZ541" i="3" s="1"/>
  <c r="BL555" i="3"/>
  <c r="BL559" i="3"/>
  <c r="AZ559" i="3" s="1"/>
  <c r="BL573" i="3"/>
  <c r="BL579" i="3"/>
  <c r="G557" i="3"/>
  <c r="F47" i="34"/>
  <c r="F31" i="34"/>
  <c r="S38" i="33"/>
  <c r="E116" i="34"/>
  <c r="F116" i="34" s="1"/>
  <c r="G116" i="34" s="1"/>
  <c r="H116" i="34" s="1"/>
  <c r="I116" i="34" s="1"/>
  <c r="J116" i="34" s="1"/>
  <c r="K116" i="34" s="1"/>
  <c r="L116" i="34" s="1"/>
  <c r="M116" i="34" s="1"/>
  <c r="H39" i="34"/>
  <c r="AB39" i="34" s="1"/>
  <c r="J12" i="36"/>
  <c r="H12" i="36"/>
  <c r="F12" i="36"/>
  <c r="AA40" i="39"/>
  <c r="S40" i="39"/>
  <c r="AB9" i="40"/>
  <c r="U9" i="40"/>
  <c r="E112" i="34"/>
  <c r="F37" i="34"/>
  <c r="AA37" i="34" s="1"/>
  <c r="AZ326" i="3"/>
  <c r="AZ344" i="3"/>
  <c r="AZ304" i="3"/>
  <c r="H41" i="34"/>
  <c r="U41" i="34" s="1"/>
  <c r="BL515" i="3"/>
  <c r="BL523" i="3"/>
  <c r="BL535" i="3"/>
  <c r="AZ535" i="3" s="1"/>
  <c r="BL551" i="3"/>
  <c r="BL567" i="3"/>
  <c r="U36" i="39"/>
  <c r="AA14" i="34"/>
  <c r="H35" i="35"/>
  <c r="F13" i="34"/>
  <c r="J44" i="33"/>
  <c r="J23" i="34"/>
  <c r="AC23" i="34" s="1"/>
  <c r="F45" i="39"/>
  <c r="J29" i="21"/>
  <c r="H29" i="21"/>
  <c r="AB35" i="33"/>
  <c r="AB34" i="35"/>
  <c r="U34" i="35"/>
  <c r="J12" i="40"/>
  <c r="H12" i="40"/>
  <c r="B97" i="43"/>
  <c r="B75" i="43"/>
  <c r="AB40" i="33"/>
  <c r="U40" i="33"/>
  <c r="F124" i="34"/>
  <c r="G124" i="34" s="1"/>
  <c r="H124" i="34" s="1"/>
  <c r="I124" i="34" s="1"/>
  <c r="J124" i="34" s="1"/>
  <c r="K124" i="34" s="1"/>
  <c r="L124" i="34" s="1"/>
  <c r="M124" i="34" s="1"/>
  <c r="H43" i="34"/>
  <c r="AB43" i="34" s="1"/>
  <c r="J43" i="34"/>
  <c r="AC43" i="34" s="1"/>
  <c r="AA27" i="35"/>
  <c r="S27" i="35"/>
  <c r="G582" i="3"/>
  <c r="G574" i="3"/>
  <c r="G566" i="3"/>
  <c r="G559" i="3"/>
  <c r="G558" i="3"/>
  <c r="G552" i="3"/>
  <c r="G544" i="3"/>
  <c r="G508" i="3"/>
  <c r="G14" i="3"/>
  <c r="G584" i="3"/>
  <c r="G570" i="3"/>
  <c r="G568" i="3"/>
  <c r="BA555" i="3"/>
  <c r="BL554" i="3"/>
  <c r="BP5" i="3"/>
  <c r="BN5" i="3"/>
  <c r="BR5" i="3"/>
  <c r="BS5" i="3"/>
  <c r="G401" i="3"/>
  <c r="G404" i="3"/>
  <c r="G415" i="3"/>
  <c r="G422" i="3"/>
  <c r="BA424" i="3"/>
  <c r="AZ424" i="3" s="1"/>
  <c r="BL431" i="3"/>
  <c r="G433" i="3"/>
  <c r="BL440" i="3"/>
  <c r="BA441" i="3"/>
  <c r="G444" i="3"/>
  <c r="G445" i="3"/>
  <c r="BL445" i="3"/>
  <c r="BL446" i="3"/>
  <c r="G451" i="3"/>
  <c r="BA451" i="3"/>
  <c r="BA452" i="3"/>
  <c r="BA458" i="3"/>
  <c r="AZ458" i="3" s="1"/>
  <c r="G461" i="3"/>
  <c r="G463" i="3"/>
  <c r="BA463" i="3"/>
  <c r="G466" i="3"/>
  <c r="G467" i="3"/>
  <c r="BL467" i="3"/>
  <c r="BL468" i="3"/>
  <c r="BL470" i="3"/>
  <c r="G472" i="3"/>
  <c r="BA473" i="3"/>
  <c r="BA476" i="3"/>
  <c r="BL476" i="3"/>
  <c r="BL477" i="3"/>
  <c r="BL478" i="3"/>
  <c r="G479" i="3"/>
  <c r="BA486" i="3"/>
  <c r="BL488" i="3"/>
  <c r="G489" i="3"/>
  <c r="G490" i="3"/>
  <c r="G491" i="3"/>
  <c r="BA319" i="3"/>
  <c r="AZ319" i="3" s="1"/>
  <c r="G364" i="3"/>
  <c r="G380" i="3"/>
  <c r="BL208" i="3"/>
  <c r="G209" i="3"/>
  <c r="BA210" i="3"/>
  <c r="BL210" i="3"/>
  <c r="BL212" i="3"/>
  <c r="G215" i="3"/>
  <c r="BL215" i="3"/>
  <c r="G228" i="3"/>
  <c r="G234" i="3"/>
  <c r="BA240" i="3"/>
  <c r="G243" i="3"/>
  <c r="BA244" i="3"/>
  <c r="BL244" i="3"/>
  <c r="G247" i="3"/>
  <c r="BA248" i="3"/>
  <c r="G251" i="3"/>
  <c r="BA258" i="3"/>
  <c r="BL293" i="3"/>
  <c r="BL294" i="3"/>
  <c r="BA297" i="3"/>
  <c r="BL297" i="3"/>
  <c r="BA301" i="3"/>
  <c r="BA124" i="3"/>
  <c r="AZ124" i="3" s="1"/>
  <c r="BL127" i="3"/>
  <c r="AZ127" i="3" s="1"/>
  <c r="G136" i="3"/>
  <c r="G144" i="3"/>
  <c r="BA149" i="3"/>
  <c r="BL169" i="3"/>
  <c r="BL173" i="3"/>
  <c r="BA189" i="3"/>
  <c r="BA400" i="3"/>
  <c r="BA401" i="3"/>
  <c r="BA404" i="3"/>
  <c r="BA405" i="3"/>
  <c r="BA410" i="3"/>
  <c r="BL412" i="3"/>
  <c r="BL419" i="3"/>
  <c r="BL430" i="3"/>
  <c r="BL443" i="3"/>
  <c r="BL449" i="3"/>
  <c r="BL450" i="3"/>
  <c r="BL452" i="3"/>
  <c r="BA456" i="3"/>
  <c r="BA462" i="3"/>
  <c r="AZ462" i="3" s="1"/>
  <c r="BL465" i="3"/>
  <c r="BL469" i="3"/>
  <c r="BL484" i="3"/>
  <c r="BL487" i="3"/>
  <c r="BL308" i="3"/>
  <c r="AZ308" i="3" s="1"/>
  <c r="BL316" i="3"/>
  <c r="BL340" i="3"/>
  <c r="AZ340" i="3" s="1"/>
  <c r="BL346" i="3"/>
  <c r="AZ346" i="3" s="1"/>
  <c r="BL211" i="3"/>
  <c r="BA214" i="3"/>
  <c r="BL216" i="3"/>
  <c r="BL266" i="3"/>
  <c r="G270" i="3"/>
  <c r="BA277" i="3"/>
  <c r="AZ277" i="3" s="1"/>
  <c r="BL277" i="3"/>
  <c r="BL280" i="3"/>
  <c r="BA286" i="3"/>
  <c r="BL291" i="3"/>
  <c r="AZ291" i="3" s="1"/>
  <c r="BL298" i="3"/>
  <c r="BL300" i="3"/>
  <c r="BL122" i="3"/>
  <c r="G127" i="3"/>
  <c r="BL155" i="3"/>
  <c r="AZ155" i="3" s="1"/>
  <c r="BL157" i="3"/>
  <c r="BL163" i="3"/>
  <c r="AZ163" i="3" s="1"/>
  <c r="BL402" i="3"/>
  <c r="BA403" i="3"/>
  <c r="BL406" i="3"/>
  <c r="AZ406" i="3" s="1"/>
  <c r="BL410" i="3"/>
  <c r="AZ410" i="3" s="1"/>
  <c r="G412" i="3"/>
  <c r="G414" i="3"/>
  <c r="BL416" i="3"/>
  <c r="G418" i="3"/>
  <c r="G419" i="3"/>
  <c r="G421" i="3"/>
  <c r="BL423" i="3"/>
  <c r="G438" i="3"/>
  <c r="BL438" i="3"/>
  <c r="BL439" i="3"/>
  <c r="BA443" i="3"/>
  <c r="BL447" i="3"/>
  <c r="BL451" i="3"/>
  <c r="AZ451" i="3" s="1"/>
  <c r="G452" i="3"/>
  <c r="BL456" i="3"/>
  <c r="G460" i="3"/>
  <c r="G464" i="3"/>
  <c r="G475" i="3"/>
  <c r="BA480" i="3"/>
  <c r="BL480" i="3"/>
  <c r="G482" i="3"/>
  <c r="BA483" i="3"/>
  <c r="BL483" i="3"/>
  <c r="AZ483" i="3" s="1"/>
  <c r="BA315" i="3"/>
  <c r="AZ315" i="3" s="1"/>
  <c r="BA331" i="3"/>
  <c r="AZ331" i="3" s="1"/>
  <c r="BA333" i="3"/>
  <c r="BL367" i="3"/>
  <c r="G374" i="3"/>
  <c r="G384" i="3"/>
  <c r="BA385" i="3"/>
  <c r="G216" i="3"/>
  <c r="G217" i="3"/>
  <c r="BA217" i="3"/>
  <c r="G220" i="3"/>
  <c r="G221" i="3"/>
  <c r="G225" i="3"/>
  <c r="BA246" i="3"/>
  <c r="BA250" i="3"/>
  <c r="BA252" i="3"/>
  <c r="AZ252" i="3" s="1"/>
  <c r="BA256" i="3"/>
  <c r="BL256" i="3"/>
  <c r="BA265" i="3"/>
  <c r="BL267" i="3"/>
  <c r="BL272" i="3"/>
  <c r="BL273" i="3"/>
  <c r="G284" i="3"/>
  <c r="BA284" i="3"/>
  <c r="G288" i="3"/>
  <c r="BA134" i="3"/>
  <c r="BA140" i="3"/>
  <c r="AZ140" i="3" s="1"/>
  <c r="BL146" i="3"/>
  <c r="BL154" i="3"/>
  <c r="BA227" i="3"/>
  <c r="C31" i="71"/>
  <c r="BA207" i="3"/>
  <c r="AZ207" i="3" s="1"/>
  <c r="G26" i="3"/>
  <c r="BL29" i="3"/>
  <c r="BL35" i="3"/>
  <c r="BA37" i="3"/>
  <c r="BL39" i="3"/>
  <c r="BA47" i="3"/>
  <c r="G50" i="3"/>
  <c r="BA50" i="3"/>
  <c r="BA55" i="3"/>
  <c r="BL68" i="3"/>
  <c r="BA69" i="3"/>
  <c r="BL101" i="3"/>
  <c r="BL102" i="3"/>
  <c r="U25" i="40"/>
  <c r="X26" i="71"/>
  <c r="BL161" i="3"/>
  <c r="BA188" i="3"/>
  <c r="AZ188" i="3" s="1"/>
  <c r="BL195" i="3"/>
  <c r="AZ195" i="3" s="1"/>
  <c r="BA197" i="3"/>
  <c r="G206" i="3"/>
  <c r="BL24" i="3"/>
  <c r="BL34" i="3"/>
  <c r="BL44" i="3"/>
  <c r="BA45" i="3"/>
  <c r="BA46" i="3"/>
  <c r="BL52" i="3"/>
  <c r="BA53" i="3"/>
  <c r="BA54" i="3"/>
  <c r="AZ54" i="3" s="1"/>
  <c r="G67" i="3"/>
  <c r="BL76" i="3"/>
  <c r="BL86" i="3"/>
  <c r="AZ86" i="3" s="1"/>
  <c r="G88" i="3"/>
  <c r="BA91" i="3"/>
  <c r="AZ91" i="3" s="1"/>
  <c r="BL97" i="3"/>
  <c r="BA110" i="3"/>
  <c r="AZ110" i="3" s="1"/>
  <c r="AA28" i="71"/>
  <c r="B66" i="71"/>
  <c r="N65" i="71" s="1"/>
  <c r="E67" i="71"/>
  <c r="C51" i="71"/>
  <c r="AB27" i="71"/>
  <c r="AB32" i="71"/>
  <c r="Y35" i="71"/>
  <c r="Z35" i="71" s="1"/>
  <c r="B59" i="71"/>
  <c r="B60" i="71" s="1"/>
  <c r="S60" i="71" s="1"/>
  <c r="BA218" i="3"/>
  <c r="BL218" i="3"/>
  <c r="G227" i="3"/>
  <c r="G236" i="3"/>
  <c r="BA241" i="3"/>
  <c r="BL241" i="3"/>
  <c r="BA245" i="3"/>
  <c r="G253" i="3"/>
  <c r="BA255" i="3"/>
  <c r="G258" i="3"/>
  <c r="BL262" i="3"/>
  <c r="G263" i="3"/>
  <c r="BL264" i="3"/>
  <c r="G267" i="3"/>
  <c r="G268" i="3"/>
  <c r="BA268" i="3"/>
  <c r="BL278" i="3"/>
  <c r="BA283" i="3"/>
  <c r="BA288" i="3"/>
  <c r="BL290" i="3"/>
  <c r="BA293" i="3"/>
  <c r="G302" i="3"/>
  <c r="G126" i="3"/>
  <c r="BA126" i="3"/>
  <c r="G134" i="3"/>
  <c r="G138" i="3"/>
  <c r="G146" i="3"/>
  <c r="BA148" i="3"/>
  <c r="AZ148" i="3" s="1"/>
  <c r="G151" i="3"/>
  <c r="BL166" i="3"/>
  <c r="G167" i="3"/>
  <c r="BA177" i="3"/>
  <c r="BL186" i="3"/>
  <c r="AZ186" i="3" s="1"/>
  <c r="G195" i="3"/>
  <c r="BL198" i="3"/>
  <c r="BL23" i="3"/>
  <c r="G32" i="3"/>
  <c r="G33" i="3"/>
  <c r="G34" i="3"/>
  <c r="G38" i="3"/>
  <c r="G42" i="3"/>
  <c r="G43" i="3"/>
  <c r="G44" i="3"/>
  <c r="G51" i="3"/>
  <c r="G52" i="3"/>
  <c r="BA52" i="3"/>
  <c r="BL62" i="3"/>
  <c r="BL63" i="3"/>
  <c r="G70" i="3"/>
  <c r="G71" i="3"/>
  <c r="BL96" i="3"/>
  <c r="G106" i="3"/>
  <c r="BL106" i="3"/>
  <c r="BA108" i="3"/>
  <c r="G110" i="3"/>
  <c r="G112" i="3"/>
  <c r="K13" i="1"/>
  <c r="M13" i="1" s="1"/>
  <c r="O13" i="1" s="1"/>
  <c r="P13" i="1" s="1"/>
  <c r="W18" i="36"/>
  <c r="AA18" i="35"/>
  <c r="E75" i="71"/>
  <c r="E74" i="71" s="1"/>
  <c r="U68" i="71"/>
  <c r="C35" i="71"/>
  <c r="C36" i="71" s="1"/>
  <c r="E38" i="71"/>
  <c r="H15" i="34"/>
  <c r="AB15" i="34" s="1"/>
  <c r="J15" i="34"/>
  <c r="AC15" i="34" s="1"/>
  <c r="F15" i="34"/>
  <c r="AA15" i="34" s="1"/>
  <c r="AC38" i="34"/>
  <c r="U43" i="34"/>
  <c r="S37" i="34"/>
  <c r="AC40" i="34"/>
  <c r="W44" i="34"/>
  <c r="W43" i="34"/>
  <c r="W41" i="34"/>
  <c r="AB41" i="34"/>
  <c r="AB40" i="34"/>
  <c r="AC35" i="34"/>
  <c r="AA25" i="34"/>
  <c r="H23" i="34"/>
  <c r="U23" i="34" s="1"/>
  <c r="F23" i="34"/>
  <c r="AA23" i="34" s="1"/>
  <c r="F84" i="34"/>
  <c r="G84" i="34" s="1"/>
  <c r="J21" i="34"/>
  <c r="W21" i="34" s="1"/>
  <c r="H21" i="34"/>
  <c r="AB21" i="34" s="1"/>
  <c r="S17" i="34"/>
  <c r="S23" i="34"/>
  <c r="S43" i="34"/>
  <c r="AA40" i="34"/>
  <c r="AB36" i="34"/>
  <c r="AB35" i="34"/>
  <c r="AB33" i="34"/>
  <c r="W33" i="34"/>
  <c r="U27" i="34"/>
  <c r="U25" i="34"/>
  <c r="W25" i="34"/>
  <c r="BA15" i="3"/>
  <c r="BH5" i="3"/>
  <c r="BF5" i="3"/>
  <c r="BB5" i="3"/>
  <c r="E15" i="6" s="1"/>
  <c r="E64" i="39" s="1"/>
  <c r="BA14" i="3"/>
  <c r="BD5" i="3"/>
  <c r="BL14" i="3"/>
  <c r="G29" i="6"/>
  <c r="C7" i="21"/>
  <c r="C58" i="21" s="1"/>
  <c r="D58" i="21" s="1"/>
  <c r="G23" i="43"/>
  <c r="C23" i="43" s="1"/>
  <c r="C7" i="33"/>
  <c r="C42" i="1"/>
  <c r="C24" i="12" s="1"/>
  <c r="C7" i="37"/>
  <c r="C52" i="37" s="1"/>
  <c r="D52" i="37" s="1"/>
  <c r="E52" i="37" s="1"/>
  <c r="F52" i="37" s="1"/>
  <c r="G52" i="37" s="1"/>
  <c r="H52" i="37" s="1"/>
  <c r="I52" i="37" s="1"/>
  <c r="J52" i="37" s="1"/>
  <c r="K52" i="37" s="1"/>
  <c r="L52" i="37" s="1"/>
  <c r="M52" i="37" s="1"/>
  <c r="N52" i="37" s="1"/>
  <c r="O52" i="37" s="1"/>
  <c r="M47" i="9"/>
  <c r="C7" i="35"/>
  <c r="C48" i="35" s="1"/>
  <c r="D48" i="35" s="1"/>
  <c r="E48" i="35" s="1"/>
  <c r="B13" i="53"/>
  <c r="B29" i="72" s="1"/>
  <c r="AC29" i="21"/>
  <c r="W29" i="21"/>
  <c r="AC23" i="21"/>
  <c r="AA32" i="37"/>
  <c r="AZ362" i="3"/>
  <c r="AZ390" i="3"/>
  <c r="AZ351" i="3"/>
  <c r="AZ336" i="3"/>
  <c r="AZ579" i="3"/>
  <c r="AB14" i="40"/>
  <c r="AB46" i="33"/>
  <c r="AA36" i="39"/>
  <c r="BL585" i="3"/>
  <c r="AA42" i="21"/>
  <c r="J23" i="35"/>
  <c r="H23" i="35"/>
  <c r="H9" i="36"/>
  <c r="J9" i="36"/>
  <c r="AZ306" i="3"/>
  <c r="AZ513" i="3"/>
  <c r="J45" i="21"/>
  <c r="F45" i="21"/>
  <c r="AA35" i="34"/>
  <c r="S35" i="34"/>
  <c r="AA9" i="40"/>
  <c r="S9" i="40"/>
  <c r="BA581" i="3"/>
  <c r="BA580" i="3"/>
  <c r="AZ580" i="3" s="1"/>
  <c r="BL574" i="3"/>
  <c r="AZ574" i="3" s="1"/>
  <c r="BA573" i="3"/>
  <c r="BA572" i="3"/>
  <c r="BA565" i="3"/>
  <c r="BA564" i="3"/>
  <c r="AZ564" i="3" s="1"/>
  <c r="BL556" i="3"/>
  <c r="AZ556" i="3" s="1"/>
  <c r="BA546" i="3"/>
  <c r="BA545" i="3"/>
  <c r="AZ545" i="3" s="1"/>
  <c r="BA537" i="3"/>
  <c r="AZ537" i="3" s="1"/>
  <c r="BL536" i="3"/>
  <c r="BA536" i="3"/>
  <c r="BL534" i="3"/>
  <c r="AZ534" i="3" s="1"/>
  <c r="BA532" i="3"/>
  <c r="AZ532" i="3" s="1"/>
  <c r="BL529" i="3"/>
  <c r="BA529" i="3"/>
  <c r="BL528" i="3"/>
  <c r="AZ528" i="3" s="1"/>
  <c r="BA526" i="3"/>
  <c r="AZ526" i="3" s="1"/>
  <c r="BL525" i="3"/>
  <c r="BA519" i="3"/>
  <c r="AZ519" i="3" s="1"/>
  <c r="BA518" i="3"/>
  <c r="AZ518" i="3" s="1"/>
  <c r="BL517" i="3"/>
  <c r="AZ517" i="3" s="1"/>
  <c r="BL516" i="3"/>
  <c r="BL514" i="3"/>
  <c r="BA511" i="3"/>
  <c r="BL509" i="3"/>
  <c r="AZ509" i="3" s="1"/>
  <c r="BA506" i="3"/>
  <c r="BL505" i="3"/>
  <c r="BL501" i="3"/>
  <c r="BA501" i="3"/>
  <c r="BA500" i="3"/>
  <c r="AZ500" i="3" s="1"/>
  <c r="BL498" i="3"/>
  <c r="BL497" i="3"/>
  <c r="AZ497" i="3" s="1"/>
  <c r="BL496" i="3"/>
  <c r="AZ496" i="3" s="1"/>
  <c r="BA494" i="3"/>
  <c r="AZ494" i="3" s="1"/>
  <c r="BA493" i="3"/>
  <c r="AZ493" i="3" s="1"/>
  <c r="AB36" i="33"/>
  <c r="AB45" i="21"/>
  <c r="U12" i="39"/>
  <c r="AA27" i="40"/>
  <c r="AB27" i="40"/>
  <c r="AA34" i="33"/>
  <c r="AZ357" i="3"/>
  <c r="AZ322" i="3"/>
  <c r="AZ313" i="3"/>
  <c r="AZ394" i="3"/>
  <c r="AC12" i="37"/>
  <c r="AZ561" i="3"/>
  <c r="AZ569" i="3"/>
  <c r="AZ524" i="3"/>
  <c r="AZ582" i="3"/>
  <c r="AB46" i="34"/>
  <c r="W31" i="33"/>
  <c r="AC31" i="33"/>
  <c r="S29" i="35"/>
  <c r="AA29" i="35"/>
  <c r="G585" i="3"/>
  <c r="BL587" i="3"/>
  <c r="AZ587" i="3" s="1"/>
  <c r="BL586" i="3"/>
  <c r="AZ586" i="3" s="1"/>
  <c r="BA585" i="3"/>
  <c r="AZ585" i="3" s="1"/>
  <c r="F25" i="37"/>
  <c r="H25" i="37"/>
  <c r="AC40" i="39"/>
  <c r="W40" i="39"/>
  <c r="AC34" i="33"/>
  <c r="AZ334" i="3"/>
  <c r="AZ347" i="3"/>
  <c r="AA11" i="39"/>
  <c r="AZ516" i="3"/>
  <c r="AZ584" i="3"/>
  <c r="AC28" i="21"/>
  <c r="AA44" i="33"/>
  <c r="AA11" i="36"/>
  <c r="S11" i="36"/>
  <c r="U45" i="33"/>
  <c r="AB45" i="33"/>
  <c r="U26" i="33"/>
  <c r="S41" i="33"/>
  <c r="U17" i="34"/>
  <c r="AB17" i="34"/>
  <c r="AC40" i="33"/>
  <c r="W40" i="33"/>
  <c r="H28" i="33"/>
  <c r="J28" i="33"/>
  <c r="H27" i="37"/>
  <c r="J27" i="37"/>
  <c r="U8" i="39"/>
  <c r="AB8" i="39"/>
  <c r="F38" i="40"/>
  <c r="J38" i="40"/>
  <c r="AA41" i="21"/>
  <c r="S41" i="21"/>
  <c r="BL581" i="3"/>
  <c r="AZ581" i="3" s="1"/>
  <c r="BL572" i="3"/>
  <c r="BL571" i="3"/>
  <c r="AZ571" i="3" s="1"/>
  <c r="W27" i="35"/>
  <c r="AC27" i="35"/>
  <c r="AB31" i="36"/>
  <c r="U31" i="36"/>
  <c r="AA34" i="39"/>
  <c r="S34" i="39"/>
  <c r="J39" i="40"/>
  <c r="H39" i="40"/>
  <c r="BA551" i="3"/>
  <c r="BA550" i="3"/>
  <c r="BL548" i="3"/>
  <c r="AZ548" i="3" s="1"/>
  <c r="BL511" i="3"/>
  <c r="BL539" i="3"/>
  <c r="BL543" i="3"/>
  <c r="AZ543" i="3" s="1"/>
  <c r="BL565" i="3"/>
  <c r="F33" i="36"/>
  <c r="AC9" i="34"/>
  <c r="W9" i="34"/>
  <c r="F9" i="34"/>
  <c r="AA9" i="34" s="1"/>
  <c r="H9" i="34"/>
  <c r="J12" i="34"/>
  <c r="F12" i="34"/>
  <c r="H12" i="34"/>
  <c r="G556" i="3"/>
  <c r="AZ443" i="3"/>
  <c r="AZ402" i="3"/>
  <c r="AZ469" i="3"/>
  <c r="AZ487" i="3"/>
  <c r="G587" i="3"/>
  <c r="B101" i="43"/>
  <c r="B79" i="43"/>
  <c r="H23" i="36"/>
  <c r="J23" i="36"/>
  <c r="G399" i="3"/>
  <c r="BL400" i="3"/>
  <c r="AZ400" i="3" s="1"/>
  <c r="BL408" i="3"/>
  <c r="BL411" i="3"/>
  <c r="BL413" i="3"/>
  <c r="G416" i="3"/>
  <c r="BL417" i="3"/>
  <c r="BL418" i="3"/>
  <c r="BL420" i="3"/>
  <c r="AZ420" i="3" s="1"/>
  <c r="G423" i="3"/>
  <c r="BL424" i="3"/>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AZ477" i="3" s="1"/>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AZ212" i="3" s="1"/>
  <c r="BL213" i="3"/>
  <c r="BA216" i="3"/>
  <c r="AZ216" i="3" s="1"/>
  <c r="BL224" i="3"/>
  <c r="BL225" i="3"/>
  <c r="BL226" i="3"/>
  <c r="G229" i="3"/>
  <c r="G241" i="3"/>
  <c r="G551" i="3"/>
  <c r="BL550" i="3"/>
  <c r="G542" i="3"/>
  <c r="BL398" i="3"/>
  <c r="G402" i="3"/>
  <c r="BL403" i="3"/>
  <c r="AZ403" i="3" s="1"/>
  <c r="G405" i="3"/>
  <c r="G406" i="3"/>
  <c r="BA408" i="3"/>
  <c r="BA409" i="3"/>
  <c r="AZ409" i="3" s="1"/>
  <c r="BA411" i="3"/>
  <c r="AZ411" i="3" s="1"/>
  <c r="BL414" i="3"/>
  <c r="BL415" i="3"/>
  <c r="BA417" i="3"/>
  <c r="BL421" i="3"/>
  <c r="BL422" i="3"/>
  <c r="BL425" i="3"/>
  <c r="BL426" i="3"/>
  <c r="AZ426" i="3" s="1"/>
  <c r="BA428" i="3"/>
  <c r="BA429" i="3"/>
  <c r="BA430" i="3"/>
  <c r="AZ430" i="3" s="1"/>
  <c r="BA432" i="3"/>
  <c r="BA434" i="3"/>
  <c r="AZ434" i="3" s="1"/>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92" i="3"/>
  <c r="AZ392" i="3" s="1"/>
  <c r="BA395" i="3"/>
  <c r="AZ395" i="3" s="1"/>
  <c r="BA208" i="3"/>
  <c r="AZ208" i="3" s="1"/>
  <c r="BA211" i="3"/>
  <c r="AZ211" i="3" s="1"/>
  <c r="BL214" i="3"/>
  <c r="BL219" i="3"/>
  <c r="BL222" i="3"/>
  <c r="BA229" i="3"/>
  <c r="BL229" i="3"/>
  <c r="BL15" i="3"/>
  <c r="AZ15" i="3" s="1"/>
  <c r="BA398" i="3"/>
  <c r="AZ398" i="3" s="1"/>
  <c r="BA399" i="3"/>
  <c r="AZ399" i="3" s="1"/>
  <c r="BL401" i="3"/>
  <c r="BL404" i="3"/>
  <c r="BL405" i="3"/>
  <c r="AZ405" i="3" s="1"/>
  <c r="BL407" i="3"/>
  <c r="AZ407" i="3" s="1"/>
  <c r="BA412" i="3"/>
  <c r="BA414" i="3"/>
  <c r="AZ414" i="3" s="1"/>
  <c r="BA415" i="3"/>
  <c r="AZ415" i="3" s="1"/>
  <c r="BA416" i="3"/>
  <c r="AZ416" i="3" s="1"/>
  <c r="BA418" i="3"/>
  <c r="AZ418" i="3" s="1"/>
  <c r="BA421" i="3"/>
  <c r="BA423" i="3"/>
  <c r="AZ423" i="3" s="1"/>
  <c r="BA425" i="3"/>
  <c r="BA426" i="3"/>
  <c r="BA427" i="3"/>
  <c r="AZ427" i="3" s="1"/>
  <c r="BA433" i="3"/>
  <c r="BA435" i="3"/>
  <c r="AZ435" i="3" s="1"/>
  <c r="BL437" i="3"/>
  <c r="AZ437" i="3" s="1"/>
  <c r="G439" i="3"/>
  <c r="BL441" i="3"/>
  <c r="AZ441" i="3" s="1"/>
  <c r="BL442" i="3"/>
  <c r="AZ442" i="3" s="1"/>
  <c r="BL444" i="3"/>
  <c r="G446" i="3"/>
  <c r="BL448" i="3"/>
  <c r="AZ448" i="3" s="1"/>
  <c r="G450" i="3"/>
  <c r="BA454" i="3"/>
  <c r="BA457" i="3"/>
  <c r="AZ457" i="3" s="1"/>
  <c r="BA459" i="3"/>
  <c r="BA460" i="3"/>
  <c r="BA461" i="3"/>
  <c r="BL464" i="3"/>
  <c r="AZ464" i="3" s="1"/>
  <c r="BL466" i="3"/>
  <c r="AZ466" i="3" s="1"/>
  <c r="G468" i="3"/>
  <c r="BL489" i="3"/>
  <c r="BA384" i="3"/>
  <c r="AZ384" i="3" s="1"/>
  <c r="G397" i="3"/>
  <c r="G210" i="3"/>
  <c r="G218" i="3"/>
  <c r="BL220" i="3"/>
  <c r="AZ220" i="3" s="1"/>
  <c r="BL221" i="3"/>
  <c r="G222" i="3"/>
  <c r="BA225" i="3"/>
  <c r="BA228" i="3"/>
  <c r="AZ228" i="3" s="1"/>
  <c r="BL230" i="3"/>
  <c r="G231" i="3"/>
  <c r="BL231" i="3"/>
  <c r="AZ231" i="3" s="1"/>
  <c r="BL242" i="3"/>
  <c r="BL16" i="3"/>
  <c r="AZ16" i="3" s="1"/>
  <c r="AZ419" i="3"/>
  <c r="AZ422" i="3"/>
  <c r="AZ444" i="3"/>
  <c r="BL473" i="3"/>
  <c r="AZ473" i="3" s="1"/>
  <c r="BL474" i="3"/>
  <c r="BA482" i="3"/>
  <c r="BA484" i="3"/>
  <c r="AZ484" i="3" s="1"/>
  <c r="BA303" i="3"/>
  <c r="AZ303" i="3" s="1"/>
  <c r="BA307" i="3"/>
  <c r="AZ307" i="3" s="1"/>
  <c r="BL314" i="3"/>
  <c r="AZ314" i="3" s="1"/>
  <c r="BA332" i="3"/>
  <c r="BL332" i="3"/>
  <c r="BA367" i="3"/>
  <c r="AZ367" i="3" s="1"/>
  <c r="BA370" i="3"/>
  <c r="AZ370"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G277" i="3"/>
  <c r="G280" i="3"/>
  <c r="G282" i="3"/>
  <c r="BL285" i="3"/>
  <c r="BL287" i="3"/>
  <c r="BA290" i="3"/>
  <c r="G297" i="3"/>
  <c r="BL299" i="3"/>
  <c r="G300" i="3"/>
  <c r="BA302" i="3"/>
  <c r="G115" i="3"/>
  <c r="BA117" i="3"/>
  <c r="BA130" i="3"/>
  <c r="AZ130" i="3" s="1"/>
  <c r="BL130" i="3"/>
  <c r="G135" i="3"/>
  <c r="BA137" i="3"/>
  <c r="BL139" i="3"/>
  <c r="AZ139" i="3" s="1"/>
  <c r="BL141" i="3"/>
  <c r="BL143" i="3"/>
  <c r="AZ143" i="3" s="1"/>
  <c r="BA156" i="3"/>
  <c r="AZ156" i="3" s="1"/>
  <c r="BA160" i="3"/>
  <c r="AZ160" i="3" s="1"/>
  <c r="G162" i="3"/>
  <c r="BL162" i="3"/>
  <c r="AZ162" i="3" s="1"/>
  <c r="BL165" i="3"/>
  <c r="G166" i="3"/>
  <c r="BL170" i="3"/>
  <c r="G171" i="3"/>
  <c r="BL181" i="3"/>
  <c r="BA201" i="3"/>
  <c r="AZ270" i="3"/>
  <c r="AZ52" i="3"/>
  <c r="C55" i="71"/>
  <c r="D54" i="71"/>
  <c r="BA388" i="3"/>
  <c r="AZ388" i="3" s="1"/>
  <c r="BA396" i="3"/>
  <c r="BA209" i="3"/>
  <c r="BL217" i="3"/>
  <c r="BA219" i="3"/>
  <c r="AZ219" i="3" s="1"/>
  <c r="BA221" i="3"/>
  <c r="BA223" i="3"/>
  <c r="AZ223" i="3" s="1"/>
  <c r="BL228" i="3"/>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BA242" i="3"/>
  <c r="BL245" i="3"/>
  <c r="AZ245" i="3" s="1"/>
  <c r="BL255" i="3"/>
  <c r="G257" i="3"/>
  <c r="BL257" i="3"/>
  <c r="AZ257" i="3" s="1"/>
  <c r="BL258" i="3"/>
  <c r="G259" i="3"/>
  <c r="BA262" i="3"/>
  <c r="AZ262" i="3" s="1"/>
  <c r="G265" i="3"/>
  <c r="BL265" i="3"/>
  <c r="AZ265" i="3" s="1"/>
  <c r="BA273" i="3"/>
  <c r="AZ273" i="3" s="1"/>
  <c r="BA278" i="3"/>
  <c r="BA280" i="3"/>
  <c r="AZ280" i="3" s="1"/>
  <c r="BL283" i="3"/>
  <c r="BL284" i="3"/>
  <c r="AZ284" i="3" s="1"/>
  <c r="BL292" i="3"/>
  <c r="BA294" i="3"/>
  <c r="AZ294" i="3" s="1"/>
  <c r="BL295" i="3"/>
  <c r="BA298" i="3"/>
  <c r="AZ298" i="3" s="1"/>
  <c r="BL301" i="3"/>
  <c r="BL113" i="3"/>
  <c r="BL115" i="3"/>
  <c r="AZ115" i="3" s="1"/>
  <c r="BA118" i="3"/>
  <c r="AZ118" i="3" s="1"/>
  <c r="BL118" i="3"/>
  <c r="BA122" i="3"/>
  <c r="AZ122" i="3" s="1"/>
  <c r="BL125" i="3"/>
  <c r="AZ125" i="3" s="1"/>
  <c r="BL126" i="3"/>
  <c r="AZ126" i="3" s="1"/>
  <c r="BL133" i="3"/>
  <c r="AZ133" i="3" s="1"/>
  <c r="BL135" i="3"/>
  <c r="AZ135" i="3" s="1"/>
  <c r="BL138" i="3"/>
  <c r="BA142" i="3"/>
  <c r="BA157" i="3"/>
  <c r="BA164" i="3"/>
  <c r="AZ164" i="3" s="1"/>
  <c r="BA166" i="3"/>
  <c r="BA169" i="3"/>
  <c r="AZ169" i="3" s="1"/>
  <c r="BL171" i="3"/>
  <c r="AZ171" i="3" s="1"/>
  <c r="BL177" i="3"/>
  <c r="AZ177" i="3" s="1"/>
  <c r="BL205" i="3"/>
  <c r="BA62" i="3"/>
  <c r="AZ62" i="3" s="1"/>
  <c r="U21" i="33"/>
  <c r="AB21" i="33"/>
  <c r="C86" i="71"/>
  <c r="D86" i="71" s="1"/>
  <c r="D87" i="71"/>
  <c r="D35" i="71"/>
  <c r="S80" i="71"/>
  <c r="B79" i="71"/>
  <c r="B78" i="71" s="1"/>
  <c r="V24" i="71"/>
  <c r="E23" i="71"/>
  <c r="E22" i="71" s="1"/>
  <c r="E21" i="71" s="1"/>
  <c r="E20" i="71" s="1"/>
  <c r="AA3" i="7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BA21" i="3"/>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BL82" i="3"/>
  <c r="AZ82" i="3" s="1"/>
  <c r="BL83" i="3"/>
  <c r="G86" i="3"/>
  <c r="BA87" i="3"/>
  <c r="BA95" i="3"/>
  <c r="W21" i="21"/>
  <c r="T60" i="71"/>
  <c r="D43" i="71"/>
  <c r="E71" i="71"/>
  <c r="E70" i="71" s="1"/>
  <c r="C52" i="71"/>
  <c r="D51" i="71"/>
  <c r="Y29" i="71"/>
  <c r="Z29" i="71" s="1"/>
  <c r="E39" i="71"/>
  <c r="E40" i="71" s="1"/>
  <c r="U40" i="71" s="1"/>
  <c r="Y37" i="71"/>
  <c r="Z37" i="71" s="1"/>
  <c r="F66" i="71"/>
  <c r="Q66" i="71" s="1"/>
  <c r="Q67" i="71"/>
  <c r="X25" i="71"/>
  <c r="BA178" i="3"/>
  <c r="BA184" i="3"/>
  <c r="AZ184" i="3" s="1"/>
  <c r="BL187" i="3"/>
  <c r="AZ187" i="3" s="1"/>
  <c r="BL189" i="3"/>
  <c r="AZ189" i="3" s="1"/>
  <c r="BL190" i="3"/>
  <c r="AZ190" i="3" s="1"/>
  <c r="BA192" i="3"/>
  <c r="AZ192" i="3" s="1"/>
  <c r="BL197" i="3"/>
  <c r="BL199" i="3"/>
  <c r="AZ199" i="3" s="1"/>
  <c r="BA200" i="3"/>
  <c r="AZ200" i="3" s="1"/>
  <c r="BA202" i="3"/>
  <c r="BL207" i="3"/>
  <c r="BL18" i="3"/>
  <c r="AZ18" i="3" s="1"/>
  <c r="BL19" i="3"/>
  <c r="BA20" i="3"/>
  <c r="BL25" i="3"/>
  <c r="BL27" i="3"/>
  <c r="BA28" i="3"/>
  <c r="AZ28" i="3" s="1"/>
  <c r="BA31" i="3"/>
  <c r="BA32" i="3"/>
  <c r="BA38" i="3"/>
  <c r="BA41" i="3"/>
  <c r="BA42" i="3"/>
  <c r="BL48" i="3"/>
  <c r="BA51" i="3"/>
  <c r="BL56" i="3"/>
  <c r="BA58" i="3"/>
  <c r="BL59" i="3"/>
  <c r="BL60" i="3"/>
  <c r="AZ60" i="3" s="1"/>
  <c r="BA61" i="3"/>
  <c r="AZ61" i="3" s="1"/>
  <c r="BL69" i="3"/>
  <c r="AZ69" i="3" s="1"/>
  <c r="BL70" i="3"/>
  <c r="BL71" i="3"/>
  <c r="N66" i="71"/>
  <c r="C47" i="71"/>
  <c r="D47" i="71" s="1"/>
  <c r="D46" i="71"/>
  <c r="C67" i="71"/>
  <c r="T68" i="71"/>
  <c r="O68" i="71"/>
  <c r="T76" i="71"/>
  <c r="D76" i="71"/>
  <c r="C75" i="71"/>
  <c r="Y27" i="71"/>
  <c r="Z27" i="71" s="1"/>
  <c r="Y26" i="71"/>
  <c r="Z26" i="71" s="1"/>
  <c r="C23" i="71"/>
  <c r="B22" i="71"/>
  <c r="B21" i="71" s="1"/>
  <c r="B20" i="71" s="1"/>
  <c r="BA173" i="3"/>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L64" i="3"/>
  <c r="G65" i="3"/>
  <c r="BL65" i="3"/>
  <c r="BL66" i="3"/>
  <c r="BL67" i="3"/>
  <c r="G69" i="3"/>
  <c r="G72" i="3"/>
  <c r="BL73" i="3"/>
  <c r="AZ73" i="3" s="1"/>
  <c r="BA74" i="3"/>
  <c r="G78" i="3"/>
  <c r="G79" i="3"/>
  <c r="G81" i="3"/>
  <c r="G89" i="3"/>
  <c r="BA90" i="3"/>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D63" i="71"/>
  <c r="BA73" i="3"/>
  <c r="BA80" i="3"/>
  <c r="BL84" i="3"/>
  <c r="BA89" i="3"/>
  <c r="G103" i="3"/>
  <c r="BA103" i="3"/>
  <c r="BA104" i="3"/>
  <c r="BA106" i="3"/>
  <c r="AZ106" i="3" s="1"/>
  <c r="BL108" i="3"/>
  <c r="BL111" i="3"/>
  <c r="U29" i="39"/>
  <c r="AA27" i="71"/>
  <c r="S28" i="71"/>
  <c r="C83" i="71"/>
  <c r="C79" i="71"/>
  <c r="C71" i="71"/>
  <c r="C39" i="71"/>
  <c r="Y28" i="71"/>
  <c r="Z28" i="71" s="1"/>
  <c r="Y30" i="71"/>
  <c r="Z30" i="71" s="1"/>
  <c r="X28" i="71"/>
  <c r="X32" i="71"/>
  <c r="AB38" i="71"/>
  <c r="F75" i="71"/>
  <c r="F74" i="71" s="1"/>
  <c r="BL49" i="3"/>
  <c r="BL50" i="3"/>
  <c r="BL51" i="3"/>
  <c r="G53" i="3"/>
  <c r="BL53" i="3"/>
  <c r="AZ53" i="3" s="1"/>
  <c r="BA56" i="3"/>
  <c r="BA57" i="3"/>
  <c r="AZ57" i="3" s="1"/>
  <c r="BL58" i="3"/>
  <c r="G60" i="3"/>
  <c r="BA60" i="3"/>
  <c r="BA63" i="3"/>
  <c r="BA66" i="3"/>
  <c r="BA71" i="3"/>
  <c r="AZ71" i="3" s="1"/>
  <c r="G76" i="3"/>
  <c r="BL77" i="3"/>
  <c r="AZ77" i="3" s="1"/>
  <c r="BA79" i="3"/>
  <c r="G82" i="3"/>
  <c r="G83" i="3"/>
  <c r="BA84" i="3"/>
  <c r="BL88" i="3"/>
  <c r="AZ88" i="3" s="1"/>
  <c r="G90" i="3"/>
  <c r="BL90" i="3"/>
  <c r="BL92" i="3"/>
  <c r="G101" i="3"/>
  <c r="BA101" i="3"/>
  <c r="AZ101" i="3" s="1"/>
  <c r="G108" i="3"/>
  <c r="G109" i="3"/>
  <c r="BL112" i="3"/>
  <c r="S21" i="34"/>
  <c r="B88" i="43"/>
  <c r="F35" i="71"/>
  <c r="F36" i="71" s="1"/>
  <c r="V36" i="71" s="1"/>
  <c r="AA34" i="71"/>
  <c r="BL94" i="3"/>
  <c r="AZ94" i="3" s="1"/>
  <c r="BA100" i="3"/>
  <c r="BA102" i="3"/>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C13" i="36"/>
  <c r="W13" i="36"/>
  <c r="AB31" i="33"/>
  <c r="AB33" i="35"/>
  <c r="U33" i="35"/>
  <c r="AB43" i="33"/>
  <c r="U43" i="3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S34" i="21"/>
  <c r="J34" i="35"/>
  <c r="F34" i="35"/>
  <c r="J26" i="37"/>
  <c r="F26" i="37"/>
  <c r="F40" i="40"/>
  <c r="G578" i="3"/>
  <c r="AZ445" i="3"/>
  <c r="AZ452" i="3"/>
  <c r="AZ456" i="3"/>
  <c r="W35" i="39"/>
  <c r="F27" i="34"/>
  <c r="C21" i="39"/>
  <c r="U14" i="37"/>
  <c r="H12" i="21"/>
  <c r="G526" i="3"/>
  <c r="AZ436" i="3"/>
  <c r="AZ446" i="3"/>
  <c r="U26" i="21"/>
  <c r="W36" i="39"/>
  <c r="U23" i="40"/>
  <c r="AC16" i="36"/>
  <c r="AB12" i="33"/>
  <c r="C27" i="39"/>
  <c r="U40" i="40"/>
  <c r="AC9" i="40"/>
  <c r="W36" i="35"/>
  <c r="J12" i="21"/>
  <c r="B73" i="43"/>
  <c r="B76" i="43"/>
  <c r="F9" i="36"/>
  <c r="J40" i="40"/>
  <c r="G562" i="3"/>
  <c r="AZ489" i="3"/>
  <c r="AZ385"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BA234" i="3"/>
  <c r="AZ236" i="3"/>
  <c r="G248" i="3"/>
  <c r="AZ260" i="3"/>
  <c r="BL268" i="3"/>
  <c r="G278" i="3"/>
  <c r="BA474" i="3"/>
  <c r="BA475" i="3"/>
  <c r="AZ475" i="3" s="1"/>
  <c r="BL481" i="3"/>
  <c r="AZ481" i="3" s="1"/>
  <c r="BL482" i="3"/>
  <c r="AZ482" i="3" s="1"/>
  <c r="G483" i="3"/>
  <c r="BL485" i="3"/>
  <c r="AZ485" i="3" s="1"/>
  <c r="BL486" i="3"/>
  <c r="G487" i="3"/>
  <c r="BA492" i="3"/>
  <c r="AZ492" i="3" s="1"/>
  <c r="BL363" i="3"/>
  <c r="AZ363" i="3" s="1"/>
  <c r="G369" i="3"/>
  <c r="BL393" i="3"/>
  <c r="AZ393" i="3" s="1"/>
  <c r="BL396" i="3"/>
  <c r="BL209" i="3"/>
  <c r="AZ209" i="3" s="1"/>
  <c r="G240" i="3"/>
  <c r="G242" i="3"/>
  <c r="G245" i="3"/>
  <c r="BL246" i="3"/>
  <c r="AZ246" i="3" s="1"/>
  <c r="BL253" i="3"/>
  <c r="BA261" i="3"/>
  <c r="BA264" i="3"/>
  <c r="AZ264" i="3" s="1"/>
  <c r="BA266" i="3"/>
  <c r="AZ266" i="3" s="1"/>
  <c r="G272" i="3"/>
  <c r="G275" i="3"/>
  <c r="BL276" i="3"/>
  <c r="BL279" i="3"/>
  <c r="BL281" i="3"/>
  <c r="BA285" i="3"/>
  <c r="AZ285" i="3" s="1"/>
  <c r="BA287" i="3"/>
  <c r="AZ290"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BA161" i="3"/>
  <c r="BA172" i="3"/>
  <c r="AZ172" i="3" s="1"/>
  <c r="BL288" i="3"/>
  <c r="AZ288" i="3" s="1"/>
  <c r="BA292" i="3"/>
  <c r="AZ292" i="3" s="1"/>
  <c r="BA295" i="3"/>
  <c r="G298" i="3"/>
  <c r="BA299" i="3"/>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BL202" i="3"/>
  <c r="AZ202" i="3" s="1"/>
  <c r="AZ30" i="3"/>
  <c r="BL36" i="3"/>
  <c r="AZ68" i="3"/>
  <c r="G200" i="3"/>
  <c r="G207" i="3"/>
  <c r="BA23" i="3"/>
  <c r="AZ23" i="3" s="1"/>
  <c r="BA24" i="3"/>
  <c r="BL26" i="3"/>
  <c r="BL32" i="3"/>
  <c r="BA34" i="3"/>
  <c r="AZ34" i="3" s="1"/>
  <c r="BA35" i="3"/>
  <c r="AZ35" i="3" s="1"/>
  <c r="BL37" i="3"/>
  <c r="AZ37" i="3" s="1"/>
  <c r="BL42" i="3"/>
  <c r="BA44" i="3"/>
  <c r="AZ44" i="3" s="1"/>
  <c r="BA206" i="3"/>
  <c r="AZ206" i="3" s="1"/>
  <c r="BL22" i="3"/>
  <c r="AZ22" i="3" s="1"/>
  <c r="BL33" i="3"/>
  <c r="AZ33" i="3" s="1"/>
  <c r="BL43" i="3"/>
  <c r="AZ43" i="3" s="1"/>
  <c r="BL46" i="3"/>
  <c r="AZ46" i="3" s="1"/>
  <c r="BL78" i="3"/>
  <c r="AZ78" i="3" s="1"/>
  <c r="BA83" i="3"/>
  <c r="AZ83" i="3" s="1"/>
  <c r="G91" i="3"/>
  <c r="BL95" i="3"/>
  <c r="BL98" i="3"/>
  <c r="BL109" i="3"/>
  <c r="AZ109" i="3" s="1"/>
  <c r="AB21" i="21"/>
  <c r="G77" i="3"/>
  <c r="BA81" i="3"/>
  <c r="AZ81" i="3" s="1"/>
  <c r="BA85" i="3"/>
  <c r="AZ85" i="3" s="1"/>
  <c r="BL89" i="3"/>
  <c r="G94" i="3"/>
  <c r="G97" i="3"/>
  <c r="G100" i="3"/>
  <c r="BA107" i="3"/>
  <c r="BA112" i="3"/>
  <c r="E27" i="71"/>
  <c r="E26" i="71" s="1"/>
  <c r="V28" i="71"/>
  <c r="BA76" i="3"/>
  <c r="AZ76" i="3" s="1"/>
  <c r="BL80" i="3"/>
  <c r="BL87" i="3"/>
  <c r="BA93" i="3"/>
  <c r="AZ93" i="3" s="1"/>
  <c r="BA96" i="3"/>
  <c r="AZ96" i="3" s="1"/>
  <c r="BA99" i="3"/>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D22" i="9"/>
  <c r="G19" i="9"/>
  <c r="Q71" i="15"/>
  <c r="J53" i="15"/>
  <c r="L56" i="15" s="1"/>
  <c r="J57" i="15"/>
  <c r="J55" i="15" s="1"/>
  <c r="J58" i="15" s="1"/>
  <c r="Q50" i="15" s="1"/>
  <c r="I54" i="15"/>
  <c r="B20" i="31"/>
  <c r="B21" i="31" s="1"/>
  <c r="I1" i="73"/>
  <c r="B39" i="1" s="1"/>
  <c r="M7" i="15"/>
  <c r="F50" i="15"/>
  <c r="F51" i="15"/>
  <c r="F71" i="15"/>
  <c r="C6" i="15"/>
  <c r="F66" i="67"/>
  <c r="L59" i="15"/>
  <c r="N59" i="15"/>
  <c r="L58" i="15"/>
  <c r="M59" i="15"/>
  <c r="F66" i="15"/>
  <c r="Q71" i="67"/>
  <c r="D103" i="9"/>
  <c r="C27" i="15"/>
  <c r="F65" i="15"/>
  <c r="G20" i="9"/>
  <c r="C103" i="9"/>
  <c r="B13" i="70"/>
  <c r="F68" i="15"/>
  <c r="C36" i="68"/>
  <c r="D9" i="69"/>
  <c r="D9" i="68"/>
  <c r="D3" i="73"/>
  <c r="M9" i="67"/>
  <c r="D5" i="73"/>
  <c r="D4" i="73"/>
  <c r="F42" i="15"/>
  <c r="F36" i="15"/>
  <c r="D7" i="73"/>
  <c r="F13" i="67"/>
  <c r="M23" i="67"/>
  <c r="M28" i="67"/>
  <c r="C16" i="15"/>
  <c r="F26" i="67"/>
  <c r="M24" i="67"/>
  <c r="F36" i="67"/>
  <c r="M26" i="15"/>
  <c r="L47" i="67"/>
  <c r="F9" i="67"/>
  <c r="M9" i="15"/>
  <c r="F40" i="67"/>
  <c r="M29" i="15"/>
  <c r="M26" i="67"/>
  <c r="F8" i="67"/>
  <c r="M6" i="67"/>
  <c r="F37" i="67"/>
  <c r="L48" i="67"/>
  <c r="J15" i="67"/>
  <c r="V36" i="36" l="1"/>
  <c r="U16" i="36"/>
  <c r="U26" i="36"/>
  <c r="G78" i="36"/>
  <c r="H78" i="36" s="1"/>
  <c r="I78" i="36" s="1"/>
  <c r="J78" i="36" s="1"/>
  <c r="K78" i="36" s="1"/>
  <c r="L78" i="36" s="1"/>
  <c r="M78" i="36" s="1"/>
  <c r="J26" i="36"/>
  <c r="W33" i="36"/>
  <c r="AB34" i="36"/>
  <c r="T36" i="36" s="1"/>
  <c r="U34" i="36"/>
  <c r="G28" i="6"/>
  <c r="G30" i="6" s="1"/>
  <c r="G31" i="6" s="1"/>
  <c r="C28" i="15"/>
  <c r="F64" i="15"/>
  <c r="T64" i="71"/>
  <c r="D64" i="71"/>
  <c r="AC13" i="21"/>
  <c r="W13" i="21"/>
  <c r="U25" i="36"/>
  <c r="AB25" i="36"/>
  <c r="AZ98" i="3"/>
  <c r="AZ276" i="3"/>
  <c r="AZ474" i="3"/>
  <c r="AZ79" i="3"/>
  <c r="AZ21" i="3"/>
  <c r="AZ459" i="3"/>
  <c r="AZ433" i="3"/>
  <c r="AZ432" i="3"/>
  <c r="AZ417" i="3"/>
  <c r="T36" i="71"/>
  <c r="D36" i="71"/>
  <c r="AZ227" i="3"/>
  <c r="W32" i="36"/>
  <c r="AC32" i="36"/>
  <c r="AC24" i="35"/>
  <c r="W24" i="35"/>
  <c r="AA40" i="37"/>
  <c r="S40" i="37"/>
  <c r="AB9" i="36"/>
  <c r="U9" i="36"/>
  <c r="AZ99" i="3"/>
  <c r="AZ261" i="3"/>
  <c r="AZ201" i="3"/>
  <c r="AC44" i="39"/>
  <c r="W44" i="39"/>
  <c r="U12" i="35"/>
  <c r="AB12" i="35"/>
  <c r="J6" i="15"/>
  <c r="J18" i="15" s="1"/>
  <c r="AZ112" i="3"/>
  <c r="AA39" i="37"/>
  <c r="AZ413" i="3"/>
  <c r="S12" i="34"/>
  <c r="AA12" i="34"/>
  <c r="W32" i="40"/>
  <c r="AZ404" i="3"/>
  <c r="AZ563" i="3"/>
  <c r="AZ40" i="3"/>
  <c r="AZ470" i="3"/>
  <c r="AZ24" i="3"/>
  <c r="AZ161" i="3"/>
  <c r="AZ289" i="3"/>
  <c r="AZ100" i="3"/>
  <c r="AZ50" i="3"/>
  <c r="AZ108" i="3"/>
  <c r="AZ74" i="3"/>
  <c r="AZ67" i="3"/>
  <c r="AZ173" i="3"/>
  <c r="AZ150" i="3"/>
  <c r="AZ134" i="3"/>
  <c r="AZ166" i="3"/>
  <c r="AZ283" i="3"/>
  <c r="AZ258" i="3"/>
  <c r="AZ243" i="3"/>
  <c r="AZ221" i="3"/>
  <c r="AZ275" i="3"/>
  <c r="AZ539" i="3"/>
  <c r="AZ551" i="3"/>
  <c r="AC39" i="34"/>
  <c r="AZ506" i="3"/>
  <c r="AZ525" i="3"/>
  <c r="AZ573" i="3"/>
  <c r="W23" i="34"/>
  <c r="AZ480" i="3"/>
  <c r="AZ297" i="3"/>
  <c r="AZ244" i="3"/>
  <c r="AZ476" i="3"/>
  <c r="AZ463" i="3"/>
  <c r="AZ576" i="3"/>
  <c r="U44" i="21"/>
  <c r="AB44" i="21"/>
  <c r="AA44" i="39"/>
  <c r="S44" i="39"/>
  <c r="W12" i="35"/>
  <c r="AC12" i="35"/>
  <c r="P26" i="43"/>
  <c r="AZ107" i="3"/>
  <c r="AZ95" i="3"/>
  <c r="AZ42" i="3"/>
  <c r="AZ299" i="3"/>
  <c r="AZ158" i="3"/>
  <c r="AZ117" i="3"/>
  <c r="AZ296" i="3"/>
  <c r="AZ281" i="3"/>
  <c r="AZ253" i="3"/>
  <c r="AZ486" i="3"/>
  <c r="AZ268" i="3"/>
  <c r="AZ234" i="3"/>
  <c r="F28" i="6"/>
  <c r="F30" i="6" s="1"/>
  <c r="AZ102" i="3"/>
  <c r="AZ92" i="3"/>
  <c r="AZ84" i="3"/>
  <c r="AZ63" i="3"/>
  <c r="AZ103" i="3"/>
  <c r="AZ45" i="3"/>
  <c r="AZ19" i="3"/>
  <c r="AZ182" i="3"/>
  <c r="AZ70" i="3"/>
  <c r="AZ48" i="3"/>
  <c r="AZ197" i="3"/>
  <c r="AZ75" i="3"/>
  <c r="AZ185" i="3"/>
  <c r="AZ157" i="3"/>
  <c r="AZ301" i="3"/>
  <c r="AZ278" i="3"/>
  <c r="AZ240" i="3"/>
  <c r="AZ269" i="3"/>
  <c r="AZ217" i="3"/>
  <c r="AZ454" i="3"/>
  <c r="AZ412" i="3"/>
  <c r="AZ401" i="3"/>
  <c r="AZ214" i="3"/>
  <c r="AZ498" i="3"/>
  <c r="AZ505" i="3"/>
  <c r="AZ514" i="3"/>
  <c r="AZ529" i="3"/>
  <c r="AZ536" i="3"/>
  <c r="AZ546" i="3"/>
  <c r="AZ515" i="3"/>
  <c r="AZ531" i="3"/>
  <c r="AZ538" i="3"/>
  <c r="AZ560" i="3"/>
  <c r="AZ282" i="3"/>
  <c r="S31" i="21"/>
  <c r="AA31" i="21"/>
  <c r="U44" i="39"/>
  <c r="AB44" i="39"/>
  <c r="AA24" i="35"/>
  <c r="S24" i="35"/>
  <c r="U40" i="37"/>
  <c r="AB40" i="37"/>
  <c r="AA33" i="34"/>
  <c r="U39" i="34"/>
  <c r="S19" i="34"/>
  <c r="S44" i="34"/>
  <c r="S15" i="34"/>
  <c r="U15" i="34"/>
  <c r="F64" i="67"/>
  <c r="F51" i="67"/>
  <c r="L59" i="67"/>
  <c r="Q61" i="67" s="1"/>
  <c r="L58" i="67"/>
  <c r="Q73" i="67" s="1"/>
  <c r="M59" i="67"/>
  <c r="N59" i="67"/>
  <c r="F65" i="67"/>
  <c r="L56" i="67"/>
  <c r="I54" i="67"/>
  <c r="J53" i="67"/>
  <c r="Q52" i="67" s="1"/>
  <c r="J57" i="67"/>
  <c r="J55" i="67" s="1"/>
  <c r="J58" i="67" s="1"/>
  <c r="Q50" i="67" s="1"/>
  <c r="F68" i="67"/>
  <c r="C27" i="67"/>
  <c r="AZ87" i="3"/>
  <c r="AZ460" i="3"/>
  <c r="AZ425" i="3"/>
  <c r="AZ229" i="3"/>
  <c r="AZ353" i="3"/>
  <c r="AZ428" i="3"/>
  <c r="AZ501" i="3"/>
  <c r="E66" i="71"/>
  <c r="P67" i="71"/>
  <c r="D31" i="71"/>
  <c r="C32" i="71"/>
  <c r="AZ210" i="3"/>
  <c r="AA13" i="34"/>
  <c r="S13" i="34"/>
  <c r="F112" i="34"/>
  <c r="G112" i="34" s="1"/>
  <c r="H112" i="34" s="1"/>
  <c r="I112" i="34" s="1"/>
  <c r="J112" i="34" s="1"/>
  <c r="K112" i="34" s="1"/>
  <c r="L112" i="34" s="1"/>
  <c r="M112" i="34" s="1"/>
  <c r="J37" i="34"/>
  <c r="S31" i="34"/>
  <c r="AA31" i="34"/>
  <c r="F82" i="34"/>
  <c r="G82" i="34" s="1"/>
  <c r="H19" i="34"/>
  <c r="J19" i="34"/>
  <c r="AZ503" i="3"/>
  <c r="AZ553" i="3"/>
  <c r="AA24" i="36"/>
  <c r="S24" i="36"/>
  <c r="AZ226" i="3"/>
  <c r="E14" i="6"/>
  <c r="E63" i="39" s="1"/>
  <c r="W15" i="34"/>
  <c r="S45" i="39"/>
  <c r="AA45" i="39"/>
  <c r="S12" i="36"/>
  <c r="AA12" i="36"/>
  <c r="S47" i="34"/>
  <c r="AA47" i="34"/>
  <c r="AB28" i="34"/>
  <c r="U28" i="34"/>
  <c r="AC9" i="21"/>
  <c r="W9" i="21"/>
  <c r="AZ554" i="3"/>
  <c r="AB24" i="36"/>
  <c r="U24" i="36"/>
  <c r="AZ89" i="3"/>
  <c r="AZ32" i="3"/>
  <c r="AZ138" i="3"/>
  <c r="AZ114" i="3"/>
  <c r="AZ66" i="3"/>
  <c r="AZ20" i="3"/>
  <c r="AZ193" i="3"/>
  <c r="AZ242" i="3"/>
  <c r="AZ332" i="3"/>
  <c r="AZ241" i="3"/>
  <c r="AZ218" i="3"/>
  <c r="AZ256" i="3"/>
  <c r="AB12" i="40"/>
  <c r="U12" i="40"/>
  <c r="AB12" i="36"/>
  <c r="U12" i="36"/>
  <c r="AA28" i="34"/>
  <c r="S28" i="34"/>
  <c r="AB32" i="40"/>
  <c r="U32" i="40"/>
  <c r="S32" i="40"/>
  <c r="AA32" i="40"/>
  <c r="AB32" i="36"/>
  <c r="U32" i="36"/>
  <c r="AC24" i="36"/>
  <c r="W24" i="36"/>
  <c r="AZ295" i="3"/>
  <c r="AZ287" i="3"/>
  <c r="AZ90" i="3"/>
  <c r="AZ56" i="3"/>
  <c r="AZ41" i="3"/>
  <c r="AZ178" i="3"/>
  <c r="AZ205" i="3"/>
  <c r="AZ251" i="3"/>
  <c r="AZ247" i="3"/>
  <c r="W12" i="40"/>
  <c r="AC12" i="40"/>
  <c r="U29" i="21"/>
  <c r="AB29" i="21"/>
  <c r="AC44" i="33"/>
  <c r="W44" i="33"/>
  <c r="AC12" i="36"/>
  <c r="W12" i="36"/>
  <c r="AZ527" i="3"/>
  <c r="AZ544" i="3"/>
  <c r="AA32" i="36"/>
  <c r="S32" i="36"/>
  <c r="AC21" i="34"/>
  <c r="AB23" i="34"/>
  <c r="U21" i="34"/>
  <c r="E13" i="6"/>
  <c r="E12" i="6"/>
  <c r="E57" i="40" s="1"/>
  <c r="E10" i="6"/>
  <c r="E8" i="6"/>
  <c r="E51" i="40" s="1"/>
  <c r="E11" i="6"/>
  <c r="E60" i="39" s="1"/>
  <c r="AZ14" i="3"/>
  <c r="N370" i="46"/>
  <c r="E28" i="6"/>
  <c r="K14" i="1" s="1"/>
  <c r="F26" i="43"/>
  <c r="D17" i="53"/>
  <c r="B36" i="72" s="1"/>
  <c r="AB23" i="36"/>
  <c r="U23" i="36"/>
  <c r="AZ550" i="3"/>
  <c r="AB28" i="33"/>
  <c r="U28" i="33"/>
  <c r="W45" i="21"/>
  <c r="AC45" i="21"/>
  <c r="AC9" i="36"/>
  <c r="W9" i="36"/>
  <c r="J7" i="36"/>
  <c r="AC7" i="36" s="1"/>
  <c r="I36" i="36" s="1"/>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W7" i="37" s="1"/>
  <c r="G26" i="43"/>
  <c r="G5" i="3"/>
  <c r="B3" i="3" s="1"/>
  <c r="E337" i="3" s="1"/>
  <c r="AZ36" i="3"/>
  <c r="AZ113" i="3"/>
  <c r="C70" i="71"/>
  <c r="D70" i="71" s="1"/>
  <c r="D71" i="71"/>
  <c r="AZ49" i="3"/>
  <c r="B19" i="71"/>
  <c r="B18" i="71" s="1"/>
  <c r="B17" i="71" s="1"/>
  <c r="B16" i="71" s="1"/>
  <c r="B15" i="71" s="1"/>
  <c r="B14" i="71" s="1"/>
  <c r="B13" i="71" s="1"/>
  <c r="B12" i="71" s="1"/>
  <c r="S20" i="71"/>
  <c r="D75" i="71"/>
  <c r="C74" i="71"/>
  <c r="D74" i="71" s="1"/>
  <c r="AZ461" i="3"/>
  <c r="AZ429" i="3"/>
  <c r="AB9" i="34"/>
  <c r="U9" i="34"/>
  <c r="S33" i="36"/>
  <c r="AA33" i="36"/>
  <c r="R36" i="36" s="1"/>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E282" i="3"/>
  <c r="E217" i="3"/>
  <c r="E423" i="3"/>
  <c r="AA26" i="37"/>
  <c r="S26" i="37"/>
  <c r="BA5" i="3"/>
  <c r="W40" i="40"/>
  <c r="AC40" i="40"/>
  <c r="AC12" i="21"/>
  <c r="W12" i="21"/>
  <c r="AB12" i="21"/>
  <c r="U12" i="21"/>
  <c r="AA27" i="34"/>
  <c r="S27" i="34"/>
  <c r="AC26" i="37"/>
  <c r="W26" i="37"/>
  <c r="BL5" i="3"/>
  <c r="F7" i="36"/>
  <c r="AA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E69" i="39"/>
  <c r="F59" i="67"/>
  <c r="H7" i="37"/>
  <c r="AB7" i="37" s="1"/>
  <c r="T42" i="37" s="1"/>
  <c r="G42" i="37" s="1"/>
  <c r="H7" i="33"/>
  <c r="J7" i="33"/>
  <c r="D65" i="40"/>
  <c r="E63" i="40"/>
  <c r="F48" i="35"/>
  <c r="AC7" i="37"/>
  <c r="F7" i="33"/>
  <c r="E58" i="21"/>
  <c r="F7" i="37"/>
  <c r="M17" i="67"/>
  <c r="M17" i="15"/>
  <c r="F59" i="15"/>
  <c r="P28" i="43"/>
  <c r="B66" i="40" s="1"/>
  <c r="P25" i="43"/>
  <c r="P29" i="43"/>
  <c r="P27" i="43"/>
  <c r="B70" i="39" s="1"/>
  <c r="C49" i="15"/>
  <c r="C32" i="9"/>
  <c r="M11" i="67"/>
  <c r="J10" i="67" s="1"/>
  <c r="F11" i="15"/>
  <c r="M11" i="15"/>
  <c r="J10" i="15" s="1"/>
  <c r="F11" i="67"/>
  <c r="F1" i="15"/>
  <c r="Q52" i="15"/>
  <c r="C32" i="15"/>
  <c r="Q60" i="15"/>
  <c r="Q73" i="15"/>
  <c r="Q74" i="15"/>
  <c r="Q61" i="15"/>
  <c r="AE11" i="1"/>
  <c r="AE9" i="1"/>
  <c r="AE7" i="1"/>
  <c r="AE8" i="1"/>
  <c r="AE12" i="1"/>
  <c r="AE10" i="1"/>
  <c r="G1" i="73"/>
  <c r="R37" i="36" l="1"/>
  <c r="G36" i="36"/>
  <c r="G41" i="36" s="1"/>
  <c r="H41" i="36" s="1"/>
  <c r="W26" i="36"/>
  <c r="AC26" i="36"/>
  <c r="E16" i="6"/>
  <c r="E472" i="3"/>
  <c r="E59" i="40"/>
  <c r="W7" i="36"/>
  <c r="U7" i="36"/>
  <c r="J5" i="15"/>
  <c r="J24" i="15" s="1"/>
  <c r="Q60" i="67"/>
  <c r="S7" i="36"/>
  <c r="E180" i="3"/>
  <c r="AZ5" i="3"/>
  <c r="AY6" i="3" s="1"/>
  <c r="F1" i="67"/>
  <c r="Q74" i="67"/>
  <c r="AB6" i="3"/>
  <c r="AC19" i="34"/>
  <c r="W19" i="34"/>
  <c r="S16" i="71"/>
  <c r="AB19" i="34"/>
  <c r="U19" i="34"/>
  <c r="AC37" i="34"/>
  <c r="W37" i="34"/>
  <c r="P65" i="71"/>
  <c r="P66" i="71"/>
  <c r="E78" i="3"/>
  <c r="F19" i="6"/>
  <c r="E19" i="6" s="1"/>
  <c r="D3" i="34" s="1"/>
  <c r="T32" i="71"/>
  <c r="D32" i="71"/>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520" i="3"/>
  <c r="AY494" i="3"/>
  <c r="AY101" i="3"/>
  <c r="AY48" i="3"/>
  <c r="AY158" i="3"/>
  <c r="AY287" i="3"/>
  <c r="AY234" i="3"/>
  <c r="AY364" i="3"/>
  <c r="AY344" i="3"/>
  <c r="AY471" i="3"/>
  <c r="AY458" i="3"/>
  <c r="AY439" i="3"/>
  <c r="AY506" i="3"/>
  <c r="AY524" i="3"/>
  <c r="AY542" i="3"/>
  <c r="AY578" i="3"/>
  <c r="AY63" i="3"/>
  <c r="AY192" i="3"/>
  <c r="AY135" i="3"/>
  <c r="AY249" i="3"/>
  <c r="AY378" i="3"/>
  <c r="AY331" i="3"/>
  <c r="AY346" i="3"/>
  <c r="AY466" i="3"/>
  <c r="AY456" i="3"/>
  <c r="AY405" i="3"/>
  <c r="AY558" i="3"/>
  <c r="AY512" i="3"/>
  <c r="BL6"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D3" i="37"/>
  <c r="C39" i="43"/>
  <c r="C42" i="43"/>
  <c r="E42" i="43" s="1"/>
  <c r="C38" i="43"/>
  <c r="U7" i="37"/>
  <c r="G67" i="39"/>
  <c r="F69" i="39"/>
  <c r="F58" i="21"/>
  <c r="E36" i="36"/>
  <c r="F63" i="40"/>
  <c r="E65" i="40"/>
  <c r="W7" i="33"/>
  <c r="AC7" i="33"/>
  <c r="V48" i="33" s="1"/>
  <c r="I48" i="33" s="1"/>
  <c r="AA7" i="37"/>
  <c r="R42" i="37" s="1"/>
  <c r="S7" i="37"/>
  <c r="I40" i="36"/>
  <c r="J40" i="36" s="1"/>
  <c r="S7" i="33"/>
  <c r="AA7" i="33"/>
  <c r="R48" i="33" s="1"/>
  <c r="G40" i="36"/>
  <c r="H40" i="36" s="1"/>
  <c r="G46" i="37"/>
  <c r="H46" i="37" s="1"/>
  <c r="G47" i="37"/>
  <c r="H47" i="37" s="1"/>
  <c r="I46" i="37"/>
  <c r="J46" i="37" s="1"/>
  <c r="G48" i="35"/>
  <c r="U7" i="33"/>
  <c r="AB7" i="33"/>
  <c r="T48" i="33" s="1"/>
  <c r="G48" i="33" s="1"/>
  <c r="C53" i="67"/>
  <c r="C53" i="15"/>
  <c r="C48" i="15" s="1"/>
  <c r="C66" i="15" s="1"/>
  <c r="C10" i="15"/>
  <c r="C5" i="15" s="1"/>
  <c r="C38" i="15" s="1"/>
  <c r="C35" i="9"/>
  <c r="AE6" i="1"/>
  <c r="M27" i="67"/>
  <c r="F41" i="15"/>
  <c r="M27" i="15"/>
  <c r="E6" i="6" l="1"/>
  <c r="C17" i="4"/>
  <c r="B4" i="52" s="1"/>
  <c r="B43" i="72" s="1"/>
  <c r="M18" i="9"/>
  <c r="B118" i="9" s="1"/>
  <c r="B1" i="74" s="1"/>
  <c r="D3" i="21"/>
  <c r="D3" i="33"/>
  <c r="L18" i="9"/>
  <c r="D14" i="12"/>
  <c r="D17" i="12" s="1"/>
  <c r="C17" i="12"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C34" i="34"/>
  <c r="K6" i="1"/>
  <c r="F27" i="6"/>
  <c r="F31" i="6" s="1"/>
  <c r="E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C34" i="43"/>
  <c r="E34" i="43" s="1"/>
  <c r="F69" i="15"/>
  <c r="E33" i="43"/>
  <c r="S11" i="1"/>
  <c r="E11" i="70" s="1"/>
  <c r="S9" i="1"/>
  <c r="S7" i="1"/>
  <c r="E7" i="70" s="1"/>
  <c r="S10" i="1"/>
  <c r="E10" i="70" s="1"/>
  <c r="S12" i="1"/>
  <c r="C20" i="1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M29" i="67"/>
  <c r="F43" i="67"/>
  <c r="F7" i="67"/>
  <c r="F41" i="67"/>
  <c r="C17" i="15"/>
  <c r="C16" i="67"/>
  <c r="F50" i="67" l="1"/>
  <c r="C49" i="67" s="1"/>
  <c r="C48" i="67" s="1"/>
  <c r="M7" i="67"/>
  <c r="J6" i="67" s="1"/>
  <c r="J19" i="67" s="1"/>
  <c r="F71" i="67"/>
  <c r="F69" i="67"/>
  <c r="F40" i="6"/>
  <c r="F38" i="6"/>
  <c r="H38" i="6" s="1"/>
  <c r="K26" i="6"/>
  <c r="M26" i="6" s="1"/>
  <c r="I26" i="6" s="1"/>
  <c r="K22" i="6"/>
  <c r="M22" i="6" s="1"/>
  <c r="I22" i="6" s="1"/>
  <c r="K20" i="6"/>
  <c r="M20" i="6" s="1"/>
  <c r="I20" i="6" s="1"/>
  <c r="S20" i="6" s="1"/>
  <c r="K24" i="6"/>
  <c r="M24" i="6" s="1"/>
  <c r="I24" i="6" s="1"/>
  <c r="K21" i="6"/>
  <c r="K25" i="6"/>
  <c r="M25" i="6" s="1"/>
  <c r="I25" i="6" s="1"/>
  <c r="E31" i="6"/>
  <c r="K23" i="6"/>
  <c r="M23" i="6" s="1"/>
  <c r="I23" i="6" s="1"/>
  <c r="S23" i="6" s="1"/>
  <c r="K19" i="6"/>
  <c r="AP6" i="1"/>
  <c r="C36" i="69" s="1"/>
  <c r="Q16" i="1"/>
  <c r="M6" i="1"/>
  <c r="H16" i="1"/>
  <c r="G16" i="1"/>
  <c r="K16" i="1"/>
  <c r="J34" i="34"/>
  <c r="H34" i="34"/>
  <c r="F34" i="34"/>
  <c r="C44" i="68"/>
  <c r="D41" i="68" s="1"/>
  <c r="C26" i="68"/>
  <c r="D22" i="68" s="1"/>
  <c r="C23" i="11"/>
  <c r="C26" i="11"/>
  <c r="D22" i="11" s="1"/>
  <c r="C44" i="11"/>
  <c r="D41" i="11" s="1"/>
  <c r="C25" i="11"/>
  <c r="E6" i="3"/>
  <c r="C44" i="69"/>
  <c r="D41" i="69" s="1"/>
  <c r="C26" i="69"/>
  <c r="D22" i="69" s="1"/>
  <c r="C19" i="71"/>
  <c r="T20" i="71"/>
  <c r="D20" i="71"/>
  <c r="U20" i="71" s="1"/>
  <c r="H23" i="6"/>
  <c r="R23" i="6" s="1"/>
  <c r="R10" i="1" s="1"/>
  <c r="C30" i="43"/>
  <c r="B2" i="43" s="1"/>
  <c r="B3" i="43" s="1"/>
  <c r="C31" i="43"/>
  <c r="H20" i="6"/>
  <c r="R20" i="6" s="1"/>
  <c r="R7" i="1" s="1"/>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E6" i="76"/>
  <c r="B6" i="76"/>
  <c r="C14" i="15"/>
  <c r="J18" i="67" l="1"/>
  <c r="J5" i="67"/>
  <c r="J24" i="67" s="1"/>
  <c r="C60" i="67"/>
  <c r="C66" i="67"/>
  <c r="C22" i="11"/>
  <c r="I39" i="6"/>
  <c r="H40" i="6"/>
  <c r="G40" i="6" s="1"/>
  <c r="F27" i="69"/>
  <c r="F28" i="12"/>
  <c r="C29" i="12" s="1"/>
  <c r="D28" i="12" s="1"/>
  <c r="F27" i="11"/>
  <c r="F27" i="68"/>
  <c r="AA34" i="34"/>
  <c r="R49" i="34" s="1"/>
  <c r="S34" i="34"/>
  <c r="F10" i="39"/>
  <c r="F10" i="40"/>
  <c r="J10" i="40"/>
  <c r="H10" i="40"/>
  <c r="J10" i="39"/>
  <c r="H10" i="39"/>
  <c r="S25" i="6"/>
  <c r="H25" i="6"/>
  <c r="R25" i="6" s="1"/>
  <c r="R12" i="1" s="1"/>
  <c r="S22" i="6"/>
  <c r="H22" i="6"/>
  <c r="R22" i="6" s="1"/>
  <c r="R9" i="1" s="1"/>
  <c r="AB34" i="34"/>
  <c r="T49" i="34" s="1"/>
  <c r="G49" i="34" s="1"/>
  <c r="G53" i="34" s="1"/>
  <c r="H53" i="34" s="1"/>
  <c r="U34" i="34"/>
  <c r="S6" i="1"/>
  <c r="M19" i="6"/>
  <c r="K27" i="6"/>
  <c r="S8" i="1"/>
  <c r="M21" i="6"/>
  <c r="I21" i="6" s="1"/>
  <c r="S26" i="6"/>
  <c r="H26" i="6"/>
  <c r="R26" i="6" s="1"/>
  <c r="AC34" i="34"/>
  <c r="V49" i="34" s="1"/>
  <c r="I49" i="34" s="1"/>
  <c r="W34" i="34"/>
  <c r="O6" i="1"/>
  <c r="O16" i="1" s="1"/>
  <c r="M16" i="1"/>
  <c r="S24" i="6"/>
  <c r="H24" i="6"/>
  <c r="R24" i="6" s="1"/>
  <c r="R11" i="1" s="1"/>
  <c r="C18" i="71"/>
  <c r="D19" i="71"/>
  <c r="C18" i="15"/>
  <c r="C15" i="15"/>
  <c r="C36" i="11"/>
  <c r="C37"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67"/>
  <c r="C14" i="67"/>
  <c r="C18" i="67" l="1"/>
  <c r="C15" i="67"/>
  <c r="C19" i="67"/>
  <c r="C20" i="67" s="1"/>
  <c r="C26" i="67" s="1"/>
  <c r="B29" i="1"/>
  <c r="E6" i="70"/>
  <c r="P6" i="1"/>
  <c r="E8" i="70"/>
  <c r="E2" i="70" s="1"/>
  <c r="AQ8" i="1"/>
  <c r="T8" i="1"/>
  <c r="AR8" i="1"/>
  <c r="W10" i="39"/>
  <c r="AC10" i="39"/>
  <c r="AA10" i="39"/>
  <c r="S10" i="39"/>
  <c r="C29" i="11"/>
  <c r="D27" i="11" s="1"/>
  <c r="C47" i="11"/>
  <c r="D45" i="11" s="1"/>
  <c r="C28" i="11"/>
  <c r="C27" i="11" s="1"/>
  <c r="L16" i="1"/>
  <c r="N16" i="1"/>
  <c r="C34" i="68"/>
  <c r="C13" i="12"/>
  <c r="P16" i="1"/>
  <c r="C11" i="12" s="1"/>
  <c r="AB10" i="40"/>
  <c r="U10" i="40"/>
  <c r="G54" i="34"/>
  <c r="H54" i="34" s="1"/>
  <c r="I53" i="34"/>
  <c r="J53" i="34" s="1"/>
  <c r="I19" i="6"/>
  <c r="M27" i="6"/>
  <c r="AC10" i="40"/>
  <c r="W10" i="40"/>
  <c r="R50" i="34"/>
  <c r="E49" i="34"/>
  <c r="F45" i="69"/>
  <c r="C47" i="69"/>
  <c r="D45" i="69" s="1"/>
  <c r="C29" i="69"/>
  <c r="D27" i="69" s="1"/>
  <c r="C34" i="11"/>
  <c r="C35" i="11" s="1"/>
  <c r="S21" i="6"/>
  <c r="H21" i="6"/>
  <c r="R21" i="6" s="1"/>
  <c r="R8" i="1" s="1"/>
  <c r="AQ6" i="1"/>
  <c r="AR6" i="1"/>
  <c r="T6" i="1"/>
  <c r="T16" i="1" s="1"/>
  <c r="S16" i="1"/>
  <c r="U10" i="39"/>
  <c r="AB10" i="39"/>
  <c r="S10" i="40"/>
  <c r="AA10" i="40"/>
  <c r="C29" i="68"/>
  <c r="D27" i="68" s="1"/>
  <c r="F45" i="68"/>
  <c r="C47" i="68"/>
  <c r="D45" i="68" s="1"/>
  <c r="C17" i="71"/>
  <c r="D18" i="71"/>
  <c r="F7" i="21"/>
  <c r="S7" i="21" s="1"/>
  <c r="J7" i="21"/>
  <c r="AC7" i="21" s="1"/>
  <c r="V48" i="21" s="1"/>
  <c r="I48" i="21" s="1"/>
  <c r="C19" i="15"/>
  <c r="C20" i="15" s="1"/>
  <c r="C26" i="15" s="1"/>
  <c r="C20" i="69"/>
  <c r="C28" i="69" s="1"/>
  <c r="C27" i="69" s="1"/>
  <c r="C24" i="68"/>
  <c r="C39" i="69"/>
  <c r="C43" i="69" s="1"/>
  <c r="C42" i="69"/>
  <c r="B3" i="76"/>
  <c r="J69" i="39"/>
  <c r="K67" i="39"/>
  <c r="U7" i="21"/>
  <c r="AB7" i="21"/>
  <c r="T48" i="21" s="1"/>
  <c r="G48" i="21" s="1"/>
  <c r="J63" i="40"/>
  <c r="I65" i="40"/>
  <c r="K48" i="35"/>
  <c r="L48" i="35" s="1"/>
  <c r="M48" i="35" s="1"/>
  <c r="N48" i="35" s="1"/>
  <c r="O48" i="35" s="1"/>
  <c r="H7" i="35" s="1"/>
  <c r="C23" i="67" l="1"/>
  <c r="C29" i="67" s="1"/>
  <c r="J59" i="67" s="1"/>
  <c r="J60" i="67" s="1"/>
  <c r="Q48" i="67" s="1"/>
  <c r="C8" i="68"/>
  <c r="C5" i="68" s="1"/>
  <c r="C18" i="12"/>
  <c r="C31" i="11"/>
  <c r="C38" i="11"/>
  <c r="C33" i="11" s="1"/>
  <c r="C39" i="11" s="1"/>
  <c r="E54" i="34"/>
  <c r="F54" i="34" s="1"/>
  <c r="E53" i="34"/>
  <c r="F53" i="34" s="1"/>
  <c r="C50" i="34"/>
  <c r="C49" i="34"/>
  <c r="S19" i="6"/>
  <c r="S27" i="6" s="1"/>
  <c r="I27" i="6"/>
  <c r="H19" i="6"/>
  <c r="I54" i="34"/>
  <c r="J54" i="34" s="1"/>
  <c r="C38" i="68"/>
  <c r="C35" i="68"/>
  <c r="C12" i="12"/>
  <c r="C15" i="12"/>
  <c r="F50" i="69"/>
  <c r="F50" i="11"/>
  <c r="F50" i="68"/>
  <c r="D17" i="71"/>
  <c r="C16" i="71"/>
  <c r="W7" i="21"/>
  <c r="AA7" i="21"/>
  <c r="R48" i="21" s="1"/>
  <c r="R49" i="21" s="1"/>
  <c r="J7" i="35"/>
  <c r="W7" i="35"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F35" i="15"/>
  <c r="M21" i="15"/>
  <c r="C57" i="67" l="1"/>
  <c r="C64" i="67" s="1"/>
  <c r="C36" i="67"/>
  <c r="C13" i="67"/>
  <c r="Q70" i="67" s="1"/>
  <c r="J14" i="67"/>
  <c r="J13" i="67" s="1"/>
  <c r="J23" i="67" s="1"/>
  <c r="Q49" i="67"/>
  <c r="C23" i="68"/>
  <c r="C20" i="68"/>
  <c r="D51" i="34"/>
  <c r="G51" i="34"/>
  <c r="G52" i="34"/>
  <c r="C33" i="68"/>
  <c r="C39" i="68" s="1"/>
  <c r="C43" i="68" s="1"/>
  <c r="C16" i="12"/>
  <c r="C21" i="12" s="1"/>
  <c r="R19" i="6"/>
  <c r="H27" i="6"/>
  <c r="E48" i="21"/>
  <c r="D16" i="71"/>
  <c r="U16" i="71" s="1"/>
  <c r="C15" i="71"/>
  <c r="T16" i="71"/>
  <c r="AC7" i="35"/>
  <c r="V38" i="35" s="1"/>
  <c r="I38" i="35" s="1"/>
  <c r="C36" i="15"/>
  <c r="J59" i="15"/>
  <c r="J60" i="15" s="1"/>
  <c r="Q48" i="15" s="1"/>
  <c r="C46" i="11"/>
  <c r="C45" i="11" s="1"/>
  <c r="C43" i="11"/>
  <c r="C42" i="11"/>
  <c r="J19" i="15"/>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67" l="1"/>
  <c r="C37" i="67"/>
  <c r="J22" i="67"/>
  <c r="C56" i="67"/>
  <c r="C65" i="67" s="1"/>
  <c r="C28" i="68"/>
  <c r="C27" i="68" s="1"/>
  <c r="C25" i="68"/>
  <c r="C22" i="68" s="1"/>
  <c r="B10" i="74"/>
  <c r="C46" i="68"/>
  <c r="C45" i="68" s="1"/>
  <c r="C42" i="68"/>
  <c r="C41" i="68" s="1"/>
  <c r="R6" i="1"/>
  <c r="R27" i="6"/>
  <c r="C22" i="12"/>
  <c r="C27" i="12" s="1"/>
  <c r="C25" i="12" s="1"/>
  <c r="C14" i="71"/>
  <c r="D15" i="7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F6" i="67"/>
  <c r="D2" i="21"/>
  <c r="F35" i="67"/>
  <c r="M21" i="67"/>
  <c r="C31" i="68" l="1"/>
  <c r="C6" i="67"/>
  <c r="C49" i="68"/>
  <c r="C51" i="68" s="1"/>
  <c r="C52" i="68" s="1"/>
  <c r="B2" i="68" s="1"/>
  <c r="B3" i="68" s="1"/>
  <c r="C34" i="67"/>
  <c r="F63" i="67"/>
  <c r="C62" i="67" s="1"/>
  <c r="C59" i="67" s="1"/>
  <c r="C58" i="67" s="1"/>
  <c r="C67" i="67" s="1"/>
  <c r="C68" i="67" s="1"/>
  <c r="C71" i="67" s="1"/>
  <c r="J20" i="67"/>
  <c r="J17" i="67" s="1"/>
  <c r="J16" i="67" s="1"/>
  <c r="J25" i="67" s="1"/>
  <c r="J26" i="67" s="1"/>
  <c r="J29" i="67" s="1"/>
  <c r="R16" i="1"/>
  <c r="C30" i="12"/>
  <c r="C28" i="12" s="1"/>
  <c r="C32" i="12" s="1"/>
  <c r="B2" i="12" s="1"/>
  <c r="B3" i="12" s="1"/>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2" i="67" l="1"/>
  <c r="C10" i="67"/>
  <c r="C5" i="67" s="1"/>
  <c r="C38" i="67" s="1"/>
  <c r="C33" i="67"/>
  <c r="C57" i="68"/>
  <c r="C56" i="68" s="1"/>
  <c r="C12" i="71"/>
  <c r="D13" i="71"/>
  <c r="B2" i="33"/>
  <c r="B3" i="33" s="1"/>
  <c r="C80" i="15"/>
  <c r="C79" i="15" s="1"/>
  <c r="C40" i="15"/>
  <c r="C46" i="15" s="1"/>
  <c r="H7" i="39"/>
  <c r="J7" i="39"/>
  <c r="S7" i="39"/>
  <c r="AA7" i="39"/>
  <c r="R47" i="39" s="1"/>
  <c r="O63" i="40"/>
  <c r="O65" i="40" s="1"/>
  <c r="N65" i="40"/>
  <c r="D2" i="37"/>
  <c r="D2" i="36"/>
  <c r="L51" i="15"/>
  <c r="D2" i="35"/>
  <c r="D2" i="34"/>
  <c r="C31" i="67" l="1"/>
  <c r="C30" i="67" s="1"/>
  <c r="C39" i="67" s="1"/>
  <c r="H40" i="67" s="1"/>
  <c r="L57" i="67"/>
  <c r="L60" i="67" s="1"/>
  <c r="L46" i="67" s="1"/>
  <c r="D12" i="71"/>
  <c r="U12" i="71" s="1"/>
  <c r="C11" i="71"/>
  <c r="T12" i="7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L51" i="67"/>
  <c r="AO8" i="1"/>
  <c r="AO9" i="1"/>
  <c r="AO7" i="1"/>
  <c r="AO10" i="1"/>
  <c r="Q57" i="67" l="1"/>
  <c r="C80" i="67"/>
  <c r="C79" i="67" s="1"/>
  <c r="Q69" i="67"/>
  <c r="Q68" i="67" s="1"/>
  <c r="Q66" i="67"/>
  <c r="C40" i="67"/>
  <c r="C83" i="67" s="1"/>
  <c r="C82" i="67" s="1"/>
  <c r="Q67" i="67"/>
  <c r="C10" i="7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43" i="67" l="1"/>
  <c r="Q56" i="67"/>
  <c r="Q62" i="67" s="1"/>
  <c r="Q65" i="67"/>
  <c r="Q75" i="67" s="1"/>
  <c r="C45" i="67"/>
  <c r="C46" i="67" s="1"/>
  <c r="Q47" i="67"/>
  <c r="Q53" i="67" s="1"/>
  <c r="D2" i="67"/>
  <c r="B2" i="67" s="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B3" i="67"/>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C73" i="9"/>
  <c r="C78" i="9"/>
  <c r="H5" i="52"/>
  <c r="H119" i="9"/>
  <c r="B31" i="72"/>
  <c r="D15" i="53"/>
  <c r="E81" i="9"/>
  <c r="E80" i="9"/>
  <c r="C80" i="9"/>
  <c r="B52" i="72"/>
  <c r="G4" i="52"/>
  <c r="C86" i="9"/>
  <c r="C93" i="9"/>
  <c r="B47" i="72"/>
  <c r="D4" i="52"/>
  <c r="B48" i="72"/>
  <c r="E4" i="52"/>
  <c r="C96" i="9"/>
  <c r="E96" i="9"/>
  <c r="E97" i="9"/>
  <c r="D54" i="9"/>
  <c r="C68" i="9"/>
  <c r="B22" i="72"/>
  <c r="D6" i="53"/>
  <c r="D8" i="52"/>
  <c r="M48" i="9"/>
  <c r="C64" i="9"/>
  <c r="C63" i="9"/>
  <c r="C67" i="9"/>
  <c r="D59" i="9"/>
  <c r="M55" i="9"/>
  <c r="F119" i="9"/>
  <c r="F5" i="52"/>
  <c r="B53" i="72"/>
  <c r="B21" i="72"/>
  <c r="D7" i="53"/>
  <c r="C72" i="9"/>
  <c r="C79" i="9"/>
  <c r="C81" i="9"/>
  <c r="D122" i="9"/>
  <c r="D123" i="9"/>
  <c r="D9" i="52"/>
  <c r="C85" i="9"/>
  <c r="C95" i="9"/>
  <c r="C97" i="9"/>
  <c r="D58" i="9"/>
  <c r="D56" i="9"/>
  <c r="M54" i="9"/>
  <c r="D5" i="53"/>
  <c r="B20" i="72"/>
  <c r="B30" i="72"/>
  <c r="E118" i="9"/>
  <c r="D118" i="9"/>
  <c r="D119" i="9"/>
  <c r="D5" i="52"/>
  <c r="B49" i="72"/>
  <c r="C105" i="9"/>
  <c r="I4" i="52"/>
  <c r="N58" i="9"/>
  <c r="P57" i="9"/>
  <c r="H102" i="9"/>
  <c r="C5" i="74"/>
  <c r="N60" i="9"/>
  <c r="D55" i="9"/>
  <c r="M53" i="9"/>
  <c r="N57" i="9"/>
  <c r="N59" i="9"/>
  <c r="N61" i="9"/>
  <c r="C104" i="9"/>
  <c r="H4" i="52"/>
  <c r="H108" i="9"/>
  <c r="C6" i="74"/>
  <c r="D52" i="9"/>
  <c r="D45" i="9"/>
  <c r="D53" i="9"/>
  <c r="G118" i="9"/>
  <c r="F118" i="9"/>
  <c r="F4" i="52"/>
  <c r="B51"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<sst xmlns="http://schemas.openxmlformats.org/spreadsheetml/2006/main" count="8051" uniqueCount="3538">
  <si>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</si>
  <si>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</si>
  <si>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</si>
  <si>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</si>
  <si>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</si>
  <si>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</si>
  <si>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</si>
  <si>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</si>
  <si>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</si>
  <si>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</si>
  <si>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</si>
  <si>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</si>
  <si>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</si>
  <si>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</si>
  <si>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</si>
  <si>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</si>
  <si>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</si>
  <si>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</si>
  <si>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</si>
  <si>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</si>
  <si>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</si>
  <si>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</si>
  <si>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</si>
  <si>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</si>
  <si>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</si>
  <si>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</si>
  <si>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</si>
  <si>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</si>
  <si>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</si>
  <si>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</si>
  <si>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</si>
  <si>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</si>
  <si>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</si>
  <si>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</si>
  <si>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</si>
  <si>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</si>
  <si>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</si>
  <si>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</si>
  <si>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</si>
  <si>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</si>
  <si>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</si>
  <si>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</si>
  <si>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</si>
  <si>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</si>
  <si>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</si>
  <si>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</si>
  <si>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</si>
  <si>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</si>
  <si>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</si>
  <si>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</si>
  <si>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</si>
  <si>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</si>
  <si>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</si>
  <si>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</si>
  <si>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</si>
  <si>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</si>
  <si>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</si>
  <si>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</si>
  <si>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</si>
  <si>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</si>
  <si>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</si>
  <si>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</si>
  <si>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</si>
  <si>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</si>
  <si>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</si>
  <si>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</si>
  <si>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</si>
  <si>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</si>
  <si>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</si>
  <si>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</si>
  <si>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</si>
  <si>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</si>
  <si>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</si>
  <si>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</si>
  <si>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</si>
  <si>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</si>
  <si>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</si>
  <si>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</si>
  <si>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</si>
  <si>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</si>
  <si>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</si>
  <si>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</si>
  <si>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</si>
  <si>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</si>
  <si>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</si>
  <si>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</si>
  <si>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</si>
  <si>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</si>
  <si>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</si>
  <si>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</si>
  <si>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</si>
  <si>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</si>
  <si>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</si>
  <si>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</si>
  <si>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</si>
  <si>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</si>
  <si>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</si>
  <si>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</si>
  <si>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</si>
  <si>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</si>
  <si>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</si>
  <si>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</si>
  <si>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</si>
  <si>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</si>
  <si>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</si>
  <si>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</si>
  <si>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</si>
  <si>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</si>
  <si>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</si>
  <si>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</si>
  <si>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</si>
  <si>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</si>
  <si>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</si>
  <si>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</si>
  <si>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</si>
  <si>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</si>
  <si>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</si>
  <si>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</si>
  <si>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</si>
  <si>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</si>
  <si>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</si>
  <si>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</si>
  <si>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</si>
  <si>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</si>
  <si>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</si>
  <si>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</si>
  <si>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</si>
  <si>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</si>
  <si>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</si>
  <si>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</si>
  <si>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</si>
  <si>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</si>
  <si>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</si>
  <si>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</si>
  <si>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</si>
  <si>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</si>
  <si>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</si>
  <si>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</si>
  <si>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</si>
  <si>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</si>
  <si>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</si>
  <si>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</si>
  <si>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</si>
  <si>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</si>
  <si>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</si>
  <si>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</si>
  <si>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</si>
  <si>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</si>
  <si>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</si>
  <si>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</si>
  <si>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</si>
  <si>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</si>
  <si>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</si>
  <si>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</si>
  <si>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</si>
  <si>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</si>
  <si>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</si>
  <si>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</si>
  <si>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</si>
  <si>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</si>
  <si>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</si>
  <si>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</si>
  <si>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</si>
  <si>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</si>
  <si>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</si>
  <si>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</si>
  <si>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</si>
  <si>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</si>
  <si>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</si>
  <si>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</si>
  <si>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</si>
  <si>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</si>
  <si>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</si>
  <si>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</si>
  <si>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</si>
  <si>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</si>
  <si>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</si>
  <si>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</si>
  <si>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</si>
  <si>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</si>
  <si>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</si>
  <si>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</si>
  <si>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</si>
  <si>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</si>
  <si>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</si>
  <si>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</si>
  <si>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</si>
  <si>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</si>
  <si>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</si>
  <si>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</si>
  <si>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</si>
  <si>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</si>
  <si>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</si>
  <si>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</si>
  <si>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</si>
  <si>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</si>
  <si>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</si>
  <si>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</si>
  <si>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</si>
  <si>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</si>
  <si>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</si>
  <si>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</si>
  <si>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</si>
  <si>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</si>
  <si>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</si>
  <si>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</si>
  <si>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</si>
  <si>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</si>
  <si>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</si>
  <si>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</si>
  <si>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</si>
  <si>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</si>
  <si>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</si>
  <si>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</si>
  <si>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</si>
  <si>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</si>
  <si>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</si>
  <si>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</si>
  <si>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</si>
  <si>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</si>
  <si>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</si>
  <si>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</si>
  <si>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</si>
  <si>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</si>
  <si>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</si>
  <si>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</si>
  <si>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</si>
  <si>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</si>
  <si>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</si>
  <si>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</si>
  <si>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</si>
  <si>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</si>
  <si>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</si>
  <si>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</si>
  <si>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</si>
  <si>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</si>
  <si>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</si>
  <si>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</si>
  <si>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</si>
  <si>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</si>
  <si>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</si>
  <si>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</si>
  <si>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</si>
  <si>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</si>
  <si>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</si>
  <si>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</si>
  <si>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</si>
  <si>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</si>
  <si>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</si>
  <si>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</si>
  <si>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</si>
  <si>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</si>
  <si>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</si>
  <si>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</si>
  <si>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</si>
  <si>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</si>
  <si>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</si>
  <si>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</si>
  <si>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</si>
  <si>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</si>
  <si>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</si>
  <si>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</si>
  <si>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</si>
  <si>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</si>
  <si>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</si>
  <si>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</si>
  <si>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</si>
  <si>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</si>
  <si>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</si>
  <si>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</si>
  <si>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</si>
  <si>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</si>
  <si>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</si>
  <si>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</si>
  <si>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</si>
  <si>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</si>
  <si>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</si>
  <si>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</si>
  <si>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</si>
  <si>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</si>
  <si>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</si>
  <si>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</si>
  <si>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</si>
  <si>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</si>
  <si>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</si>
  <si>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</si>
  <si>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</si>
  <si>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</si>
  <si>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</si>
  <si>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</si>
  <si>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</si>
  <si>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</si>
  <si>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</si>
  <si>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</si>
  <si>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</si>
  <si>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</si>
  <si>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</si>
  <si>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</si>
  <si>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</si>
  <si>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</si>
  <si>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</si>
  <si>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</si>
  <si>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</si>
  <si>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</si>
  <si>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</si>
  <si>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</si>
  <si>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</si>
  <si>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</si>
  <si>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</si>
  <si>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</si>
  <si>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</si>
  <si>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</si>
  <si>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</si>
  <si>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</si>
  <si>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</si>
  <si>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</si>
  <si>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</si>
  <si>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</si>
  <si>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</si>
  <si>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</si>
  <si>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</si>
  <si>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</si>
  <si>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</si>
  <si>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</si>
  <si>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</si>
  <si>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</si>
  <si>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</si>
  <si>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</si>
  <si>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</si>
  <si>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</si>
  <si>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</si>
  <si>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</si>
  <si>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</si>
  <si>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</si>
  <si>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</si>
  <si>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</si>
  <si>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</si>
  <si>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</si>
  <si>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</si>
  <si>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</si>
  <si>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</si>
  <si>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</si>
  <si>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</si>
  <si>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</si>
  <si>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</si>
  <si>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</si>
  <si>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</si>
  <si>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</si>
  <si>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</si>
  <si>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</si>
  <si>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</si>
  <si>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</si>
  <si>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</si>
  <si>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</si>
  <si>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</si>
  <si>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</si>
  <si>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</si>
  <si>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</si>
  <si>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</si>
  <si>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</si>
  <si>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</si>
  <si>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</si>
  <si>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</si>
  <si>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</si>
  <si>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</si>
  <si>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</si>
  <si>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</si>
  <si>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</si>
  <si>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</si>
  <si>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</si>
  <si>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</si>
  <si>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</si>
  <si>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</si>
  <si>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</si>
  <si>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</si>
  <si>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</si>
  <si>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</si>
  <si>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</si>
  <si>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</si>
  <si>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</si>
  <si>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</si>
  <si>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</si>
  <si>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</si>
  <si>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</si>
  <si>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</si>
  <si>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</si>
  <si>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</si>
  <si>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</si>
  <si>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</si>
  <si>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</si>
  <si>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</si>
  <si>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</si>
  <si>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</si>
  <si>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</si>
  <si>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</si>
  <si>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</si>
  <si>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</si>
  <si>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</si>
  <si>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</si>
  <si>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</si>
  <si>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</si>
  <si>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</si>
  <si>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</si>
  <si>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</si>
  <si>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</si>
  <si>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</si>
  <si>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</si>
  <si>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</si>
  <si>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</si>
  <si>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</si>
  <si>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</si>
  <si>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</si>
  <si>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</si>
  <si>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</si>
  <si>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</si>
  <si>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</si>
  <si>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</si>
  <si>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</si>
  <si>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</si>
  <si>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</si>
  <si>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</si>
  <si>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</si>
  <si>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</si>
  <si>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</si>
  <si>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</si>
  <si>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</si>
  <si>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</si>
  <si>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</si>
  <si>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</si>
  <si>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</si>
  <si>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</si>
  <si>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</si>
  <si>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</si>
  <si>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</si>
  <si>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</si>
  <si>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</si>
  <si>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</si>
  <si>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</si>
  <si>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</si>
  <si>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</si>
  <si>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</si>
  <si>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</si>
  <si>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</si>
  <si>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</si>
  <si>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</si>
  <si>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</si>
  <si>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</si>
  <si>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</si>
  <si>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</si>
  <si>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</si>
  <si>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</si>
  <si>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</si>
  <si>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</si>
  <si>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</si>
  <si>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</si>
  <si>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</si>
  <si>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</si>
  <si>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</si>
  <si>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</si>
  <si>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</si>
  <si>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</si>
  <si>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</si>
  <si>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</si>
  <si>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</si>
  <si>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</si>
  <si>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</si>
  <si>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</si>
  <si>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</si>
  <si>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</si>
  <si>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</si>
  <si>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</si>
  <si>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</si>
  <si>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</si>
  <si>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</si>
  <si>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</si>
  <si>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</si>
  <si>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</si>
  <si>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</si>
  <si>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</si>
  <si>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</si>
  <si>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</si>
  <si>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</si>
  <si>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</si>
  <si>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</si>
  <si>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</si>
  <si>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</si>
  <si>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</si>
  <si>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</si>
  <si>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</si>
  <si>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</si>
  <si>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</si>
  <si>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</si>
  <si>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</si>
  <si>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</si>
  <si>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</si>
  <si>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</si>
  <si>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</si>
  <si>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</si>
  <si>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</si>
  <si>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</si>
  <si>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</si>
  <si>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</si>
  <si>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</si>
  <si>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</si>
  <si>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</si>
  <si>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</si>
  <si>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</si>
  <si>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</si>
  <si>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</si>
  <si>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</si>
  <si>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</si>
  <si>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</si>
  <si>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</si>
  <si>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</si>
  <si>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</si>
  <si>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</si>
  <si>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</si>
  <si>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</si>
  <si>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</si>
  <si>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</si>
  <si>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</si>
  <si>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</si>
  <si>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</si>
  <si>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</si>
  <si>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</si>
  <si>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</si>
  <si>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</si>
  <si>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</si>
  <si>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</si>
  <si>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</si>
  <si>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</si>
  <si>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</si>
  <si>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</si>
  <si>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</si>
  <si>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</si>
  <si>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</si>
  <si>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</si>
  <si>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</si>
  <si>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</si>
  <si>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</si>
  <si>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</si>
  <si>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</si>
  <si>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</si>
  <si>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</si>
  <si>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</si>
  <si>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</si>
  <si>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</si>
  <si>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</si>
  <si>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</si>
  <si>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</si>
  <si>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</si>
  <si>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</si>
  <si>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</si>
  <si>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</si>
  <si>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</si>
  <si>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</si>
  <si>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</si>
  <si>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</si>
  <si>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</si>
  <si>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</si>
  <si>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</si>
  <si>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</si>
  <si>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</si>
  <si>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</si>
  <si>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</si>
  <si>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</si>
  <si>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</si>
  <si>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</si>
  <si>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</si>
  <si>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</si>
  <si>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</si>
  <si>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</si>
  <si>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</si>
  <si>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</si>
  <si>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</si>
  <si>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</si>
  <si>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</si>
  <si>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</si>
  <si>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</si>
  <si>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</si>
  <si>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</si>
  <si>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</si>
  <si>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</si>
  <si>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</si>
  <si>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</si>
  <si>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</si>
  <si>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</si>
  <si>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</si>
  <si>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</si>
  <si>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</si>
  <si>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</si>
  <si>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</si>
  <si>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</si>
  <si>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</si>
  <si>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</si>
  <si>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</si>
  <si>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</si>
  <si>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</si>
  <si>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</si>
  <si>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</si>
  <si>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</si>
  <si>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</si>
  <si>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</si>
  <si>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</si>
  <si>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</si>
  <si>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</si>
  <si>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</si>
  <si>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</si>
  <si>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</si>
  <si>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</si>
  <si>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</si>
  <si>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</si>
  <si>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</si>
  <si>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</si>
  <si>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</si>
  <si>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</si>
  <si>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</si>
  <si>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</si>
  <si>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</si>
  <si>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</si>
  <si>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</si>
  <si>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</si>
  <si>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</si>
  <si>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</si>
  <si>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</si>
  <si>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</si>
  <si>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</si>
  <si>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</si>
  <si>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</si>
  <si>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</si>
  <si>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</si>
  <si>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</si>
  <si>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</si>
  <si>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</si>
  <si>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</si>
  <si>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</si>
  <si>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</si>
  <si>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</si>
  <si>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</si>
  <si>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</si>
  <si>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</si>
  <si>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</si>
  <si>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</si>
  <si>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</si>
  <si>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</si>
  <si>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</si>
  <si>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</si>
  <si>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</si>
  <si>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</si>
  <si>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</si>
  <si>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</si>
  <si>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</si>
  <si>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</si>
  <si>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</si>
  <si>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</si>
  <si>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</si>
  <si>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</si>
  <si>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</si>
  <si>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</si>
  <si>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</si>
  <si>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</si>
  <si>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</si>
  <si>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</si>
  <si>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</si>
  <si>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</si>
  <si>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</si>
  <si>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</si>
  <si>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</si>
  <si>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</si>
  <si>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</si>
  <si>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</si>
  <si>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</si>
  <si>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</si>
  <si>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</si>
  <si>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</si>
  <si>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</si>
  <si>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</si>
  <si>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</si>
  <si>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</si>
  <si>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</si>
  <si>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</si>
  <si>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</si>
  <si>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</si>
  <si>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</si>
  <si>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</si>
  <si>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</si>
  <si>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</si>
  <si>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</si>
  <si>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</si>
  <si>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</si>
  <si>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</si>
  <si>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</si>
  <si>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</si>
  <si>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</si>
  <si>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</si>
  <si>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</si>
  <si>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</si>
  <si>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</si>
  <si>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</si>
  <si>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</si>
  <si>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</si>
  <si>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</si>
  <si>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</si>
  <si>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</si>
  <si>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</si>
  <si>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</si>
  <si>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</si>
  <si>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</si>
  <si>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</si>
  <si>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</si>
  <si>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</si>
  <si>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</si>
  <si>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</si>
  <si>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</si>
  <si>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</si>
  <si>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</si>
  <si>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</si>
  <si>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</si>
  <si>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</si>
  <si>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</si>
  <si>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</si>
  <si>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</si>
  <si>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</si>
  <si>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</si>
  <si>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</si>
  <si>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</si>
  <si>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</si>
  <si>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</si>
  <si>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</si>
  <si>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</si>
  <si>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</si>
  <si>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</si>
  <si>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</si>
  <si>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</si>
  <si>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</si>
  <si>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</si>
  <si>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</si>
  <si>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</si>
  <si>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</si>
  <si>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</si>
  <si>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</si>
  <si>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</si>
  <si>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</si>
  <si>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</si>
  <si>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</si>
  <si>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</si>
  <si>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</si>
  <si>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</si>
  <si>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</si>
  <si>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</si>
  <si>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</si>
  <si>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</si>
  <si>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</si>
  <si>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</si>
  <si>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</si>
  <si>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</si>
  <si>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</si>
  <si>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</si>
  <si>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</si>
  <si>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</si>
  <si>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</si>
  <si>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</si>
  <si>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</si>
  <si>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</si>
  <si>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</si>
  <si>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</si>
  <si>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</si>
  <si>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</si>
  <si>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</si>
  <si>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</si>
  <si>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</si>
  <si>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</si>
  <si>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</si>
  <si>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</si>
  <si>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</si>
  <si>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</si>
  <si>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</si>
  <si>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</si>
  <si>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</si>
  <si>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</si>
  <si>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</si>
  <si>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</si>
  <si>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</si>
  <si>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</si>
  <si>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</si>
  <si>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</si>
  <si>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</si>
  <si>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</si>
  <si>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</si>
  <si>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</si>
  <si>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</si>
  <si>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</si>
  <si>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</si>
  <si>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</si>
  <si>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</si>
  <si>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</si>
  <si>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</si>
  <si>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</si>
  <si>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</si>
  <si>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</si>
  <si>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</si>
  <si>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</si>
  <si>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</si>
  <si>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</si>
  <si>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</si>
  <si>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</si>
  <si>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</si>
  <si>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</si>
  <si>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</si>
  <si>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</si>
  <si>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</si>
  <si>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</si>
  <si>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</si>
  <si>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</si>
  <si>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</si>
  <si>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</si>
  <si>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</si>
  <si>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</si>
  <si>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</si>
  <si>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</si>
  <si>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</si>
  <si>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</si>
  <si>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</si>
  <si>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</si>
  <si>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</si>
  <si>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</si>
  <si>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</si>
  <si>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</si>
  <si>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</si>
  <si>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</si>
  <si>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</si>
  <si>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</si>
  <si>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</si>
  <si>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</si>
  <si>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</si>
  <si>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</si>
  <si>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</si>
  <si>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</si>
  <si>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</si>
  <si>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</si>
  <si>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</si>
  <si>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</si>
  <si>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</si>
  <si>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</si>
  <si>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</si>
  <si>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</si>
  <si>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</si>
  <si>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</si>
  <si>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</si>
  <si>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</si>
  <si>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</si>
  <si>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</si>
  <si>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</si>
  <si>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</si>
  <si>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</si>
  <si>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</si>
  <si>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</si>
  <si>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</si>
  <si>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</si>
  <si>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</si>
  <si>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</si>
  <si>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</si>
  <si>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</si>
  <si>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</si>
  <si>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</si>
  <si>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</si>
  <si>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</si>
  <si>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</si>
  <si>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</si>
  <si>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</si>
  <si>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</si>
  <si>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</si>
  <si>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</si>
  <si>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</si>
  <si>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</si>
  <si>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</si>
  <si>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</si>
  <si>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</si>
  <si>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</si>
  <si>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</si>
  <si>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</si>
  <si>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</si>
  <si>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</si>
  <si>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</si>
  <si>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</si>
  <si>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</si>
  <si>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</si>
  <si>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</si>
  <si>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</si>
  <si>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</si>
  <si>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</si>
  <si>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</si>
  <si>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</si>
  <si>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</si>
  <si>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</si>
  <si>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</si>
  <si>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</si>
  <si>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</si>
  <si>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</si>
  <si>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</si>
  <si>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</si>
  <si>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</si>
  <si>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</si>
  <si>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</si>
  <si>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</si>
  <si>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</si>
  <si>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</si>
  <si>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</si>
  <si>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</si>
  <si>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</si>
  <si>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</si>
  <si>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</si>
  <si>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</si>
  <si>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</si>
  <si>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</si>
  <si>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</si>
  <si>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</si>
  <si>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</si>
  <si>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</si>
  <si>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</si>
  <si>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</si>
  <si>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</si>
  <si>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</si>
  <si>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</si>
  <si>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</si>
  <si>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</si>
  <si>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</si>
  <si>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</si>
  <si>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</si>
  <si>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</si>
  <si>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</si>
  <si>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</si>
  <si>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</si>
  <si>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</si>
  <si>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</si>
  <si>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</si>
  <si>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</si>
  <si>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</si>
  <si>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</si>
  <si>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</si>
  <si>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</si>
  <si>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</si>
  <si>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</si>
  <si>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</si>
  <si>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</si>
  <si>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</si>
  <si>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</si>
  <si>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</si>
  <si>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</si>
  <si>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</si>
  <si>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</si>
  <si>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</si>
  <si>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</si>
  <si>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</si>
  <si>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</si>
  <si>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</si>
  <si>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</si>
  <si>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</si>
  <si>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</si>
  <si>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</si>
  <si>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</si>
  <si>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</si>
  <si>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</si>
  <si>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</si>
  <si>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</si>
  <si>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</si>
  <si>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</si>
  <si>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</si>
  <si>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</si>
  <si>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</si>
  <si>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</si>
  <si>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</si>
  <si>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</si>
  <si>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</si>
  <si>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</si>
  <si>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</si>
  <si>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</si>
  <si>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</si>
  <si>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</si>
  <si>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</si>
  <si>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</si>
  <si>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</si>
  <si>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</si>
  <si>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</si>
  <si>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</si>
  <si>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</si>
  <si>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</si>
  <si>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</si>
  <si>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</si>
  <si>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</si>
  <si>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</si>
  <si>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</si>
  <si>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</si>
  <si>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</si>
  <si>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</si>
  <si>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</si>
  <si>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</si>
  <si>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</si>
  <si>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</si>
  <si>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</si>
  <si>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</si>
  <si>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</si>
  <si>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</si>
  <si>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</si>
  <si>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</si>
  <si>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</si>
  <si>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</si>
  <si>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</si>
  <si>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</si>
  <si>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</si>
  <si>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</si>
  <si>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</si>
  <si>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</si>
  <si>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</si>
  <si>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</si>
  <si>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</si>
  <si>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</si>
  <si>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</si>
  <si>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</si>
  <si>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</si>
  <si>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</si>
  <si>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</si>
  <si>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</si>
  <si>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</si>
  <si>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</si>
  <si>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</si>
  <si>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</si>
  <si>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</si>
  <si>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</si>
  <si>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</si>
  <si>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</si>
  <si>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</si>
  <si>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</si>
  <si>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</si>
  <si>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</si>
  <si>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</si>
  <si>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</si>
  <si>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</si>
  <si>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</si>
  <si>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</si>
  <si>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</si>
  <si>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</si>
  <si>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</si>
  <si>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</si>
  <si>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</si>
  <si>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</si>
  <si>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</si>
  <si>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</si>
  <si>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</si>
  <si>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</si>
  <si>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</si>
  <si>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</si>
  <si>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</si>
  <si>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</si>
  <si>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</si>
  <si>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</si>
  <si>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</si>
  <si>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</si>
  <si>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</si>
  <si>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</si>
  <si>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</si>
  <si>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</si>
  <si>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</si>
  <si>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</si>
  <si>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</si>
  <si>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</si>
  <si>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</si>
  <si>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</si>
  <si>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</si>
  <si>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</si>
  <si>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</si>
  <si>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</si>
  <si>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</si>
  <si>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</si>
  <si>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</si>
  <si>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</si>
  <si>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</si>
  <si>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</si>
  <si>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</si>
  <si>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</si>
  <si>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</si>
  <si>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</si>
  <si>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</si>
  <si>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</si>
  <si>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</si>
  <si>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</si>
  <si>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</si>
  <si>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</si>
  <si>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</si>
  <si>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</si>
  <si>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</si>
  <si>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</si>
  <si>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</si>
  <si>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</si>
  <si>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</si>
  <si>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</si>
  <si>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</si>
  <si>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</si>
  <si>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</si>
  <si>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</si>
  <si>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</si>
  <si>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</si>
  <si>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</si>
  <si>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</si>
  <si>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</si>
  <si>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</si>
  <si>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</si>
  <si>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</si>
  <si>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</si>
  <si>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</si>
  <si>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</si>
  <si>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</si>
  <si>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</si>
  <si>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</si>
  <si>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</si>
  <si>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</si>
  <si>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</si>
  <si>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</si>
  <si>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</si>
  <si>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</si>
  <si>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</si>
  <si>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</si>
  <si>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</si>
  <si>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</si>
  <si>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</si>
  <si>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</si>
  <si>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</si>
  <si>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</si>
  <si>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</si>
  <si>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</si>
  <si>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</si>
  <si>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</si>
  <si>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</si>
  <si>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</si>
  <si>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</si>
  <si>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</si>
  <si>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</si>
  <si>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</si>
  <si>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</si>
  <si>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</si>
  <si>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</si>
  <si>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</si>
  <si>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</si>
  <si>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</si>
  <si>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</si>
  <si>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</si>
  <si>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</si>
  <si>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</si>
  <si>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</si>
  <si>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</si>
  <si>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</si>
  <si>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</si>
  <si>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</si>
  <si>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</si>
  <si>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</si>
  <si>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</si>
  <si>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</si>
  <si>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</si>
  <si>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</si>
  <si>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</si>
  <si>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</si>
  <si>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</si>
  <si>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</si>
  <si>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</si>
  <si>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</si>
  <si>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</si>
  <si>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</si>
  <si>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</si>
  <si>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</si>
  <si>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</si>
  <si>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</si>
  <si>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</si>
  <si>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</si>
  <si>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</si>
  <si>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</si>
  <si>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</si>
  <si>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</si>
  <si>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</si>
  <si>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</si>
  <si>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</si>
  <si>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</si>
  <si>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</si>
  <si>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</si>
  <si>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</si>
  <si>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</si>
  <si>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</si>
  <si>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</si>
  <si>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</si>
  <si>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</si>
  <si>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</si>
  <si>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</si>
  <si>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</si>
  <si>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</si>
  <si>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</si>
  <si>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</si>
  <si>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</si>
  <si>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</si>
  <si>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</si>
  <si>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</si>
  <si>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</si>
  <si>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</si>
  <si>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</si>
  <si>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</si>
  <si>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</si>
  <si>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</si>
  <si>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</si>
  <si>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</si>
  <si>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</si>
  <si>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</si>
  <si>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</si>
  <si>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</si>
  <si>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</si>
  <si>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</si>
  <si>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</si>
  <si>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</si>
  <si>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</si>
  <si>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</si>
  <si>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</si>
  <si>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</si>
  <si>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</si>
  <si>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</si>
  <si>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</si>
  <si>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</si>
  <si>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</si>
  <si>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</si>
  <si>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</si>
  <si>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</si>
  <si>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</si>
  <si>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</si>
  <si>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</si>
  <si>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</si>
  <si>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</si>
  <si>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</si>
  <si>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</si>
  <si>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</si>
  <si>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</si>
  <si>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</si>
  <si>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</si>
  <si>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</si>
  <si>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</si>
  <si>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</si>
  <si>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</si>
  <si>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</si>
  <si>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</si>
  <si>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</si>
  <si>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</si>
  <si>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</si>
  <si>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</si>
  <si>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</si>
  <si>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</si>
  <si>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</si>
  <si>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</si>
  <si>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</si>
  <si>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</si>
  <si>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</si>
  <si>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</si>
  <si>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</si>
  <si>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</si>
  <si>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</si>
  <si>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</si>
  <si>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</si>
  <si>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</si>
  <si>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</si>
  <si>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</si>
  <si>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</si>
  <si>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</si>
  <si>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</si>
  <si>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</si>
  <si>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</si>
  <si>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</si>
  <si>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</si>
  <si>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</si>
  <si>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</si>
  <si>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</si>
  <si>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</si>
  <si>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</si>
  <si>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</si>
  <si>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</si>
  <si>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</si>
  <si>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</si>
  <si>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</si>
  <si>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</si>
  <si>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</si>
  <si>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</si>
  <si>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</si>
  <si>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</si>
  <si>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</si>
  <si>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</si>
  <si>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</si>
  <si>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</si>
  <si>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</si>
  <si>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</si>
  <si>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</si>
  <si>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</si>
  <si>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</si>
  <si>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</si>
  <si>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</si>
  <si>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</si>
  <si>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</si>
  <si>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</si>
  <si>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</si>
  <si>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</si>
  <si>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</si>
  <si>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</si>
  <si>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</si>
  <si>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</si>
  <si>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</si>
  <si>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</si>
  <si>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</si>
  <si>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</si>
  <si>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</si>
  <si>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</si>
  <si>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</si>
  <si>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</si>
  <si>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</si>
  <si>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</si>
  <si>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</si>
  <si>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</si>
  <si>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</si>
  <si>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</si>
  <si>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</si>
  <si>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</si>
  <si>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</si>
  <si>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</si>
  <si>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</si>
  <si>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</si>
  <si>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</si>
  <si>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</si>
  <si>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</si>
  <si>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</si>
  <si>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</si>
  <si>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</si>
  <si>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</si>
  <si>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</si>
  <si>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</si>
  <si>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</si>
  <si>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</si>
  <si>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</si>
  <si>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</si>
  <si>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</si>
  <si>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</si>
  <si>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</si>
  <si>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</si>
  <si>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</si>
  <si>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</si>
  <si>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</si>
  <si>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</si>
  <si>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</si>
  <si>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</si>
  <si>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</si>
  <si>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</si>
  <si>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</si>
  <si>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</si>
  <si>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</si>
  <si>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</si>
  <si>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</si>
  <si>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</si>
  <si>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</si>
  <si>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</si>
  <si>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</si>
  <si>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</si>
  <si>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</si>
  <si>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</si>
  <si>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</si>
  <si>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</si>
  <si>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</si>
  <si>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</si>
  <si>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</si>
  <si>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</si>
  <si>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</si>
  <si>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</si>
  <si>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</si>
  <si>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</si>
  <si>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</si>
  <si>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</si>
  <si>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</si>
  <si>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</si>
  <si>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</si>
  <si>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</si>
  <si>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</si>
  <si>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</si>
  <si>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</si>
  <si>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</si>
  <si>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</si>
  <si>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</si>
  <si>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</si>
  <si>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</si>
  <si>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</si>
  <si>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</si>
  <si>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</si>
  <si>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</si>
  <si>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</si>
  <si>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</si>
  <si>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</si>
  <si>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</si>
  <si>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</si>
  <si>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</si>
  <si>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</si>
  <si>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</si>
  <si>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</si>
  <si>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</si>
  <si>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</si>
  <si>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</si>
  <si>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</si>
  <si>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</si>
  <si>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</si>
  <si>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</si>
  <si>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</si>
  <si>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</si>
  <si>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</si>
  <si>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</si>
  <si>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</si>
  <si>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</si>
  <si>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</si>
  <si>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</si>
  <si>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</si>
  <si>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</si>
  <si>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</si>
  <si>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</si>
  <si>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</si>
  <si>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</si>
  <si>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</si>
  <si>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</si>
  <si>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</si>
  <si>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</si>
  <si>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</si>
  <si>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</si>
  <si>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</si>
  <si>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</si>
  <si>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</si>
  <si>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</si>
  <si>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</si>
  <si>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</si>
  <si>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</si>
  <si>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</si>
  <si>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</si>
  <si>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</si>
  <si>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</si>
  <si>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</si>
  <si>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</si>
  <si>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</si>
  <si>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</si>
  <si>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</si>
  <si>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</si>
  <si>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</si>
  <si>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</si>
  <si>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</si>
  <si>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</si>
  <si>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</si>
  <si>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</si>
  <si>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</si>
  <si>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</si>
  <si>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</si>
  <si>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</si>
  <si>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</si>
  <si>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</si>
  <si>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</si>
  <si>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</si>
  <si>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</si>
  <si>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</si>
  <si>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</si>
  <si>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</si>
  <si>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</si>
  <si>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</si>
  <si>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</si>
  <si>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</si>
  <si>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</si>
  <si>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</si>
  <si>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</si>
  <si>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</si>
  <si>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</si>
  <si>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</si>
  <si>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</si>
  <si>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</si>
  <si>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</si>
  <si>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</si>
  <si>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</si>
  <si>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</si>
  <si>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</si>
  <si>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</si>
  <si>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</si>
  <si>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</si>
  <si>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</si>
  <si>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</si>
  <si>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</si>
  <si>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</si>
  <si>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</si>
  <si>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</si>
  <si>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</si>
  <si>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</si>
  <si>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</si>
  <si>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</si>
  <si>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</si>
  <si>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</si>
  <si>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</si>
  <si>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</si>
  <si>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</si>
  <si>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</si>
  <si>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</si>
  <si>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</si>
  <si>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</si>
  <si>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</si>
  <si>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</si>
  <si>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</si>
  <si>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</si>
  <si>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</si>
  <si>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</si>
  <si>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</si>
  <si>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</si>
  <si>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</si>
  <si>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</si>
  <si>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</si>
  <si>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</si>
  <si>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</si>
  <si>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</si>
  <si>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</si>
  <si>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</si>
  <si>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</si>
  <si>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</si>
  <si>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</si>
  <si>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</si>
  <si>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</si>
  <si>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</si>
  <si>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</si>
  <si>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</si>
  <si>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</si>
  <si>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</si>
  <si>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</si>
  <si>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</si>
  <si>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</si>
  <si>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</si>
  <si>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</si>
  <si>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</si>
  <si>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</si>
  <si>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</si>
  <si>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</si>
  <si>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</si>
  <si>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</si>
  <si>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</si>
  <si>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</si>
  <si>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</si>
  <si>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</si>
  <si>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</si>
  <si>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</si>
  <si>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</si>
  <si>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</si>
  <si>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</si>
  <si>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</si>
  <si>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</si>
  <si>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</si>
  <si>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</si>
  <si>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</si>
  <si>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</si>
  <si>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</si>
  <si>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</si>
  <si>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</si>
  <si>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</si>
  <si>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</si>
  <si>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</si>
  <si>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</si>
  <si>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</si>
  <si>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</si>
  <si>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</si>
  <si>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</si>
  <si>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</si>
  <si>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</si>
  <si>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</si>
  <si>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</si>
  <si>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</si>
  <si>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</si>
  <si>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</si>
  <si>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</si>
  <si>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</si>
  <si>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</si>
  <si>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</si>
  <si>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</si>
  <si>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</si>
  <si>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</si>
  <si>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</si>
  <si>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</si>
  <si>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</si>
  <si>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</si>
  <si>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</si>
  <si>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</si>
  <si>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</si>
  <si>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</si>
  <si>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</si>
  <si>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</si>
  <si>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</si>
  <si>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</si>
  <si>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</si>
  <si>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</si>
  <si>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</si>
  <si>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</si>
  <si>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</si>
  <si>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</si>
  <si>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</si>
  <si>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</si>
  <si>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</si>
  <si>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</si>
  <si>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</si>
  <si>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</si>
  <si>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</si>
  <si>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</si>
  <si>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</si>
  <si>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</si>
  <si>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</si>
  <si>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</si>
  <si>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</si>
  <si>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</si>
  <si>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</si>
  <si>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</si>
  <si>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</si>
  <si>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</si>
  <si>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</si>
  <si>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</si>
  <si>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</si>
  <si>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</si>
  <si>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</si>
  <si>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</si>
  <si>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</si>
  <si>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</si>
  <si>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</si>
  <si>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</si>
  <si>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</si>
  <si>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</si>
  <si>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</si>
  <si>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</si>
  <si>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</si>
  <si>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</si>
  <si>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</si>
  <si>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</si>
  <si>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</si>
  <si>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</si>
  <si>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</si>
  <si>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</si>
  <si>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</si>
  <si>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</si>
  <si>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</si>
  <si>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</si>
  <si>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</si>
  <si>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</si>
  <si>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</si>
  <si>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</si>
  <si>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</si>
  <si>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</si>
  <si>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</si>
  <si>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</si>
  <si>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</si>
  <si>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</si>
  <si>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</si>
  <si>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</si>
  <si>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</si>
  <si>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</si>
  <si>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</si>
  <si>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</si>
  <si>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</si>
  <si>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</si>
  <si>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</si>
  <si>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</si>
  <si>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</si>
  <si>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</si>
  <si>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</si>
  <si>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</si>
  <si>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</si>
  <si>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</si>
  <si>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</si>
  <si>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</si>
  <si>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</si>
  <si>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</si>
  <si>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</si>
  <si>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</si>
  <si>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</si>
  <si>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</si>
  <si>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</si>
  <si>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</si>
  <si>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</si>
  <si>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</si>
  <si>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</si>
  <si>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</si>
  <si>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</si>
  <si>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</si>
  <si>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</si>
  <si>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</si>
  <si>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</si>
  <si>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</si>
  <si>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</si>
  <si>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</si>
  <si>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</si>
  <si>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</si>
  <si>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</si>
  <si>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</si>
  <si>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</si>
  <si>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</si>
  <si>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</si>
  <si>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</si>
  <si>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</si>
  <si>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</si>
  <si>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</si>
  <si>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</si>
  <si>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</si>
  <si>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</si>
  <si>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</si>
  <si>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</si>
  <si>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</si>
  <si>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</si>
  <si>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</si>
  <si>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</si>
  <si>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</si>
  <si>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</si>
  <si>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</si>
  <si>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</si>
  <si>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</si>
  <si>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</si>
  <si>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</si>
  <si>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</si>
  <si>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</si>
  <si>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</si>
  <si>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</si>
  <si>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</si>
  <si>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</si>
  <si>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</si>
  <si>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</si>
  <si>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</si>
  <si>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</si>
  <si>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</si>
  <si>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</si>
  <si>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</si>
  <si>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</si>
  <si>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</si>
  <si>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</si>
  <si>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</si>
  <si>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</si>
  <si>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</si>
  <si>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</si>
  <si>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</si>
  <si>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</si>
  <si>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</si>
  <si>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</si>
  <si>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</si>
  <si>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</si>
  <si>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</si>
  <si>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</si>
  <si>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</si>
  <si>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</si>
  <si>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</si>
  <si>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</si>
  <si>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</si>
  <si>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</si>
  <si>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</si>
  <si>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</si>
  <si>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</si>
  <si>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</si>
  <si>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</si>
  <si>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</si>
  <si>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</si>
  <si>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</si>
  <si>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</si>
  <si>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</si>
  <si>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</si>
  <si>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</si>
  <si>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</si>
  <si>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</si>
  <si>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</si>
  <si>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</si>
  <si>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</si>
  <si>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</si>
  <si>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</si>
  <si>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</si>
  <si>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</si>
  <si>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</si>
  <si>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</si>
  <si>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</si>
  <si>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</si>
  <si>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</si>
  <si>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</si>
  <si>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</si>
  <si>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</si>
  <si>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</si>
  <si>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</si>
  <si>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</si>
  <si>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</si>
  <si>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</si>
  <si>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</si>
  <si>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</si>
  <si>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</si>
  <si>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</si>
  <si>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</si>
  <si>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</si>
  <si>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</si>
  <si>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</si>
  <si>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</si>
  <si>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</si>
  <si>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</si>
  <si>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</si>
  <si>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</si>
  <si>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</si>
  <si>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</si>
  <si>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</si>
  <si>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</si>
  <si>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</si>
  <si>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</si>
  <si>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</si>
  <si>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</si>
  <si>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</si>
  <si>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</si>
  <si>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</si>
  <si>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</si>
  <si>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</si>
  <si>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</si>
  <si>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</si>
  <si>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</si>
  <si>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</si>
  <si>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</si>
  <si>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</si>
  <si>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</si>
  <si>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</si>
  <si>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</si>
  <si>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</si>
  <si>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</si>
  <si>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</si>
  <si>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</si>
  <si>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</si>
  <si>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</si>
  <si>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</si>
  <si>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</si>
  <si>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</si>
  <si>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</si>
  <si>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</si>
  <si>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</si>
  <si>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</si>
  <si>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</si>
  <si>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</si>
  <si>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</si>
  <si>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</si>
  <si>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</si>
  <si>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</si>
  <si>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</si>
  <si>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</si>
  <si>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</si>
  <si>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</si>
  <si>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</si>
  <si>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</si>
  <si>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</si>
  <si>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</si>
  <si>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</si>
  <si>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</si>
  <si>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</si>
  <si>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</si>
  <si>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</si>
  <si>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</si>
  <si>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</si>
  <si>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</si>
  <si>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</si>
  <si>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</si>
  <si>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</si>
  <si>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</si>
  <si>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</si>
  <si>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</si>
  <si>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</si>
  <si>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</si>
  <si>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</si>
  <si>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</si>
  <si>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</si>
  <si>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</si>
  <si>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</si>
  <si>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</si>
  <si>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</si>
  <si>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</si>
  <si>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</si>
  <si>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</si>
  <si>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</si>
  <si>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</si>
  <si>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</si>
  <si>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</si>
  <si>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</si>
  <si>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</si>
  <si>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</si>
  <si>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</si>
  <si>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</si>
  <si>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</si>
  <si>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</si>
  <si>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</si>
  <si>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</si>
  <si>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</si>
  <si>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</si>
  <si>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</si>
  <si>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</si>
  <si>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</si>
  <si>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</si>
  <si>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</si>
  <si>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</si>
  <si>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</si>
  <si>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</si>
  <si>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</si>
  <si>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</si>
  <si>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</si>
  <si>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</si>
  <si>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</si>
  <si>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</si>
  <si>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</si>
  <si>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</si>
  <si>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</si>
  <si>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</si>
  <si>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</si>
  <si>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</si>
  <si>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</si>
  <si>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</si>
  <si>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</si>
  <si>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</si>
  <si>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</si>
  <si>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</si>
  <si>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</si>
  <si>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</si>
  <si>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</si>
  <si>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</si>
  <si>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</si>
  <si>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</si>
  <si>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</si>
  <si>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</si>
  <si>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</si>
  <si>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</si>
  <si>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</si>
  <si>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</si>
  <si>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</si>
  <si>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</si>
  <si>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</si>
  <si>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</si>
  <si>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</si>
  <si>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</si>
  <si>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</si>
  <si>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</si>
  <si>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</si>
  <si>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</si>
  <si>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</si>
  <si>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</si>
  <si>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</si>
  <si>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</si>
  <si>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</si>
  <si>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</si>
  <si>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</si>
  <si>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</si>
  <si>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</si>
  <si>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</si>
  <si>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</si>
  <si>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</si>
  <si>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</si>
  <si>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</si>
  <si>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</si>
  <si>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</si>
  <si>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</si>
  <si>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</si>
  <si>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</si>
  <si>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</si>
  <si>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</si>
  <si>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</si>
  <si>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</si>
  <si>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</si>
  <si>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</si>
  <si>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</si>
  <si>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</si>
  <si>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</si>
  <si>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</si>
  <si>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</si>
  <si>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</si>
  <si>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</si>
  <si>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</si>
  <si>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</si>
  <si>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</si>
  <si>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</si>
  <si>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</si>
  <si>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</si>
  <si>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</si>
  <si>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</si>
  <si>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</si>
  <si>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</si>
  <si>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</si>
  <si>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</si>
  <si>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</si>
  <si>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</si>
  <si>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</si>
  <si>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</si>
  <si>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</si>
  <si>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</si>
  <si>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</si>
  <si>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</si>
  <si>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</si>
  <si>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</si>
  <si>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</si>
  <si>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</si>
  <si>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</si>
  <si>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</si>
  <si>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</si>
  <si>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</si>
  <si>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</si>
  <si>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</si>
  <si>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</si>
  <si>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</si>
  <si>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</si>
  <si>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</si>
  <si>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</si>
  <si>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</si>
  <si>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</si>
  <si>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</si>
  <si>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</si>
  <si>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</si>
  <si>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</si>
  <si>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</si>
  <si>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</si>
  <si>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</si>
  <si>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</si>
  <si>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</si>
  <si>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</si>
  <si>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</si>
  <si>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</si>
  <si>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</si>
  <si>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</si>
  <si>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</si>
  <si>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</si>
  <si>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</si>
  <si>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</si>
  <si>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</si>
  <si>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</si>
  <si>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</si>
  <si>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</si>
  <si>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</si>
  <si>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</si>
  <si>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</si>
  <si>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</si>
  <si>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</si>
  <si>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</si>
  <si>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</si>
  <si>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</si>
  <si>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</si>
  <si>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</si>
  <si>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</si>
  <si>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</si>
  <si>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</si>
  <si>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</si>
  <si>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</si>
  <si>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</si>
  <si>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</si>
  <si>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</si>
  <si>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</si>
  <si>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</si>
  <si>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</si>
  <si>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</si>
  <si>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</si>
  <si>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</si>
  <si>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</si>
  <si>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</si>
  <si>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</si>
  <si>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</si>
  <si>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</si>
  <si>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</si>
  <si>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</si>
  <si>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</si>
  <si>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</si>
  <si>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</si>
  <si>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</si>
  <si>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</si>
  <si>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</si>
  <si>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</si>
  <si>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</si>
  <si>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</si>
  <si>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</si>
  <si>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</si>
  <si>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</si>
  <si>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</si>
  <si>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</si>
  <si>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</si>
  <si>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</si>
  <si>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</si>
  <si>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</si>
  <si>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</si>
  <si>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</si>
  <si>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</si>
  <si>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</si>
  <si>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</si>
  <si>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</si>
  <si>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</si>
  <si>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</si>
  <si>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</si>
  <si>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</si>
  <si>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</si>
  <si>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</si>
  <si>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</si>
  <si>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</si>
  <si>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</si>
  <si>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</si>
  <si>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</si>
  <si>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</si>
  <si>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</si>
  <si>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</si>
  <si>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</si>
  <si>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</si>
  <si>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</si>
  <si>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</si>
  <si>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</si>
  <si>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</si>
  <si>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</si>
  <si>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</si>
  <si>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</si>
  <si>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</si>
  <si>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</si>
  <si>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</si>
  <si>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</si>
  <si>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</si>
  <si>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</si>
  <si>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</si>
  <si>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</si>
  <si>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</si>
  <si>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</si>
  <si>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</si>
  <si>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</si>
  <si>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</si>
  <si>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</si>
  <si>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</si>
  <si>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</si>
  <si>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</si>
  <si>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</si>
  <si>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</si>
  <si>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</si>
  <si>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</si>
  <si>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</si>
  <si>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</si>
  <si>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</si>
  <si>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</si>
  <si>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</si>
  <si>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</si>
  <si>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</si>
  <si>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</si>
  <si>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</si>
  <si>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</si>
  <si>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</si>
  <si>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</si>
  <si>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</si>
  <si>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</si>
  <si>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</si>
  <si>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</si>
  <si>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</si>
  <si>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</si>
  <si>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</si>
  <si>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</si>
  <si>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</si>
  <si>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</si>
  <si>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</si>
  <si>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</si>
  <si>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</si>
  <si>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</si>
  <si>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</si>
  <si>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</si>
  <si>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</si>
  <si>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</si>
  <si>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</si>
  <si>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</si>
  <si>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</si>
  <si>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</si>
  <si>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</si>
  <si>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</si>
  <si>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</si>
  <si>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</si>
  <si>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</si>
  <si>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</si>
  <si>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</si>
  <si>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</si>
  <si>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</si>
  <si>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</si>
  <si>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</si>
  <si>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</si>
  <si>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</si>
  <si>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</si>
  <si>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</si>
  <si>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</si>
  <si>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</si>
  <si>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</si>
  <si>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</si>
  <si>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</si>
  <si>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</si>
  <si>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</si>
  <si>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</si>
  <si>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</si>
  <si>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</si>
  <si>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</si>
  <si>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</si>
  <si>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</si>
  <si>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</si>
  <si>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</si>
  <si>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</si>
  <si>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</si>
  <si>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</si>
  <si>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</si>
  <si>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</si>
  <si>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</si>
  <si>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</si>
  <si>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</si>
  <si>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</si>
  <si>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</si>
  <si>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</si>
  <si>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</si>
  <si>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</si>
  <si>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</si>
  <si>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</si>
  <si>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</si>
  <si>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</si>
  <si>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</si>
  <si>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</si>
  <si>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</si>
  <si>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</si>
  <si>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</si>
  <si>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</si>
  <si>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</si>
  <si>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</si>
  <si>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</si>
  <si>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</si>
  <si>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</si>
  <si>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</si>
  <si>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</si>
  <si>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</si>
  <si>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</si>
  <si>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</si>
  <si>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</si>
  <si>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</si>
  <si>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</si>
  <si>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</si>
  <si>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</si>
  <si>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</si>
  <si>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</si>
  <si>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</si>
  <si>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</si>
  <si>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</si>
  <si>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</si>
  <si>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</si>
  <si>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</si>
  <si>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</si>
  <si>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</si>
  <si>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</si>
  <si>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</si>
  <si>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</si>
  <si>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</si>
  <si>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</si>
  <si>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</si>
  <si>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</si>
  <si>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</si>
  <si>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</si>
  <si>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</si>
  <si>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</si>
  <si>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</si>
  <si>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</si>
  <si>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</si>
  <si>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</si>
  <si>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</si>
  <si>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</si>
  <si>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</si>
  <si>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</si>
  <si>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</si>
  <si>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</si>
  <si>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</si>
  <si>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</si>
  <si>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</si>
  <si>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</si>
  <si>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</si>
  <si>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</si>
  <si>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</si>
  <si>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</si>
  <si>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</si>
  <si>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</si>
  <si>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</si>
  <si>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</si>
  <si>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</si>
  <si>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</si>
  <si>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</si>
  <si>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</si>
  <si>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</si>
  <si>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</si>
  <si>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</si>
  <si>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</si>
  <si>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</si>
  <si>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</si>
  <si>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</si>
  <si>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</si>
  <si>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</si>
  <si>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</si>
  <si>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</si>
  <si>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</si>
  <si>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</si>
  <si>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</si>
  <si>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</si>
  <si>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</si>
  <si>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</si>
  <si>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</si>
  <si>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</si>
  <si>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</si>
  <si>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</si>
  <si>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</si>
  <si>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</si>
  <si>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</si>
  <si>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</si>
  <si>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</si>
  <si>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</si>
  <si>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</si>
  <si>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</si>
  <si>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</si>
  <si>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</si>
  <si>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</si>
  <si>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</si>
  <si>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</si>
  <si>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</si>
  <si>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</si>
  <si>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</si>
  <si>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</si>
  <si>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</si>
  <si>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</si>
  <si>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</si>
  <si>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</si>
  <si>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</si>
  <si>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</si>
  <si>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</si>
  <si>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</si>
  <si>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</si>
  <si>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</si>
  <si>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</si>
  <si>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</si>
  <si>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</si>
  <si>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</si>
  <si>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</si>
  <si>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</si>
  <si>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</si>
  <si>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</si>
  <si>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</si>
  <si>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</si>
  <si>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</si>
  <si>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</si>
  <si>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</si>
  <si>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</si>
  <si>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</si>
  <si>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</si>
  <si>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</si>
  <si>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</si>
  <si>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</si>
  <si>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</si>
  <si>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</si>
  <si>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</si>
  <si>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</si>
  <si>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</si>
  <si>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</si>
  <si>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</si>
  <si>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</si>
  <si>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</si>
  <si>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</si>
  <si>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</si>
  <si>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</si>
  <si>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</si>
  <si>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</si>
  <si>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</si>
  <si>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</si>
  <si>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</si>
  <si>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</si>
  <si>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</si>
  <si>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</si>
  <si>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</si>
  <si>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</si>
  <si>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</si>
  <si>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</si>
  <si>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</si>
  <si>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</si>
  <si>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</si>
  <si>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</si>
  <si>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</si>
  <si>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</si>
  <si>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</si>
  <si>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</si>
  <si>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</si>
  <si>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</si>
  <si>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</si>
  <si>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</si>
  <si>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</si>
  <si>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</si>
  <si>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</si>
  <si>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</si>
  <si>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</si>
  <si>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</si>
  <si>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</si>
  <si>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</si>
  <si>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</si>
  <si>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</si>
  <si>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</si>
  <si>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</si>
  <si>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</si>
  <si>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</si>
  <si>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</si>
  <si>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</si>
  <si>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</si>
  <si>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</si>
  <si>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</si>
  <si>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</si>
  <si>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</si>
  <si>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</si>
  <si>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</si>
  <si>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</si>
  <si>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</si>
  <si>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</si>
  <si>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</si>
  <si>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</si>
  <si>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</si>
  <si>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</si>
  <si>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</si>
  <si>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</si>
  <si>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</si>
  <si>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</si>
  <si>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</si>
  <si>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</si>
  <si>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</si>
  <si>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</si>
  <si>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</si>
  <si>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</si>
  <si>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</si>
  <si>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</si>
  <si>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</si>
  <si>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</si>
  <si>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</si>
  <si>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</si>
  <si>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</si>
  <si>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</si>
  <si>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</si>
  <si>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</si>
  <si>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</si>
  <si>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</si>
  <si>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</si>
  <si>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</si>
  <si>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</si>
  <si>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</si>
  <si>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</si>
  <si>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</si>
  <si>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</si>
  <si>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</si>
  <si>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</si>
  <si>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</si>
  <si>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</si>
  <si>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</si>
  <si>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</si>
  <si>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</si>
  <si>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</si>
  <si>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</si>
  <si>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</si>
  <si>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</si>
  <si>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</si>
  <si>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</si>
  <si>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</si>
  <si>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</si>
  <si>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</si>
  <si>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</si>
  <si>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</si>
  <si>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</si>
  <si>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</si>
  <si>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</si>
  <si>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</si>
  <si>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</si>
  <si>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</si>
  <si>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</si>
  <si>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</si>
  <si>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</si>
  <si>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</si>
  <si>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</si>
  <si>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</si>
  <si>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</si>
  <si>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</si>
  <si>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</si>
  <si>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</si>
  <si>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</si>
  <si>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</si>
  <si>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</si>
  <si>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</si>
  <si>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</si>
  <si>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</si>
  <si>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</si>
  <si>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</si>
  <si>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</si>
  <si>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</si>
  <si>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</si>
  <si>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</si>
  <si>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</si>
  <si>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</si>
  <si>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</si>
  <si>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</si>
  <si>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</si>
  <si>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</si>
  <si>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</si>
  <si>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</si>
  <si>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</si>
  <si>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</si>
  <si>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</si>
  <si>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</si>
  <si>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</si>
  <si>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</si>
  <si>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</si>
  <si>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</si>
  <si>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</si>
  <si>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</si>
  <si>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</si>
  <si>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</si>
  <si>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</si>
  <si>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</si>
  <si>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</si>
  <si>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</si>
  <si>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</si>
  <si>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</si>
  <si>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</si>
  <si>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</si>
  <si>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</si>
  <si>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</si>
  <si>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</si>
  <si>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</si>
  <si>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</si>
  <si>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</si>
  <si>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</si>
  <si>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</si>
  <si>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</si>
  <si>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</si>
  <si>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</si>
  <si>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</si>
  <si>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</si>
  <si>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</si>
  <si>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</si>
  <si>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</si>
  <si>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</si>
  <si>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</si>
  <si>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</si>
  <si>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</si>
  <si>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</si>
  <si>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</si>
  <si>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</si>
  <si>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</si>
  <si>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</si>
  <si>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</si>
  <si>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</si>
  <si>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</si>
  <si>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</si>
  <si>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</si>
  <si>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</si>
  <si>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</si>
  <si>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</si>
  <si>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</si>
  <si>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</si>
  <si>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</si>
  <si>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</si>
  <si>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</si>
  <si>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</si>
  <si>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</si>
  <si>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</si>
  <si>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</si>
  <si>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</si>
  <si>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</si>
  <si>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</si>
  <si>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</si>
  <si>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</si>
  <si>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</si>
  <si>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</si>
  <si>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</si>
  <si>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</si>
  <si>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</si>
  <si>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</si>
  <si>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</si>
  <si>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</si>
  <si>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</si>
  <si>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</si>
  <si>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</si>
  <si>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</si>
  <si>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</si>
  <si>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</si>
  <si>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</si>
  <si>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</si>
  <si>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</si>
  <si>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</si>
  <si>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</si>
  <si>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</si>
  <si>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</si>
  <si>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</si>
  <si>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</si>
  <si>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</si>
  <si>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</si>
  <si>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</si>
  <si>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</si>
  <si>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</si>
  <si>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</si>
  <si>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</si>
  <si>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</si>
  <si>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</si>
  <si>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</si>
  <si>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</si>
  <si>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</si>
  <si>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</si>
  <si>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</si>
  <si>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</si>
  <si>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</si>
  <si>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</si>
  <si>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</si>
  <si>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</si>
  <si>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</si>
  <si>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</si>
  <si>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</si>
  <si>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</si>
  <si>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</si>
  <si>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</si>
  <si>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</si>
  <si>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</si>
  <si>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</si>
  <si>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</si>
  <si>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</si>
  <si>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</si>
  <si>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</si>
  <si>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</si>
  <si>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</si>
  <si>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</si>
  <si>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</si>
  <si>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</si>
  <si>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</si>
  <si>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</si>
  <si>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</si>
  <si>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</si>
  <si>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</si>
  <si>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</si>
  <si>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</si>
  <si>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</si>
  <si>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</si>
  <si>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</si>
  <si>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</si>
  <si>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</si>
  <si>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</si>
  <si>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</si>
  <si>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</si>
  <si>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</si>
  <si>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</si>
  <si>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</si>
  <si>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</si>
  <si>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</si>
  <si>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</si>
  <si>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</si>
  <si>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</si>
  <si>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</si>
  <si>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</si>
  <si>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</si>
  <si>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</si>
  <si>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</si>
  <si>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</si>
  <si>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</si>
  <si>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</si>
  <si>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</si>
  <si>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</si>
  <si>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</si>
  <si>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</si>
  <si>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</si>
  <si>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</si>
  <si>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</si>
  <si>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</si>
  <si>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</si>
  <si>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</si>
  <si>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</si>
  <si>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</si>
  <si>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</si>
  <si>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</si>
  <si>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</si>
  <si>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</si>
  <si>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</si>
  <si>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</si>
  <si>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</si>
  <si>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</si>
  <si>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</si>
  <si>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</si>
  <si>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</si>
  <si>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</si>
  <si>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</si>
  <si>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</si>
  <si>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</si>
  <si>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</si>
  <si>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</si>
  <si>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</si>
  <si>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</si>
  <si>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</si>
  <si>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</si>
  <si>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</si>
  <si>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</si>
  <si>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</si>
  <si>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</si>
  <si>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</si>
  <si>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</si>
  <si>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</si>
  <si>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</si>
  <si>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</si>
  <si>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</si>
  <si>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</si>
  <si>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</si>
  <si>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</si>
  <si>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</si>
  <si>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</si>
  <si>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</si>
  <si>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</si>
  <si>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</si>
  <si>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</si>
  <si>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</si>
  <si>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</si>
  <si>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</si>
  <si>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</si>
  <si>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</si>
  <si>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</si>
  <si>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</si>
  <si>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</si>
  <si>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</si>
  <si>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</si>
  <si>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</si>
  <si>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</si>
  <si>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</si>
  <si>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</si>
  <si>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</si>
  <si>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</si>
  <si>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</si>
  <si>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</si>
  <si>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</si>
  <si>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</si>
  <si>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</si>
  <si>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</si>
  <si>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</si>
  <si>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</si>
  <si>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</si>
  <si>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</si>
  <si>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</si>
  <si>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</si>
  <si>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</si>
  <si>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</si>
  <si>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</si>
  <si>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</si>
  <si>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</si>
  <si>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</si>
  <si>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</si>
  <si>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</si>
  <si>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</si>
  <si>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</si>
  <si>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</si>
  <si>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</si>
  <si>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</si>
  <si>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</si>
  <si>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</si>
  <si>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</si>
  <si>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</si>
  <si>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</si>
  <si>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</si>
  <si>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</si>
  <si>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</si>
  <si>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</si>
  <si>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</si>
  <si>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</si>
  <si>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</si>
  <si>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</si>
  <si>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</si>
  <si>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</si>
  <si>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</si>
  <si>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</si>
  <si>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</si>
  <si>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</si>
  <si>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</si>
  <si>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</si>
  <si>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</si>
  <si>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</si>
  <si>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</si>
  <si>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</si>
  <si>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</si>
  <si>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</si>
  <si>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</si>
  <si>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</si>
  <si>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</si>
  <si>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</si>
  <si>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</si>
  <si>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</si>
  <si>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</si>
  <si>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</si>
  <si>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</si>
  <si>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</si>
  <si>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</si>
  <si>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</si>
  <si>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</si>
  <si>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</si>
  <si>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</si>
  <si>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</si>
  <si>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</si>
  <si>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</si>
  <si>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</si>
  <si>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</si>
  <si>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</si>
  <si>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</si>
  <si>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</si>
  <si>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</si>
  <si>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</si>
  <si>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</si>
  <si>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</si>
  <si>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</si>
  <si>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</si>
  <si>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</si>
  <si>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</si>
  <si>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</si>
  <si>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</si>
  <si>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</si>
  <si>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</si>
  <si>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</si>
  <si>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</si>
  <si>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</si>
  <si>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</si>
  <si>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</si>
  <si>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</si>
  <si>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</si>
  <si>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</si>
  <si>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</si>
  <si>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</si>
  <si>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</si>
  <si>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</si>
  <si>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</si>
  <si>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</si>
  <si>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</si>
  <si>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</si>
  <si>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</si>
  <si>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</si>
  <si>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</si>
  <si>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</si>
  <si>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</si>
  <si>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</si>
  <si>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</si>
  <si>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</si>
  <si>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</si>
  <si>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</si>
  <si>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</si>
  <si>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</si>
  <si>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</si>
  <si>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</si>
  <si>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</si>
  <si>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</si>
  <si>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</si>
  <si>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</si>
  <si>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</si>
  <si>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</si>
  <si>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</si>
  <si>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</si>
  <si>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</si>
  <si>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</si>
  <si>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</si>
  <si>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</si>
  <si>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</si>
  <si>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</si>
  <si>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</si>
  <si>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</si>
  <si>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</si>
  <si>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</si>
  <si>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</si>
  <si>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</si>
  <si>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</si>
  <si>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</si>
  <si>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</si>
  <si>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</si>
  <si>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</si>
  <si>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</si>
  <si>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</si>
  <si>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</si>
  <si>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</si>
  <si>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</si>
  <si>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</si>
  <si>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</si>
  <si>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</si>
  <si>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</si>
  <si>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</si>
  <si>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</si>
  <si>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</si>
  <si>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</si>
  <si>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</si>
  <si>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</si>
  <si>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</si>
  <si>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</si>
  <si>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</si>
  <si>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</si>
  <si>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</si>
  <si>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</si>
  <si>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</si>
  <si>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</si>
  <si>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</si>
  <si>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</si>
  <si>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</si>
  <si>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</si>
  <si>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</si>
  <si>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</si>
  <si>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</si>
  <si>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</si>
  <si>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</si>
  <si>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</si>
  <si>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</si>
  <si>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</si>
  <si>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</si>
  <si>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</si>
  <si>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</si>
  <si>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</si>
  <si>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</si>
  <si>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</si>
  <si>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</si>
  <si>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</si>
  <si>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</si>
  <si>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</si>
  <si>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</si>
  <si>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</si>
  <si>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</si>
  <si>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</si>
  <si>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</si>
  <si>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</si>
  <si>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</si>
  <si>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</si>
  <si>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</si>
  <si>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</si>
  <si>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</si>
  <si>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</si>
  <si>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</si>
  <si>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</si>
  <si>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</si>
  <si>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</si>
  <si>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</si>
  <si>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</si>
  <si>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</si>
  <si>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</si>
  <si>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</si>
  <si>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</si>
  <si>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</si>
  <si>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</si>
  <si>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</si>
  <si>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</si>
  <si>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</si>
  <si>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</si>
  <si>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</si>
  <si>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</si>
  <si>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</si>
  <si>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</si>
  <si>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</si>
  <si>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</si>
  <si>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</si>
  <si>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</si>
  <si>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</si>
  <si>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</si>
  <si>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</si>
  <si>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</si>
  <si>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</si>
  <si>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</si>
  <si>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</si>
  <si>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</si>
  <si>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</si>
  <si>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</si>
  <si>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</si>
  <si>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</si>
  <si>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</si>
  <si>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</si>
  <si>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</si>
  <si>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</si>
  <si>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</si>
  <si>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</si>
  <si>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</si>
  <si>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</si>
  <si>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</si>
  <si>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</si>
  <si>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</si>
  <si>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</si>
  <si>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</si>
  <si>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</si>
  <si>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</si>
  <si>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</si>
  <si>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</si>
  <si>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</si>
  <si>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</si>
  <si>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</si>
  <si>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</si>
  <si>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</si>
  <si>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</si>
  <si>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</si>
  <si>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</si>
  <si>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</si>
  <si>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</si>
  <si>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</si>
  <si>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</si>
  <si>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</si>
  <si>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</si>
  <si>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</si>
  <si>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</si>
  <si>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</si>
  <si>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</si>
  <si>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</si>
  <si>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</si>
  <si>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</si>
  <si>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</si>
  <si>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</si>
  <si>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</si>
  <si>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</si>
  <si>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</si>
  <si>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</si>
  <si>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</si>
  <si>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</si>
  <si>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</si>
  <si>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</si>
  <si>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</si>
  <si>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</si>
  <si>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</si>
  <si>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</si>
  <si>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</si>
  <si>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</si>
  <si>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</si>
  <si>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</si>
  <si>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</si>
  <si>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</si>
  <si>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</si>
  <si>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</si>
  <si>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</si>
  <si>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</si>
  <si>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</si>
  <si>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</si>
  <si>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</si>
  <si>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</si>
  <si>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</si>
  <si>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</si>
  <si>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</si>
  <si>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</si>
  <si>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</si>
  <si>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</si>
  <si>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</si>
  <si>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</si>
  <si>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</si>
  <si>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</si>
  <si>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</si>
  <si>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</si>
  <si>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</si>
  <si>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</si>
  <si>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</si>
  <si>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</si>
  <si>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</si>
  <si>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</si>
  <si>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</si>
  <si>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</si>
  <si>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</si>
  <si>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</si>
  <si>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</si>
  <si>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</si>
  <si>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</si>
  <si>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</si>
  <si>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</si>
  <si>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</si>
  <si>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</si>
  <si>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</si>
  <si>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</si>
  <si>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</si>
  <si>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</si>
  <si>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</si>
  <si>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</si>
  <si>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</si>
  <si>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</si>
  <si>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</si>
  <si>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</si>
  <si>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</si>
  <si>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</si>
  <si>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</si>
  <si>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</si>
  <si>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</si>
  <si>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</si>
  <si>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</si>
  <si>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</si>
  <si>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</si>
  <si>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</si>
  <si>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</si>
  <si>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</si>
  <si>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</si>
  <si>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</si>
  <si>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</si>
  <si>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</si>
  <si>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</si>
  <si>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</si>
  <si>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</si>
  <si>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</si>
  <si>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</si>
  <si>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</si>
  <si>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</si>
  <si>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</si>
  <si>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</si>
  <si>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</si>
  <si>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</si>
  <si>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</si>
  <si>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</si>
  <si>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</si>
  <si>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</si>
  <si>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</si>
  <si>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</si>
  <si>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</si>
  <si>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</si>
  <si>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</si>
  <si>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</si>
  <si>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</si>
  <si>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</si>
  <si>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</si>
  <si>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</si>
  <si>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</si>
  <si>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</si>
  <si>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</si>
  <si>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</si>
  <si>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</si>
  <si>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</si>
  <si>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</si>
  <si>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</si>
  <si>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</si>
  <si>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</si>
  <si>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</si>
  <si>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</si>
  <si>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</si>
  <si>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</si>
  <si>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</si>
  <si>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</si>
  <si>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</si>
  <si>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</si>
  <si>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</si>
  <si>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</si>
  <si>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</si>
  <si>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</si>
  <si>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</si>
  <si>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</si>
  <si>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</si>
  <si>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</si>
  <si>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</si>
  <si>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</si>
  <si>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</si>
  <si>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</si>
  <si>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</si>
  <si>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</si>
  <si>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</si>
  <si>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</si>
  <si>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</si>
  <si>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</si>
  <si>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</si>
  <si>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</si>
  <si>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</si>
  <si>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</si>
  <si>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</si>
  <si>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</si>
  <si>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</si>
  <si>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</si>
  <si>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</si>
  <si>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</si>
  <si>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</si>
  <si>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</si>
  <si>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</si>
  <si>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</si>
  <si>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</si>
  <si>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</si>
  <si>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</si>
  <si>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</si>
  <si>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</si>
  <si>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</si>
  <si>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</si>
  <si>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</si>
  <si>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</si>
  <si>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</si>
  <si>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</si>
  <si>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</si>
  <si>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</si>
  <si>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</si>
  <si>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</si>
  <si>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</si>
  <si>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</si>
  <si>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</si>
  <si>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</si>
  <si>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</si>
  <si>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</si>
  <si>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</si>
  <si>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</si>
  <si>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</si>
  <si>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</si>
  <si>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</si>
  <si>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</si>
  <si>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</si>
  <si>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</si>
  <si>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</si>
  <si>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</si>
  <si>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</si>
  <si>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</si>
  <si>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</si>
  <si>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</si>
  <si>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</si>
  <si>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</si>
  <si>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</si>
  <si>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</si>
  <si>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</si>
  <si>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</si>
  <si>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</si>
  <si>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</si>
  <si>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</si>
  <si>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</si>
  <si>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</si>
  <si>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</si>
  <si>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</si>
  <si>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</si>
  <si>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</si>
  <si>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</si>
  <si>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</si>
  <si>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</si>
  <si>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</si>
  <si>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</si>
  <si>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</si>
  <si>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</si>
  <si>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</si>
  <si>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</si>
  <si>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</si>
  <si>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</si>
  <si>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</si>
  <si>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</si>
  <si>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</si>
  <si>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</si>
  <si>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</si>
  <si>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</si>
  <si>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</si>
  <si>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</si>
  <si>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</si>
  <si>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</si>
  <si>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</si>
  <si>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</si>
  <si>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</si>
  <si>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</si>
  <si>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</si>
  <si>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</si>
  <si>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</si>
  <si>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</si>
  <si>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</si>
  <si>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</si>
  <si>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</si>
  <si>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</si>
  <si>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</si>
  <si>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</si>
  <si>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</si>
  <si>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</si>
  <si>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</si>
  <si>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</si>
  <si>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</si>
  <si>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</si>
  <si>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</si>
  <si>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</si>
  <si>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</si>
  <si>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</si>
  <si>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</si>
  <si>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</si>
  <si>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</si>
  <si>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</si>
  <si>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</si>
  <si>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</si>
  <si>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</si>
  <si>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</si>
  <si>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</si>
  <si>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</si>
  <si>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</si>
  <si>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</si>
  <si>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</si>
  <si>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</si>
  <si>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</si>
  <si>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</si>
  <si>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</si>
  <si>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</si>
  <si>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</si>
  <si>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</si>
  <si>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</si>
  <si>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</si>
  <si>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</si>
  <si>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</si>
  <si>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</si>
  <si>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</si>
  <si>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</si>
  <si>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</si>
  <si>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</si>
  <si>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</si>
  <si>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</si>
  <si>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</si>
  <si>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</si>
  <si>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</si>
  <si>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</si>
  <si>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</si>
  <si>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</si>
  <si>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</si>
  <si>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</si>
  <si>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</si>
  <si>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</si>
  <si>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</si>
  <si>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</si>
  <si>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</si>
  <si>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</si>
  <si>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</si>
  <si>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</si>
  <si>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</si>
  <si>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</si>
  <si>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</si>
  <si>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</si>
  <si>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</si>
  <si>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</si>
  <si>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</si>
  <si>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</si>
  <si>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</si>
  <si>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</si>
  <si>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</si>
  <si>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</si>
  <si>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</si>
  <si>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</si>
  <si>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</si>
  <si>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</si>
  <si>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</si>
  <si>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</si>
  <si>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</si>
  <si>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</si>
  <si>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</si>
  <si>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</si>
  <si>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</si>
  <si>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</si>
  <si>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</si>
  <si>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</si>
  <si>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</si>
  <si>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</si>
  <si>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</si>
  <si>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</si>
  <si>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</si>
  <si>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</si>
  <si>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</si>
  <si>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</si>
  <si>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</si>
  <si>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</si>
  <si>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</si>
  <si>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</si>
  <si>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</si>
  <si>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</si>
  <si>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</si>
  <si>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</si>
  <si>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</si>
  <si>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</si>
  <si>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</si>
  <si>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</si>
  <si>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</si>
  <si>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</si>
  <si>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</si>
  <si>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</si>
  <si>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</si>
  <si>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</si>
  <si>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</si>
  <si>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</si>
  <si>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</si>
  <si>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</si>
  <si>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</si>
  <si>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</si>
  <si>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</si>
  <si>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</si>
  <si>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</si>
  <si>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</si>
  <si>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</si>
  <si>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</si>
  <si>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</si>
  <si>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</si>
  <si>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</si>
  <si>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</si>
  <si>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</si>
  <si>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</si>
  <si>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</si>
  <si>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</si>
  <si>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</si>
  <si>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</si>
  <si>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</si>
  <si>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</si>
  <si>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</si>
  <si>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</si>
  <si>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</si>
  <si>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</si>
  <si>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</si>
  <si>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</si>
  <si>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</si>
  <si>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</si>
  <si>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</si>
  <si>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</si>
  <si>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</si>
  <si>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</si>
  <si>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</si>
  <si>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</si>
  <si>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</si>
  <si>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</si>
  <si>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</si>
  <si>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</si>
  <si>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</si>
  <si>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</si>
  <si>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</si>
  <si>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</si>
  <si>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</si>
  <si>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</si>
  <si>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r>
      <rPr>
        <sz val="10"/>
        <color theme="9" tint="-0.249977111117893"/>
        <rFont val="宋体"/>
        <family val="3"/>
        <charset val="134"/>
      </rPr>
      <t>昌平区沙河镇展思门路</t>
    </r>
    <r>
      <rPr>
        <sz val="10"/>
        <color theme="9" tint="-0.249977111117893"/>
        <rFont val="Arial"/>
        <family val="2"/>
      </rPr>
      <t>29</t>
    </r>
    <r>
      <rPr>
        <sz val="10"/>
        <color theme="9" tint="-0.249977111117893"/>
        <rFont val="宋体"/>
        <family val="3"/>
        <charset val="134"/>
      </rPr>
      <t>号</t>
    </r>
    <phoneticPr fontId="6" type="noConversion"/>
  </si>
  <si>
    <t>是</t>
  </si>
  <si>
    <t>地上</t>
  </si>
  <si>
    <t>租金</t>
  </si>
  <si>
    <t>展思门路29号</t>
    <phoneticPr fontId="3" type="noConversion"/>
  </si>
  <si>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</si>
  <si>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</si>
  <si>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</si>
  <si>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</si>
  <si>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</si>
  <si>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</si>
  <si>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</si>
  <si>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</si>
  <si>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</si>
  <si>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</si>
  <si>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</si>
  <si>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</si>
  <si>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</si>
  <si>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</si>
  <si>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混合</t>
    <phoneticPr fontId="3" type="noConversion"/>
  </si>
  <si>
    <t>专业</t>
  </si>
  <si>
    <t>专业</t>
    <phoneticPr fontId="31" type="noConversion"/>
  </si>
  <si>
    <t>自管</t>
  </si>
  <si>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</si>
  <si>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</si>
  <si>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</si>
  <si>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</si>
  <si>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</si>
  <si>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</si>
  <si>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</si>
  <si>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</si>
  <si>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</si>
  <si>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</si>
  <si>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</si>
  <si>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</si>
  <si>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</si>
  <si>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</si>
  <si>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</si>
  <si>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</si>
  <si>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新元科技园</t>
    <phoneticPr fontId="3" type="noConversion"/>
  </si>
  <si>
    <t>较好</t>
  </si>
  <si>
    <t>展思门路</t>
    <phoneticPr fontId="31" type="noConversion"/>
  </si>
  <si>
    <t>支路</t>
  </si>
  <si>
    <t>主干道</t>
  </si>
  <si>
    <t>马满路</t>
    <phoneticPr fontId="31" type="noConversion"/>
  </si>
  <si>
    <t>混合</t>
  </si>
  <si>
    <t>普装</t>
  </si>
  <si>
    <t>简装</t>
  </si>
  <si>
    <t>无等级</t>
    <phoneticPr fontId="31" type="noConversion"/>
  </si>
  <si>
    <t>新元科技园建成年代</t>
    <phoneticPr fontId="31" type="noConversion"/>
  </si>
  <si>
    <t>直线</t>
    <phoneticPr fontId="31" type="noConversion"/>
  </si>
  <si>
    <t>现状利用</t>
    <phoneticPr fontId="31" type="noConversion"/>
  </si>
  <si>
    <t>办公、库房</t>
    <phoneticPr fontId="31" type="noConversion"/>
  </si>
  <si>
    <t>否</t>
    <phoneticPr fontId="31" type="noConversion"/>
  </si>
  <si>
    <t>是否为独立院落</t>
    <phoneticPr fontId="31" type="noConversion"/>
  </si>
  <si>
    <t>单层建筑</t>
  </si>
  <si>
    <t>多层建筑</t>
  </si>
  <si>
    <t>普通</t>
  </si>
  <si>
    <t>普通</t>
    <phoneticPr fontId="31" type="noConversion"/>
  </si>
  <si>
    <t>自管</t>
    <phoneticPr fontId="31" type="noConversion"/>
  </si>
  <si>
    <t>高层建筑</t>
  </si>
  <si>
    <t>高层建筑</t>
    <phoneticPr fontId="31" type="noConversion"/>
  </si>
  <si>
    <t>钢混</t>
  </si>
  <si>
    <t>是，院落小</t>
    <phoneticPr fontId="31" type="noConversion"/>
  </si>
  <si>
    <t>是，院落大</t>
    <phoneticPr fontId="31" type="noConversion"/>
  </si>
  <si>
    <t>是，院落大</t>
    <phoneticPr fontId="31" type="noConversion"/>
  </si>
  <si>
    <t>成新度</t>
  </si>
  <si>
    <t>押一</t>
  </si>
  <si>
    <t>砖混</t>
  </si>
  <si>
    <t>非生产用房</t>
  </si>
  <si>
    <t>否</t>
  </si>
  <si>
    <t>郑燚</t>
  </si>
  <si>
    <t>崔锴</t>
  </si>
  <si>
    <r>
      <rPr>
        <sz val="10"/>
        <color indexed="8"/>
        <rFont val="宋体"/>
        <family val="3"/>
        <charset val="134"/>
      </rPr>
      <t>Ⅶ</t>
    </r>
    <r>
      <rPr>
        <sz val="10"/>
        <color indexed="8"/>
        <rFont val="Arial"/>
        <family val="2"/>
      </rPr>
      <t>-</t>
    </r>
    <r>
      <rPr>
        <sz val="10"/>
        <color indexed="8"/>
        <rFont val="宋体"/>
        <family val="3"/>
        <charset val="134"/>
      </rPr>
      <t>昌</t>
    </r>
    <r>
      <rPr>
        <sz val="10"/>
        <color indexed="8"/>
        <rFont val="Arial"/>
        <family val="2"/>
      </rPr>
      <t>2</t>
    </r>
    <phoneticPr fontId="6" type="noConversion"/>
  </si>
  <si>
    <t>年租金</t>
    <phoneticPr fontId="31" type="noConversion"/>
  </si>
  <si>
    <t>租金区间</t>
    <phoneticPr fontId="31" type="noConversion"/>
  </si>
  <si>
    <t>周边商业氛围较成熟，有华冠天地、房山商业大楼等项目，人流量较大，商业繁华度较好</t>
    <phoneticPr fontId="3" type="noConversion"/>
  </si>
  <si>
    <t>商场（华冠天地、房山商业大楼）、医院（房山区中医院、房山区第一医院）、学校（房山中学）、餐饮等，公共配套设施较好。</t>
    <phoneticPr fontId="40" type="noConversion"/>
  </si>
  <si>
    <t>区域自然环境：朝曦公园、迎宾公园；人文环境：无；综合评价环境状况一般</t>
    <phoneticPr fontId="40" type="noConversion"/>
  </si>
  <si>
    <t>次干道-房山北大街</t>
    <phoneticPr fontId="24" type="noConversion"/>
  </si>
  <si>
    <t>土地证</t>
    <phoneticPr fontId="134" type="noConversion"/>
  </si>
  <si>
    <t>用途：</t>
    <phoneticPr fontId="134" type="noConversion"/>
  </si>
  <si>
    <t>商业</t>
    <phoneticPr fontId="134" type="noConversion"/>
  </si>
  <si>
    <t>容积率：</t>
    <phoneticPr fontId="134" type="noConversion"/>
  </si>
  <si>
    <t>终止日期：</t>
    <phoneticPr fontId="134" type="noConversion"/>
  </si>
  <si>
    <t>使用权面积：</t>
    <phoneticPr fontId="134" type="noConversion"/>
  </si>
  <si>
    <t>部位及房号</t>
  </si>
  <si>
    <t>总层数</t>
    <phoneticPr fontId="134" type="noConversion"/>
  </si>
  <si>
    <t>结构</t>
  </si>
  <si>
    <t>建成年份</t>
  </si>
  <si>
    <t>建筑面积</t>
  </si>
  <si>
    <t>现状用途</t>
    <phoneticPr fontId="134" type="noConversion"/>
  </si>
  <si>
    <t>建安</t>
    <phoneticPr fontId="134" type="noConversion"/>
  </si>
  <si>
    <t>成新度</t>
    <phoneticPr fontId="134" type="noConversion"/>
  </si>
  <si>
    <t>分摊土地面积</t>
    <phoneticPr fontId="134" type="noConversion"/>
  </si>
  <si>
    <t>其它</t>
    <phoneticPr fontId="134" type="noConversion"/>
  </si>
  <si>
    <t>门卫</t>
    <phoneticPr fontId="134" type="noConversion"/>
  </si>
  <si>
    <t>1</t>
    <phoneticPr fontId="134" type="noConversion"/>
  </si>
  <si>
    <t>砖木</t>
    <phoneticPr fontId="134" type="noConversion"/>
  </si>
  <si>
    <t>配电室</t>
    <phoneticPr fontId="134" type="noConversion"/>
  </si>
  <si>
    <t>混合</t>
    <phoneticPr fontId="134" type="noConversion"/>
  </si>
  <si>
    <t>库房</t>
    <phoneticPr fontId="134" type="noConversion"/>
  </si>
  <si>
    <t>危房D级</t>
    <phoneticPr fontId="134" type="noConversion"/>
  </si>
  <si>
    <t>有房屋鉴定报告</t>
    <phoneticPr fontId="134" type="noConversion"/>
  </si>
  <si>
    <t>危房C级</t>
    <phoneticPr fontId="134" type="noConversion"/>
  </si>
  <si>
    <t>已改造与图片不一致</t>
    <phoneticPr fontId="134" type="noConversion"/>
  </si>
  <si>
    <t>危房</t>
    <phoneticPr fontId="134" type="noConversion"/>
  </si>
  <si>
    <t>无报告</t>
    <phoneticPr fontId="134" type="noConversion"/>
  </si>
  <si>
    <t>钢</t>
    <phoneticPr fontId="134" type="noConversion"/>
  </si>
  <si>
    <t>已改造为车库</t>
    <phoneticPr fontId="134" type="noConversion"/>
  </si>
  <si>
    <t>1层网点；2-4层是办公</t>
    <phoneticPr fontId="134" type="noConversion"/>
  </si>
  <si>
    <t>仓储</t>
    <phoneticPr fontId="31" type="noConversion"/>
  </si>
  <si>
    <t>房山城关</t>
    <phoneticPr fontId="3" type="noConversion"/>
  </si>
  <si>
    <t>好</t>
  </si>
  <si>
    <t>商场（华冠天地、房山商业大楼）、医院（房山区中医院、房山区第一医院）、学校（房山中学）、餐饮等，公共配套设施较好。</t>
  </si>
  <si>
    <t>区域自然环境：朝曦公园、迎宾公园；人文环境：无；综合评价环境状况一般</t>
  </si>
  <si>
    <t>建筑类型</t>
  </si>
  <si>
    <t>是</t>
    <phoneticPr fontId="31" type="noConversion"/>
  </si>
  <si>
    <t>否</t>
    <phoneticPr fontId="31" type="noConversion"/>
  </si>
  <si>
    <t>仓储</t>
    <phoneticPr fontId="7" type="noConversion"/>
  </si>
  <si>
    <t>单层建筑</t>
    <phoneticPr fontId="31" type="noConversion"/>
  </si>
  <si>
    <t>精装修</t>
  </si>
  <si>
    <t>原始残留装修</t>
  </si>
  <si>
    <t>无</t>
  </si>
  <si>
    <t>无</t>
    <phoneticPr fontId="31" type="noConversion"/>
  </si>
  <si>
    <t>专业</t>
    <phoneticPr fontId="31" type="noConversion"/>
  </si>
  <si>
    <t>现状利用</t>
  </si>
  <si>
    <t>内部装修维护情况</t>
  </si>
  <si>
    <t>是否为独立院落</t>
  </si>
  <si>
    <t>办公、库房</t>
  </si>
  <si>
    <t>库房</t>
    <phoneticPr fontId="31" type="noConversion"/>
  </si>
  <si>
    <t>较差</t>
  </si>
  <si>
    <t>差</t>
  </si>
  <si>
    <t>是，院落大</t>
  </si>
  <si>
    <t>是，院落小</t>
  </si>
  <si>
    <t>差</t>
    <phoneticPr fontId="31" type="noConversion"/>
  </si>
  <si>
    <t>一般</t>
    <phoneticPr fontId="31" type="noConversion"/>
  </si>
  <si>
    <t>较差</t>
    <phoneticPr fontId="31" type="noConversion"/>
  </si>
  <si>
    <t>自管</t>
    <phoneticPr fontId="31" type="noConversion"/>
  </si>
  <si>
    <t>房山周口店</t>
    <phoneticPr fontId="3" type="noConversion"/>
  </si>
  <si>
    <t>区域自然环境：牛口峪公园；人文环境：周口店遗址博物馆；综合评价环境状况一般</t>
    <phoneticPr fontId="31" type="noConversion"/>
  </si>
  <si>
    <t>房山顾册</t>
    <phoneticPr fontId="3" type="noConversion"/>
  </si>
  <si>
    <t>周边道路状况一般，有636、917、839等多条线路，公共交通通达情况一般、停车便捷程度较好，综合评价交通便捷度一般</t>
    <phoneticPr fontId="31" type="noConversion"/>
  </si>
  <si>
    <r>
      <rPr>
        <sz val="11"/>
        <rFont val="宋体"/>
        <family val="3"/>
        <charset val="134"/>
      </rPr>
      <t>周边道路状况一般，有</t>
    </r>
    <r>
      <rPr>
        <sz val="11"/>
        <rFont val="Arial"/>
        <family val="2"/>
      </rPr>
      <t>F32</t>
    </r>
    <r>
      <rPr>
        <sz val="11"/>
        <rFont val="宋体"/>
        <family val="3"/>
        <charset val="134"/>
      </rPr>
      <t>、</t>
    </r>
    <r>
      <rPr>
        <sz val="11"/>
        <rFont val="Arial"/>
        <family val="2"/>
      </rPr>
      <t>80F</t>
    </r>
    <r>
      <rPr>
        <sz val="11"/>
        <rFont val="宋体"/>
        <family val="3"/>
        <charset val="134"/>
      </rPr>
      <t>、</t>
    </r>
    <r>
      <rPr>
        <sz val="11"/>
        <rFont val="Arial"/>
        <family val="2"/>
      </rPr>
      <t>F63</t>
    </r>
    <r>
      <rPr>
        <sz val="11"/>
        <rFont val="宋体"/>
        <family val="3"/>
        <charset val="134"/>
      </rPr>
      <t>等线路，公共交通通达情况较差、停车便捷程度较好，综合评价交通便捷度较差</t>
    </r>
    <phoneticPr fontId="31" type="noConversion"/>
  </si>
  <si>
    <t>估价对象周边道路状况一般，有836、901、917等多条线路及燕房线经过，公共交通通达情况较好、停车便捷程度较好，综合评价交通便捷度较好</t>
    <phoneticPr fontId="3" type="noConversion"/>
  </si>
  <si>
    <r>
      <rPr>
        <sz val="11"/>
        <rFont val="宋体"/>
        <family val="3"/>
        <charset val="134"/>
      </rPr>
      <t>周边道路状况一般，有</t>
    </r>
    <r>
      <rPr>
        <sz val="11"/>
        <rFont val="Arial"/>
        <family val="3"/>
        <charset val="134"/>
      </rPr>
      <t>836</t>
    </r>
    <r>
      <rPr>
        <sz val="11"/>
        <rFont val="宋体"/>
        <family val="3"/>
        <charset val="134"/>
      </rPr>
      <t>、</t>
    </r>
    <r>
      <rPr>
        <sz val="11"/>
        <rFont val="Arial"/>
        <family val="3"/>
        <charset val="134"/>
      </rPr>
      <t>901</t>
    </r>
    <r>
      <rPr>
        <sz val="11"/>
        <rFont val="宋体"/>
        <family val="3"/>
        <charset val="134"/>
      </rPr>
      <t>、</t>
    </r>
    <r>
      <rPr>
        <sz val="11"/>
        <rFont val="Arial"/>
        <family val="3"/>
        <charset val="134"/>
      </rPr>
      <t>839</t>
    </r>
    <r>
      <rPr>
        <sz val="11"/>
        <rFont val="宋体"/>
        <family val="3"/>
        <charset val="134"/>
      </rPr>
      <t>等多条线路及燕房线经过，公共交通通达情况较好、停车便捷程度较好，综合评价交通便捷度较好</t>
    </r>
    <phoneticPr fontId="31" type="noConversion"/>
  </si>
  <si>
    <t>住宅配套商业、、学校（周口店中心小学）、餐饮等，公共配套设施较差</t>
    <phoneticPr fontId="31" type="noConversion"/>
  </si>
  <si>
    <t>区域自然环境：牛口峪公园；人文环境：无；综合评价环境状况较差</t>
    <phoneticPr fontId="31" type="noConversion"/>
  </si>
  <si>
    <t>单套模式</t>
  </si>
  <si>
    <t>住宅配套商业、、学校（顾册小学）、餐饮等，公共配套设施一般。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</si>
</sst>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name val="Arial"/>
      <family val="3"/>
      <charset val="134"/>
    </font>
    <font>
      <sz val="10"/>
      <color indexed="8"/>
      <name val="Arial"/>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xf numFmtId="0" fontId="51" fillId="22" borderId="7" xfId="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58" fillId="18" borderId="11" xfId="0" applyFont="1" applyFill="1" applyBorder="1" applyAlignment="1" applyProtection="1">
      <alignment horizontal="center" vertical="center" wrapText="1"/>
      <protection locked="0"/>
    </xf>
    <xf numFmtId="9" fontId="44" fillId="18" borderId="37" xfId="0" applyNumberFormat="1" applyFont="1" applyFill="1" applyBorder="1" applyAlignment="1" applyProtection="1">
      <alignment horizontal="center" vertical="center" wrapText="1"/>
      <protection locked="0"/>
    </xf>
    <xf numFmtId="179" fontId="44" fillId="0" borderId="0" xfId="0" applyNumberFormat="1" applyFont="1" applyProtection="1">
      <alignment vertical="center"/>
      <protection locked="0"/>
    </xf>
    <xf numFmtId="0" fontId="272" fillId="5" borderId="78" xfId="0" applyFont="1" applyFill="1" applyBorder="1" applyAlignment="1" applyProtection="1">
      <alignment horizontal="center" vertical="center" wrapText="1"/>
      <protection locked="0"/>
    </xf>
    <xf numFmtId="1" fontId="51" fillId="12" borderId="0" xfId="0" applyNumberFormat="1" applyFont="1" applyFill="1" applyAlignment="1" applyProtection="1">
      <alignment horizontal="center" vertical="center"/>
      <protection locked="0"/>
    </xf>
    <xf numFmtId="179" fontId="51" fillId="12" borderId="0" xfId="0" applyNumberFormat="1" applyFont="1" applyFill="1" applyAlignment="1" applyProtection="1">
      <alignment horizontal="center" vertical="center"/>
      <protection locked="0"/>
    </xf>
    <xf numFmtId="0" fontId="273" fillId="0" borderId="0" xfId="10" applyFont="1" applyAlignment="1">
      <alignment horizontal="left" vertical="center"/>
    </xf>
    <xf numFmtId="0" fontId="95" fillId="0" borderId="0" xfId="10">
      <alignment vertical="center"/>
    </xf>
    <xf numFmtId="2" fontId="273" fillId="0" borderId="1" xfId="10" applyNumberFormat="1" applyFont="1" applyBorder="1" applyAlignment="1">
      <alignment horizontal="left" vertical="center"/>
    </xf>
    <xf numFmtId="14" fontId="273" fillId="0" borderId="0" xfId="10" applyNumberFormat="1" applyFont="1" applyAlignment="1">
      <alignment horizontal="left" vertical="center"/>
    </xf>
    <xf numFmtId="0" fontId="273" fillId="0" borderId="1" xfId="10" applyFont="1" applyBorder="1" applyAlignment="1">
      <alignment horizontal="left" vertical="center"/>
    </xf>
    <xf numFmtId="0" fontId="95" fillId="0" borderId="1" xfId="10" applyBorder="1">
      <alignment vertical="center"/>
    </xf>
    <xf numFmtId="10" fontId="273" fillId="0" borderId="1" xfId="19" applyNumberFormat="1" applyFont="1" applyBorder="1" applyAlignment="1">
      <alignment horizontal="left" vertical="center"/>
    </xf>
    <xf numFmtId="49" fontId="273" fillId="0" borderId="1" xfId="10" applyNumberFormat="1" applyFont="1" applyBorder="1" applyAlignment="1">
      <alignment horizontal="left" vertical="center"/>
    </xf>
    <xf numFmtId="10" fontId="273" fillId="0" borderId="1" xfId="10" applyNumberFormat="1" applyFont="1" applyBorder="1" applyAlignment="1">
      <alignment horizontal="left" vertical="center"/>
    </xf>
    <xf numFmtId="0" fontId="0" fillId="0" borderId="0" xfId="19" applyNumberFormat="1" applyFont="1">
      <alignment vertical="center"/>
    </xf>
    <xf numFmtId="10" fontId="0" fillId="0" borderId="0" xfId="19" applyNumberFormat="1" applyFont="1">
      <alignment vertical="center"/>
    </xf>
    <xf numFmtId="0" fontId="273" fillId="5" borderId="1" xfId="10" applyFont="1" applyFill="1" applyBorder="1" applyAlignment="1">
      <alignment horizontal="left" vertical="center"/>
    </xf>
    <xf numFmtId="10" fontId="273" fillId="5" borderId="1" xfId="19" applyNumberFormat="1" applyFont="1" applyFill="1" applyBorder="1" applyAlignment="1">
      <alignment horizontal="left" vertical="center"/>
    </xf>
    <xf numFmtId="0" fontId="95" fillId="5" borderId="0" xfId="10" applyFill="1">
      <alignment vertical="center"/>
    </xf>
    <xf numFmtId="0" fontId="273" fillId="16" borderId="1" xfId="10" applyFont="1" applyFill="1" applyBorder="1" applyAlignment="1">
      <alignment horizontal="left" vertical="center"/>
    </xf>
    <xf numFmtId="10" fontId="273" fillId="16" borderId="1" xfId="19" applyNumberFormat="1" applyFont="1" applyFill="1" applyBorder="1" applyAlignment="1">
      <alignment horizontal="left" vertical="center"/>
    </xf>
    <xf numFmtId="0" fontId="95" fillId="16" borderId="0" xfId="1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1" fillId="0" borderId="39" xfId="0" applyNumberFormat="1"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71" fillId="0" borderId="40"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2" fontId="50" fillId="6" borderId="1" xfId="0" applyNumberFormat="1" applyFont="1" applyFill="1" applyBorder="1" applyAlignment="1">
      <alignment horizontal="center" vertical="center"/>
    </xf>
    <xf numFmtId="2" fontId="51" fillId="6" borderId="1" xfId="0" applyNumberFormat="1" applyFont="1" applyFill="1" applyBorder="1" applyAlignment="1">
      <alignment horizontal="center" vertical="center"/>
    </xf>
    <xf numFmtId="2" fontId="50" fillId="6" borderId="38" xfId="0" applyNumberFormat="1" applyFont="1" applyFill="1" applyBorder="1" applyAlignment="1">
      <alignment vertical="center" wrapText="1"/>
    </xf>
    <xf numFmtId="2" fontId="50" fillId="6" borderId="47" xfId="0" applyNumberFormat="1" applyFont="1" applyFill="1" applyBorder="1" applyAlignment="1">
      <alignment vertical="center" wrapText="1"/>
    </xf>
    <xf numFmtId="2" fontId="50" fillId="6" borderId="52" xfId="0" applyNumberFormat="1" applyFont="1" applyFill="1" applyBorder="1" applyAlignment="1">
      <alignment vertical="center" wrapText="1"/>
    </xf>
    <xf numFmtId="2" fontId="160" fillId="12" borderId="1" xfId="12" applyNumberFormat="1" applyFont="1" applyFill="1" applyBorder="1" applyAlignment="1" applyProtection="1">
      <alignment horizontal="left" vertical="center" wrapText="1"/>
      <protection locked="0"/>
    </xf>
  </cellXfs>
  <cellStyles count="20">
    <cellStyle name="百分比" xfId="17" builtinId="5"/>
    <cellStyle name="百分比 2" xfId="14" xr:uid="{00000000-0005-0000-0000-000001000000}"/>
    <cellStyle name="百分比 3" xfId="19" xr:uid="{A9FDD93B-2836-4AFA-A1D8-2D668B0746A2}"/>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1021-&#20013;&#22269;&#38134;&#34892;-&#22478;&#20851;&#25903;&#34892;\2024-1-1021-&#20013;&#22269;&#38134;&#34892;-&#22478;&#20851;&#25903;&#34892;-&#21608;&#24420;20241205-114003\&#23545;&#20844;&#20107;&#19994;&#37096;&#8212;&#30005;&#31639;&#34920;-&#20013;&#22269;&#38134;&#34892;&#21830;&#19994;&#27004;1&#23618;.xlsx" TargetMode="External"/><Relationship Id="rId1" Type="http://schemas.openxmlformats.org/officeDocument/2006/relationships/externalLinkPath" Target="/&#21608;&#24420;/&#25253;&#21578;/2024&#24180;/2024-1-1021-&#20013;&#22269;&#38134;&#34892;-&#22478;&#20851;&#25903;&#34892;/2024-1-1021-&#20013;&#22269;&#38134;&#34892;-&#22478;&#20851;&#25903;&#34892;-&#21608;&#24420;20241205-114003/&#23545;&#20844;&#20107;&#19994;&#37096;&#8212;&#30005;&#31639;&#34920;-&#20013;&#22269;&#38134;&#34892;&#21830;&#19994;&#27004;1&#23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成本法"/>
      <sheetName val="基准地价修正"/>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1层商业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配套商业</v>
          </cell>
        </row>
        <row r="105">
          <cell r="B105" t="str">
            <v>建筑结构</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标准</v>
          </cell>
        </row>
        <row r="120">
          <cell r="B120" t="str">
            <v>进深比</v>
          </cell>
        </row>
        <row r="122">
          <cell r="B122" t="str">
            <v>内部装修</v>
          </cell>
          <cell r="C122" t="str">
            <v>精装</v>
          </cell>
          <cell r="D122" t="str">
            <v>普装</v>
          </cell>
          <cell r="E122" t="str">
            <v>简装</v>
          </cell>
          <cell r="F122" t="str">
            <v>毛坯</v>
          </cell>
        </row>
      </sheetData>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北京市昌平区沙河镇展思门路29号预评估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受贵公司委托，我公司对北京市昌平区沙河镇展思门路29号进行了预评估。</v>
      </c>
    </row>
    <row r="7" spans="1:2">
      <c r="A7" s="1119" t="s">
        <v>566</v>
      </c>
      <c r="B7" s="1120" t="str">
        <f>'预评函-1'!A7</f>
        <v>估价对象为北京市昌平区沙河镇展思门路29号房地产，为所有。根据《国有土地使用证》[]，估价对象（分摊）出让国有建设用地使用权面积为0平方米，建筑面积为1298.9平方米。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估价对象为北京市昌平区沙河镇展思门路29号房地产,属开发建设的，该项目尚在开发建设中。根据《国有土地使用证》[]，估价对象（分摊）出让国有建设用地使用权面积为0平方米，规划建筑面积为1298.9平方米。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2024年11月28日（评估专业人员实地查勘之日）</v>
      </c>
    </row>
    <row r="13" spans="1:2">
      <c r="A13" s="1119" t="s">
        <v>529</v>
      </c>
      <c r="B13" s="1120"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北京市昌平区沙河镇展思门路29号房地产</v>
      </c>
    </row>
    <row r="42" spans="1:2" ht="31.2">
      <c r="A42" s="1119" t="s">
        <v>590</v>
      </c>
      <c r="B42" s="1120" t="str">
        <f>'预评函-3'!B2</f>
        <v>建筑面积</v>
      </c>
    </row>
    <row r="43" spans="1:2">
      <c r="A43" s="1119" t="s">
        <v>591</v>
      </c>
      <c r="B43" s="1120">
        <f>'预评函-3'!B4</f>
        <v>1298.9000000000001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29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1447" t="s">
        <v>385</v>
      </c>
      <c r="C54" s="1445" t="s">
        <v>583</v>
      </c>
    </row>
    <row r="55" spans="1:4">
      <c r="A55" s="3233"/>
      <c r="B55" s="1447" t="s">
        <v>386</v>
      </c>
      <c r="C55" s="1445" t="s">
        <v>584</v>
      </c>
    </row>
    <row r="56" spans="1:4">
      <c r="A56" s="3233"/>
      <c r="B56" s="1447" t="s">
        <v>387</v>
      </c>
      <c r="C56" s="1445" t="s">
        <v>588</v>
      </c>
    </row>
    <row r="57" spans="1:4">
      <c r="A57" s="323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34" t="s">
        <v>2578</v>
      </c>
      <c r="J2" s="3234"/>
      <c r="K2" s="3234"/>
      <c r="L2" s="3234"/>
      <c r="M2" s="3234"/>
      <c r="N2" s="3234"/>
      <c r="O2" s="3234"/>
      <c r="P2" s="3234"/>
      <c r="Q2" s="3234"/>
      <c r="R2" s="3234"/>
    </row>
    <row r="3" spans="1:18">
      <c r="A3" s="2760" t="s">
        <v>2499</v>
      </c>
      <c r="B3" s="2761">
        <f>项目基本情况!D3</f>
        <v>45624</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2.0499999999999998</v>
      </c>
      <c r="D5" s="2765">
        <f>IF(ISERROR(ROUND(POWER(1+E5,A5-C5)*(POWER(1+E5,C5)-1)/(POWER(1+E5,A5)-1),3)),0,ROUND(POWER(1+E5,A5-C5)*(POWER(1+E5,C5)-1)/(POWER(1+E5,A5)-1),4))</f>
        <v>9.7600000000000006E-2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12.06</v>
      </c>
      <c r="D6" s="2765">
        <f>IF(ISERROR(ROUND(POWER(1+E6,A6-C6)*(POWER(1+E6,C6)-1)/(POWER(1+E6,A6)-1),3)),0,ROUND(POWER(1+E6,A6-C6)*(POWER(1+E6,C6)-1)/(POWER(1+E6,A6)-1),4))</f>
        <v>0.43859999999999999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32.07</v>
      </c>
      <c r="D7" s="2765">
        <f>IF(ISERROR(ROUND(POWER(1+E7,A7-C7)*(POWER(1+E7,C7)-1)/(POWER(1+E7,A7)-1),3)),0,ROUND(POWER(1+E7,A7-C7)*(POWER(1+E7,C7)-1)/(POWER(1+E7,A7)-1),4))</f>
        <v>0.76480000000000004</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5" thickBot="1">
      <c r="A18" s="2770" t="s">
        <v>2514</v>
      </c>
      <c r="B18" s="2771">
        <f>ROUND(B17*F11/F12,2)</f>
        <v>5541.87</v>
      </c>
      <c r="C18" s="2771">
        <f>ROUND(F11/F12,4)</f>
        <v>1.1521999999999999</v>
      </c>
      <c r="D18" s="2772"/>
      <c r="E18" s="2772"/>
      <c r="F18" s="2773"/>
    </row>
    <row r="19" spans="1:13" ht="15" thickBot="1"/>
    <row r="20" spans="1:13" s="2806" customFormat="1" ht="1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35" t="str">
        <f>IF(B10="北京市","北京市",C10)&amp;F10&amp;IF(结果表!G1="在建","出让国有建设用地使用权及在建建筑物",IF(结果表!G1="土地","出让国有建设用地使用权",))&amp;B9&amp;"预评估"</f>
        <v>北京市昌平区沙河镇展思门路29号预评估</v>
      </c>
      <c r="C1" s="3236"/>
      <c r="D1" s="3236"/>
      <c r="E1" s="3236"/>
      <c r="F1" s="3236"/>
      <c r="G1" s="3236"/>
      <c r="H1" s="3236"/>
      <c r="I1" s="323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北京市昌平区沙河镇展思门路29号</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北京市昌平区沙河镇展思门路29号房地产</v>
      </c>
      <c r="T2" s="1618"/>
      <c r="U2" s="1618"/>
      <c r="V2" s="1618"/>
      <c r="W2" s="1618"/>
      <c r="X2" s="1618"/>
      <c r="Y2" s="1618"/>
      <c r="Z2" s="1618"/>
      <c r="AA2" s="1618"/>
      <c r="AB2" s="1618"/>
    </row>
    <row r="3" spans="1:30">
      <c r="A3" s="294" t="s">
        <v>2170</v>
      </c>
      <c r="B3" s="2185">
        <v>45624</v>
      </c>
      <c r="C3" s="2186" t="s">
        <v>2171</v>
      </c>
      <c r="D3" s="2185">
        <f>B3</f>
        <v>45624</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3459</v>
      </c>
      <c r="C4" s="2188">
        <f ca="1">SUMIF(注册房地产估价师,B4,估价师及机构信息!B3:B24)</f>
        <v>1120070131</v>
      </c>
      <c r="D4" s="2187" t="s">
        <v>3460</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c r="C8" s="2201"/>
      <c r="D8" s="3238" t="s">
        <v>2177</v>
      </c>
      <c r="E8" s="2202"/>
      <c r="F8" s="2203"/>
      <c r="G8" s="2440"/>
      <c r="H8" s="2440"/>
      <c r="I8" s="2440"/>
      <c r="J8" s="2245"/>
      <c r="K8" s="2398"/>
      <c r="L8" s="2397"/>
      <c r="M8" s="2397"/>
      <c r="N8" s="2245"/>
      <c r="O8" s="1670"/>
      <c r="P8" s="2245"/>
      <c r="Q8" s="2245"/>
      <c r="R8" s="2245"/>
    </row>
    <row r="9" spans="1:30" ht="13.8" thickBot="1">
      <c r="A9" s="2204" t="s">
        <v>2178</v>
      </c>
      <c r="B9" s="2205"/>
      <c r="C9" s="2206"/>
      <c r="D9" s="3239"/>
      <c r="E9" s="2205"/>
      <c r="F9" s="2207"/>
      <c r="G9" s="2441"/>
      <c r="H9" s="2441"/>
      <c r="I9" s="2441"/>
      <c r="J9" s="2245"/>
      <c r="K9" s="2400"/>
      <c r="L9" s="2397"/>
      <c r="M9" s="2397"/>
      <c r="N9" s="2245"/>
      <c r="O9" s="1670"/>
      <c r="P9" s="2245"/>
      <c r="Q9" s="2245"/>
      <c r="R9" s="2245"/>
    </row>
    <row r="10" spans="1:30" ht="13.8" thickTop="1">
      <c r="A10" s="2208" t="s">
        <v>2179</v>
      </c>
      <c r="B10" s="2209" t="s">
        <v>3386</v>
      </c>
      <c r="C10" s="2210"/>
      <c r="D10" s="2193"/>
      <c r="E10" s="2211" t="s">
        <v>2180</v>
      </c>
      <c r="F10" s="3141" t="s">
        <v>3388</v>
      </c>
      <c r="G10" s="2442"/>
      <c r="H10" s="2443"/>
      <c r="I10" s="2444"/>
      <c r="J10" s="2245"/>
      <c r="K10" s="2400"/>
      <c r="L10" s="2397"/>
      <c r="M10" s="2397"/>
      <c r="N10" s="2245"/>
      <c r="O10" s="1670"/>
      <c r="P10" s="2245"/>
      <c r="Q10" s="2245"/>
      <c r="R10" s="2245"/>
    </row>
    <row r="11" spans="1:30">
      <c r="A11" s="2212" t="s">
        <v>2181</v>
      </c>
      <c r="B11" s="2213" t="s">
        <v>3387</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54458</v>
      </c>
      <c r="E13" s="803"/>
      <c r="F13" s="803"/>
      <c r="G13" s="803"/>
      <c r="H13" s="803"/>
      <c r="I13" s="803"/>
      <c r="J13" s="2800"/>
      <c r="K13" s="2397"/>
      <c r="L13" s="2397"/>
      <c r="M13" s="2245"/>
      <c r="N13" s="1670"/>
      <c r="O13" s="2245"/>
      <c r="P13" s="2245"/>
      <c r="Q13" s="2245"/>
      <c r="AD13" s="1618"/>
    </row>
    <row r="14" spans="1:30">
      <c r="A14" s="1018"/>
      <c r="B14" s="2218" t="s">
        <v>2191</v>
      </c>
      <c r="C14" s="2219"/>
      <c r="D14" s="2219">
        <v>40</v>
      </c>
      <c r="E14" s="2219"/>
      <c r="F14" s="2219"/>
      <c r="G14" s="2219"/>
      <c r="H14" s="2219"/>
      <c r="I14" s="2219"/>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24.2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2"/>
      <c r="K15" s="1670"/>
      <c r="L15" s="1670"/>
      <c r="M15" s="2245"/>
      <c r="N15" s="1670"/>
      <c r="O15" s="2245"/>
      <c r="P15" s="2245"/>
      <c r="Q15" s="2245"/>
      <c r="AD15" s="1618"/>
    </row>
    <row r="16" spans="1:30">
      <c r="A16" s="2211" t="s">
        <v>2193</v>
      </c>
      <c r="B16" s="3245"/>
      <c r="C16" s="3246"/>
      <c r="D16" s="3247"/>
      <c r="E16" s="2222" t="s">
        <v>2194</v>
      </c>
      <c r="F16" s="3248"/>
      <c r="G16" s="3249"/>
      <c r="H16" s="3249"/>
      <c r="I16" s="3250"/>
      <c r="J16" s="2245"/>
      <c r="K16" s="2401"/>
      <c r="L16" s="1670"/>
      <c r="M16" s="1670"/>
      <c r="N16" s="2245"/>
      <c r="O16" s="1670"/>
      <c r="P16" s="2245"/>
      <c r="Q16" s="2245"/>
      <c r="R16" s="2245"/>
    </row>
    <row r="17" spans="1:28">
      <c r="A17" s="305" t="s">
        <v>2195</v>
      </c>
      <c r="B17" s="294" t="s">
        <v>2196</v>
      </c>
      <c r="C17" s="8">
        <f>'数据-汇总表'!E3</f>
        <v>1298.9000000000001</v>
      </c>
      <c r="D17" s="1256" t="s">
        <v>2197</v>
      </c>
      <c r="E17" s="3251" t="s">
        <v>2198</v>
      </c>
      <c r="F17" s="3252"/>
      <c r="G17" s="3252"/>
      <c r="H17" s="3252"/>
      <c r="I17" s="3253"/>
      <c r="J17" s="2245"/>
      <c r="K17" s="2402"/>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54" t="s">
        <v>2202</v>
      </c>
      <c r="F18" s="3255"/>
      <c r="G18" s="3255"/>
      <c r="H18" s="3255"/>
      <c r="I18" s="3256"/>
      <c r="J18" s="2245"/>
      <c r="K18" s="2402"/>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41" t="s">
        <v>2206</v>
      </c>
      <c r="C20" s="3242"/>
      <c r="D20" s="3243" t="s">
        <v>2207</v>
      </c>
      <c r="E20" s="3244"/>
      <c r="F20" s="2428" t="s">
        <v>1056</v>
      </c>
      <c r="G20" s="2440"/>
      <c r="H20" s="2440"/>
      <c r="I20" s="2440"/>
      <c r="J20" s="2245"/>
      <c r="K20" s="324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5"/>
      <c r="K21" s="324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5"/>
      <c r="K22" s="324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58"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58"/>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58"/>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59"/>
      <c r="B30" s="294" t="s">
        <v>2218</v>
      </c>
      <c r="C30" s="3260"/>
      <c r="D30" s="3261"/>
      <c r="E30" s="2440"/>
      <c r="F30" s="2440"/>
      <c r="G30" s="2440"/>
      <c r="H30" s="2440"/>
      <c r="I30" s="2440"/>
      <c r="J30" s="2245"/>
      <c r="K30" s="2400"/>
      <c r="L30" s="2397"/>
      <c r="M30" s="2397"/>
      <c r="N30" s="2245"/>
      <c r="O30" s="1670"/>
      <c r="P30" s="2245"/>
      <c r="Q30" s="2245"/>
      <c r="R30" s="2245"/>
      <c r="S30" s="2245"/>
      <c r="T30" s="2245"/>
      <c r="U30" s="2245"/>
      <c r="V30" s="2245"/>
    </row>
    <row r="31" spans="1:28">
      <c r="A31" s="3262"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63"/>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63"/>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c r="C34" s="1870"/>
      <c r="D34" s="1870"/>
      <c r="E34" s="1870"/>
      <c r="F34" s="1870"/>
      <c r="G34" s="1870"/>
      <c r="H34" s="1870"/>
      <c r="I34" s="2440"/>
      <c r="J34" s="2245"/>
      <c r="K34" s="8">
        <f>COUNTIF(B34:H34,"——")</f>
        <v>0</v>
      </c>
      <c r="L34" s="315" t="s">
        <v>2221</v>
      </c>
      <c r="M34" s="315" t="s">
        <v>2222</v>
      </c>
      <c r="N34" s="315" t="s">
        <v>2223</v>
      </c>
      <c r="O34" s="315" t="s">
        <v>2224</v>
      </c>
      <c r="P34" s="315" t="s">
        <v>2225</v>
      </c>
      <c r="Q34" s="315" t="s">
        <v>2226</v>
      </c>
      <c r="R34" s="315" t="s">
        <v>2227</v>
      </c>
      <c r="S34" s="3257" t="s">
        <v>2228</v>
      </c>
      <c r="T34" s="315" t="str">
        <f>NUMBERSTRING(7-K34,1)&amp;"通"</f>
        <v>七通</v>
      </c>
      <c r="U34" s="2245"/>
      <c r="V34" s="2245"/>
    </row>
    <row r="35" spans="1:30">
      <c r="A35" s="2236"/>
      <c r="B35" s="3257" t="s">
        <v>2229</v>
      </c>
      <c r="C35" s="3257"/>
      <c r="D35" s="3257"/>
      <c r="E35" s="3257"/>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7"/>
      <c r="T35" s="138" t="str">
        <f>IF(T34="一通",L35,IF(T34="二通",M35,IF(T34="三通",N35,IF(T34="四通",O35,IF(T34="五通",P35,IF(T34="六通",Q35,R35))))))</f>
        <v>、、、、、、</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c r="C37" s="2237" t="s">
        <v>304</v>
      </c>
      <c r="D37" s="2237"/>
      <c r="E37" s="2237"/>
      <c r="F37" s="2237"/>
      <c r="G37" s="2440"/>
      <c r="H37" s="2440"/>
      <c r="I37" s="2440"/>
      <c r="J37" s="2245"/>
      <c r="K37" s="2400"/>
      <c r="L37" s="2397"/>
      <c r="M37" s="2397"/>
      <c r="N37" s="2245"/>
      <c r="O37" s="1670"/>
      <c r="P37" s="2245"/>
      <c r="Q37" s="2245"/>
      <c r="R37" s="2245"/>
      <c r="S37" s="2245"/>
      <c r="T37" s="2245"/>
      <c r="U37" s="2245"/>
      <c r="V37" s="2245"/>
    </row>
    <row r="38" spans="1:30" ht="13.8" thickBot="1">
      <c r="A38" s="2414" t="s">
        <v>2231</v>
      </c>
      <c r="B38" s="2238"/>
      <c r="C38" s="3173" t="s">
        <v>3461</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1298.9000000000001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1298.9000000000001</v>
      </c>
      <c r="H5" s="13">
        <f t="shared" ref="H5:AT5" si="0">SUM(H13:H656)</f>
        <v>1298.9000000000001</v>
      </c>
      <c r="I5" s="13">
        <f t="shared" si="0"/>
        <v>1298.9000000000001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1298.9000000000001</v>
      </c>
      <c r="BA5" s="15">
        <f t="shared" si="1"/>
        <v>1298.9000000000001</v>
      </c>
      <c r="BB5" s="15">
        <f t="shared" si="1"/>
        <v>1298.9000000000001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3332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仓储</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44"/>
      <c r="C13" s="2244"/>
      <c r="D13" s="1513" t="s">
        <v>3389</v>
      </c>
      <c r="E13" s="13">
        <f>IF($C$3="是",ROUND($A$3*G13/$B$3,2),ROUND($A$3*(G13-AT13)/$B$3,2))</f>
        <v>0</v>
      </c>
      <c r="F13" s="29"/>
      <c r="G13" s="30">
        <f>H13+AC13+AT13</f>
        <v>1298.9000000000001</v>
      </c>
      <c r="H13" s="17">
        <f>SUMIF(I$12:AB$12,"总值",I13:AB13)</f>
        <v>1298.9000000000001</v>
      </c>
      <c r="I13" s="1514">
        <f>面积!E10+面积!E11+面积!E12+面积!E16</f>
        <v>1298.9000000000001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1298.9000000000001</v>
      </c>
      <c r="BA13" s="13">
        <f>SUM(BB13:BK13)</f>
        <v>1298.9000000000001</v>
      </c>
      <c r="BB13" s="13">
        <f>IF($D13="是",I13-J13,0)</f>
        <v>1298.9000000000001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144"/>
      <c r="C14" s="314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3144"/>
      <c r="C15" s="314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3144"/>
      <c r="C16" s="314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3144"/>
      <c r="C17" s="314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3"/>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28E-AEC2-4E71-9CF1-A4CB379E6710}">
  <dimension ref="A1:O21"/>
  <sheetViews>
    <sheetView workbookViewId="0">
      <selection activeCell="I23" sqref="I23"/>
    </sheetView>
  </sheetViews>
  <sheetFormatPr defaultRowHeight="14.4"/>
  <cols>
    <col min="1" max="3" width="8.88671875" style="3177"/>
    <col min="4" max="4" width="10.77734375" style="3177" customWidth="1"/>
    <col min="5" max="6" width="10.44140625" style="3177" customWidth="1"/>
    <col min="7" max="7" width="8.88671875" style="3177"/>
    <col min="8" max="9" width="12.21875" style="3177" customWidth="1"/>
    <col min="10" max="16384" width="8.88671875" style="3177"/>
  </cols>
  <sheetData>
    <row r="1" spans="1:11" ht="15.6">
      <c r="A1" s="3176" t="s">
        <v>3468</v>
      </c>
      <c r="B1" s="3176"/>
      <c r="C1" s="3176"/>
      <c r="D1" s="3176"/>
    </row>
    <row r="2" spans="1:11" ht="15.6">
      <c r="A2" s="3176" t="s">
        <v>3469</v>
      </c>
      <c r="B2" s="3176" t="s">
        <v>3470</v>
      </c>
      <c r="C2" s="3176"/>
      <c r="D2" s="3176" t="s">
        <v>3471</v>
      </c>
      <c r="E2" s="3178">
        <f>E19/B4</f>
        <v>0.43590954646514679</v>
      </c>
    </row>
    <row r="3" spans="1:11" ht="15.6">
      <c r="A3" s="3176" t="s">
        <v>3472</v>
      </c>
      <c r="B3" s="3179">
        <v>54458</v>
      </c>
      <c r="C3" s="3176"/>
      <c r="D3" s="3176"/>
    </row>
    <row r="4" spans="1:11" ht="15.6">
      <c r="A4" s="3176" t="s">
        <v>3473</v>
      </c>
      <c r="B4" s="3176">
        <v>3472.28</v>
      </c>
      <c r="C4" s="3176"/>
      <c r="D4" s="3176"/>
    </row>
    <row r="7" spans="1:11" ht="15.6">
      <c r="A7" s="3180" t="s">
        <v>3474</v>
      </c>
      <c r="B7" s="3180" t="s">
        <v>3475</v>
      </c>
      <c r="C7" s="3180" t="s">
        <v>3476</v>
      </c>
      <c r="D7" s="3180" t="s">
        <v>3477</v>
      </c>
      <c r="E7" s="3180" t="s">
        <v>3478</v>
      </c>
      <c r="F7" s="3180" t="s">
        <v>3479</v>
      </c>
      <c r="G7" s="3181"/>
      <c r="H7" s="3181"/>
      <c r="I7" s="3181" t="s">
        <v>3480</v>
      </c>
      <c r="J7" s="3181" t="s">
        <v>3481</v>
      </c>
      <c r="K7" s="3180" t="s">
        <v>3482</v>
      </c>
    </row>
    <row r="8" spans="1:11" ht="15.6">
      <c r="A8" s="3180">
        <v>1</v>
      </c>
      <c r="B8" s="3180">
        <v>1</v>
      </c>
      <c r="C8" s="3180" t="s">
        <v>3483</v>
      </c>
      <c r="D8" s="3180">
        <v>1974</v>
      </c>
      <c r="E8" s="3180">
        <v>52</v>
      </c>
      <c r="F8" s="3180" t="s">
        <v>3484</v>
      </c>
      <c r="G8" s="3181"/>
      <c r="H8" s="3181"/>
      <c r="I8" s="3180">
        <v>1500</v>
      </c>
      <c r="J8" s="3182">
        <v>0.65</v>
      </c>
      <c r="K8" s="3180">
        <f>ROUND(E8/$E$20*$B$4,2)</f>
        <v>51.59</v>
      </c>
    </row>
    <row r="9" spans="1:11" ht="15.6">
      <c r="A9" s="3180">
        <v>2</v>
      </c>
      <c r="B9" s="3183" t="s">
        <v>3485</v>
      </c>
      <c r="C9" s="3180" t="s">
        <v>3486</v>
      </c>
      <c r="D9" s="3180">
        <v>1974</v>
      </c>
      <c r="E9" s="3180">
        <v>26.6</v>
      </c>
      <c r="F9" s="3180" t="s">
        <v>3487</v>
      </c>
      <c r="G9" s="3181"/>
      <c r="H9" s="3181"/>
      <c r="I9" s="3180">
        <v>800</v>
      </c>
      <c r="J9" s="3182">
        <f>J8</f>
        <v>0.65</v>
      </c>
      <c r="K9" s="3180">
        <f t="shared" ref="K9:K18" si="0">ROUND(E9/$E$20*$B$4,2)</f>
        <v>26.39</v>
      </c>
    </row>
    <row r="10" spans="1:11" s="3189" customFormat="1" ht="15.6">
      <c r="A10" s="3187">
        <v>3</v>
      </c>
      <c r="B10" s="3187">
        <v>1</v>
      </c>
      <c r="C10" s="3187" t="s">
        <v>3488</v>
      </c>
      <c r="D10" s="3187">
        <v>1981</v>
      </c>
      <c r="E10" s="3187">
        <v>321.89999999999998</v>
      </c>
      <c r="F10" s="3187" t="s">
        <v>3489</v>
      </c>
      <c r="G10" s="3187" t="s">
        <v>3490</v>
      </c>
      <c r="H10" s="3187" t="s">
        <v>3491</v>
      </c>
      <c r="I10" s="3187">
        <v>2000</v>
      </c>
      <c r="J10" s="3188">
        <v>0.4</v>
      </c>
      <c r="K10" s="3187">
        <f t="shared" si="0"/>
        <v>319.36</v>
      </c>
    </row>
    <row r="11" spans="1:11" s="3189" customFormat="1" ht="15.6">
      <c r="A11" s="3187">
        <v>4</v>
      </c>
      <c r="B11" s="3187">
        <v>1</v>
      </c>
      <c r="C11" s="3187" t="s">
        <v>3488</v>
      </c>
      <c r="D11" s="3187">
        <v>1974</v>
      </c>
      <c r="E11" s="3187">
        <v>130.30000000000001</v>
      </c>
      <c r="F11" s="3187" t="s">
        <v>3489</v>
      </c>
      <c r="G11" s="3187" t="s">
        <v>3490</v>
      </c>
      <c r="H11" s="3187" t="s">
        <v>3491</v>
      </c>
      <c r="I11" s="3187">
        <v>1500</v>
      </c>
      <c r="J11" s="3188">
        <v>0.4</v>
      </c>
      <c r="K11" s="3187">
        <f t="shared" si="0"/>
        <v>129.27000000000001</v>
      </c>
    </row>
    <row r="12" spans="1:11" s="3189" customFormat="1" ht="15.6">
      <c r="A12" s="3187">
        <v>5</v>
      </c>
      <c r="B12" s="3187">
        <v>2</v>
      </c>
      <c r="C12" s="3187" t="s">
        <v>3488</v>
      </c>
      <c r="D12" s="3187">
        <v>1974</v>
      </c>
      <c r="E12" s="3187">
        <v>804</v>
      </c>
      <c r="F12" s="3187" t="s">
        <v>3489</v>
      </c>
      <c r="G12" s="3187" t="s">
        <v>3492</v>
      </c>
      <c r="H12" s="3187" t="s">
        <v>3491</v>
      </c>
      <c r="I12" s="3187">
        <v>2000</v>
      </c>
      <c r="J12" s="3188">
        <v>0.5</v>
      </c>
      <c r="K12" s="3187">
        <f t="shared" si="0"/>
        <v>797.66</v>
      </c>
    </row>
    <row r="13" spans="1:11" s="3192" customFormat="1" ht="15.6">
      <c r="A13" s="3190">
        <v>6</v>
      </c>
      <c r="B13" s="3190">
        <v>1</v>
      </c>
      <c r="C13" s="3190" t="s">
        <v>3488</v>
      </c>
      <c r="D13" s="3190">
        <v>1974</v>
      </c>
      <c r="E13" s="3190">
        <v>112.9</v>
      </c>
      <c r="F13" s="3190" t="s">
        <v>3493</v>
      </c>
      <c r="G13" s="3190" t="s">
        <v>3494</v>
      </c>
      <c r="H13" s="3190" t="s">
        <v>3495</v>
      </c>
      <c r="I13" s="3190">
        <v>1000</v>
      </c>
      <c r="J13" s="3191">
        <v>0.4</v>
      </c>
      <c r="K13" s="3190">
        <f t="shared" si="0"/>
        <v>112.01</v>
      </c>
    </row>
    <row r="14" spans="1:11" ht="15.6">
      <c r="A14" s="3180">
        <v>7</v>
      </c>
      <c r="B14" s="3180">
        <v>1</v>
      </c>
      <c r="C14" s="3180" t="s">
        <v>3496</v>
      </c>
      <c r="D14" s="3180">
        <v>1974</v>
      </c>
      <c r="E14" s="3180">
        <v>155.1</v>
      </c>
      <c r="F14" s="3180" t="s">
        <v>3493</v>
      </c>
      <c r="G14" s="3180" t="s">
        <v>3494</v>
      </c>
      <c r="H14" s="3180" t="s">
        <v>3495</v>
      </c>
      <c r="I14" s="3180">
        <v>1000</v>
      </c>
      <c r="J14" s="3182">
        <v>0.4</v>
      </c>
      <c r="K14" s="3180">
        <f t="shared" si="0"/>
        <v>153.88</v>
      </c>
    </row>
    <row r="15" spans="1:11" s="3192" customFormat="1" ht="15.6">
      <c r="A15" s="3190">
        <v>8</v>
      </c>
      <c r="B15" s="3190">
        <v>1</v>
      </c>
      <c r="C15" s="3190" t="s">
        <v>3488</v>
      </c>
      <c r="D15" s="3190">
        <v>1974</v>
      </c>
      <c r="E15" s="3190">
        <v>103.7</v>
      </c>
      <c r="F15" s="3190" t="s">
        <v>3493</v>
      </c>
      <c r="G15" s="3190" t="s">
        <v>3490</v>
      </c>
      <c r="H15" s="3190" t="s">
        <v>3491</v>
      </c>
      <c r="I15" s="3190">
        <v>1000</v>
      </c>
      <c r="J15" s="3191">
        <v>0.4</v>
      </c>
      <c r="K15" s="3190">
        <f t="shared" si="0"/>
        <v>102.88</v>
      </c>
    </row>
    <row r="16" spans="1:11" s="3189" customFormat="1" ht="15.6">
      <c r="A16" s="3187">
        <v>9</v>
      </c>
      <c r="B16" s="3187">
        <v>1</v>
      </c>
      <c r="C16" s="3187" t="s">
        <v>3486</v>
      </c>
      <c r="D16" s="3187">
        <v>1974</v>
      </c>
      <c r="E16" s="3187">
        <v>42.7</v>
      </c>
      <c r="F16" s="3187"/>
      <c r="G16" s="3187" t="s">
        <v>3490</v>
      </c>
      <c r="H16" s="3187" t="s">
        <v>3491</v>
      </c>
      <c r="I16" s="3187">
        <v>1000</v>
      </c>
      <c r="J16" s="3188">
        <v>0.4</v>
      </c>
      <c r="K16" s="3187">
        <f t="shared" si="0"/>
        <v>42.36</v>
      </c>
    </row>
    <row r="17" spans="1:15" ht="15.6">
      <c r="A17" s="3180">
        <v>10</v>
      </c>
      <c r="B17" s="3180">
        <v>1</v>
      </c>
      <c r="C17" s="3180" t="s">
        <v>3496</v>
      </c>
      <c r="D17" s="3180">
        <v>1974</v>
      </c>
      <c r="E17" s="3180">
        <v>93.7</v>
      </c>
      <c r="F17" s="3180" t="s">
        <v>3497</v>
      </c>
      <c r="G17" s="3180" t="s">
        <v>3494</v>
      </c>
      <c r="H17" s="3180" t="s">
        <v>3495</v>
      </c>
      <c r="I17" s="3180">
        <v>100</v>
      </c>
      <c r="J17" s="3182">
        <v>0.4</v>
      </c>
      <c r="K17" s="3180">
        <f t="shared" si="0"/>
        <v>92.96</v>
      </c>
    </row>
    <row r="18" spans="1:15" ht="15.6">
      <c r="A18" s="3180">
        <v>11</v>
      </c>
      <c r="B18" s="3180">
        <v>1</v>
      </c>
      <c r="C18" s="3180" t="s">
        <v>3488</v>
      </c>
      <c r="D18" s="3180">
        <v>1987</v>
      </c>
      <c r="E18" s="3180">
        <v>143.4</v>
      </c>
      <c r="F18" s="3180" t="s">
        <v>3489</v>
      </c>
      <c r="G18" s="3180" t="s">
        <v>3494</v>
      </c>
      <c r="H18" s="3180" t="s">
        <v>3495</v>
      </c>
      <c r="I18" s="3180">
        <v>1000</v>
      </c>
      <c r="J18" s="3182">
        <v>0.4</v>
      </c>
      <c r="K18" s="3180">
        <f t="shared" si="0"/>
        <v>142.27000000000001</v>
      </c>
    </row>
    <row r="19" spans="1:15" ht="15.6">
      <c r="A19" s="3180">
        <v>12</v>
      </c>
      <c r="B19" s="3180">
        <v>4</v>
      </c>
      <c r="C19" s="3180" t="s">
        <v>3488</v>
      </c>
      <c r="D19" s="3180">
        <v>1982</v>
      </c>
      <c r="E19" s="3180">
        <v>1513.6</v>
      </c>
      <c r="F19" s="3180" t="s">
        <v>3498</v>
      </c>
      <c r="G19" s="3180"/>
      <c r="H19" s="3180"/>
      <c r="I19" s="3180">
        <v>3000</v>
      </c>
      <c r="J19" s="3184">
        <v>0.7</v>
      </c>
      <c r="K19" s="3180">
        <f>B4-SUM(K8:K18)</f>
        <v>1501.6500000000003</v>
      </c>
      <c r="M19" s="3177">
        <v>2024</v>
      </c>
      <c r="N19" s="3177">
        <f>D19</f>
        <v>1982</v>
      </c>
      <c r="O19" s="3177">
        <f>M19-N19</f>
        <v>42</v>
      </c>
    </row>
    <row r="20" spans="1:15" ht="15.6">
      <c r="A20" s="3180" t="s">
        <v>2590</v>
      </c>
      <c r="B20" s="3181"/>
      <c r="C20" s="3181"/>
      <c r="D20" s="3181"/>
      <c r="E20" s="3180">
        <f>SUM(E8:E19)</f>
        <v>3499.9</v>
      </c>
      <c r="F20" s="3180"/>
      <c r="G20" s="3181"/>
      <c r="H20" s="3181"/>
      <c r="I20" s="3181"/>
      <c r="J20" s="3181"/>
      <c r="K20" s="3180">
        <f>SUM(K8:K19)</f>
        <v>3472.28</v>
      </c>
    </row>
    <row r="21" spans="1:15">
      <c r="E21" s="3177">
        <f>E20-E19</f>
        <v>1986.3000000000002</v>
      </c>
      <c r="I21" s="3185">
        <f>ROUND(SUMPRODUCT(I8:I18,E8:E18)/E21,0)</f>
        <v>1568</v>
      </c>
      <c r="J21" s="3186">
        <f>ROUND(SUMPRODUCT(J8:J18,E8:E18)/E21,2)</f>
        <v>0.45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0"/>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73" t="s">
        <v>1131</v>
      </c>
      <c r="B2" s="3273"/>
      <c r="C2" s="3273"/>
      <c r="D2" s="748" t="s">
        <v>1107</v>
      </c>
      <c r="E2" s="1523" t="s">
        <v>1108</v>
      </c>
      <c r="F2" s="2437"/>
      <c r="G2" s="2430"/>
      <c r="H2" s="2431"/>
      <c r="I2" s="2146" t="s">
        <v>1132</v>
      </c>
      <c r="J2" s="2437"/>
      <c r="K2" s="2437"/>
      <c r="L2" s="2437"/>
      <c r="M2" s="2437"/>
      <c r="N2" s="2438"/>
      <c r="O2" s="2437"/>
      <c r="P2" s="2437"/>
    </row>
    <row r="3" spans="1:16" ht="15" thickBot="1">
      <c r="A3" s="3274" t="s">
        <v>1105</v>
      </c>
      <c r="B3" s="3274"/>
      <c r="C3" s="3274"/>
      <c r="D3" s="41">
        <f>'数据-基础表'!AY6</f>
        <v>0</v>
      </c>
      <c r="E3" s="41">
        <f>'数据-基础表'!AZ5</f>
        <v>1298.9000000000001</v>
      </c>
      <c r="F3" s="2437"/>
      <c r="G3" s="42"/>
      <c r="H3" s="43" t="s">
        <v>1106</v>
      </c>
      <c r="I3" s="802" t="e">
        <f>ROUND('数据-基础表'!B3/'数据-基础表'!A3,2)</f>
        <v>#DIV/0!</v>
      </c>
      <c r="J3" s="2437"/>
      <c r="K3" s="2437"/>
      <c r="L3" s="2437"/>
      <c r="M3" s="2437"/>
      <c r="N3" s="2438"/>
      <c r="O3" s="2437"/>
      <c r="P3" s="2437"/>
    </row>
    <row r="4" spans="1:16" ht="14.4">
      <c r="A4" s="3275"/>
      <c r="B4" s="3276"/>
      <c r="C4" s="327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78" t="s">
        <v>1110</v>
      </c>
      <c r="C5" s="327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8" t="s">
        <v>1111</v>
      </c>
      <c r="C6" s="3278"/>
      <c r="D6" s="43">
        <f>ROUND($D$3*E6/$E$3,2)</f>
        <v>0</v>
      </c>
      <c r="E6" s="44">
        <f>E3-E5</f>
        <v>1298.9000000000001</v>
      </c>
      <c r="F6" s="2437"/>
      <c r="G6" s="1529" t="s">
        <v>1112</v>
      </c>
      <c r="H6" s="45" t="s">
        <v>1113</v>
      </c>
      <c r="I6" s="2433" t="e">
        <f>ROUND(F31/D31,2)</f>
        <v>#DIV/0!</v>
      </c>
      <c r="J6" s="2437"/>
      <c r="K6" s="2437"/>
      <c r="L6" s="2437"/>
      <c r="M6" s="2437"/>
      <c r="N6" s="2437"/>
      <c r="O6" s="2437"/>
      <c r="P6" s="2437"/>
    </row>
    <row r="7" spans="1:16" ht="15" thickBot="1">
      <c r="A7" s="3270"/>
      <c r="B7" s="3271"/>
      <c r="C7" s="3272"/>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1298.9000000000001</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1298.9000000000001</v>
      </c>
      <c r="F16" s="2437"/>
      <c r="G16" s="2437"/>
      <c r="H16" s="1531" t="s">
        <v>1135</v>
      </c>
      <c r="I16" s="1532"/>
      <c r="J16" s="1071"/>
      <c r="K16" s="3267" t="s">
        <v>1135</v>
      </c>
      <c r="L16" s="3268"/>
      <c r="M16" s="3268"/>
      <c r="N16" s="3268"/>
      <c r="O16" s="3268"/>
      <c r="P16" s="3269"/>
    </row>
    <row r="17" spans="1:19" ht="14.4">
      <c r="A17" s="1533" t="s">
        <v>1136</v>
      </c>
      <c r="B17" s="1534" t="s">
        <v>1137</v>
      </c>
      <c r="C17" s="1535" t="s">
        <v>1138</v>
      </c>
      <c r="D17" s="1536" t="s">
        <v>1126</v>
      </c>
      <c r="E17" s="1537" t="s">
        <v>1127</v>
      </c>
      <c r="F17" s="1538"/>
      <c r="G17" s="1539"/>
      <c r="H17" s="1540" t="s">
        <v>1139</v>
      </c>
      <c r="I17" s="1541" t="s">
        <v>1124</v>
      </c>
      <c r="J17" s="1071"/>
      <c r="K17" s="3264" t="s">
        <v>1140</v>
      </c>
      <c r="L17" s="3265"/>
      <c r="M17" s="3266"/>
      <c r="N17" s="3264" t="s">
        <v>1141</v>
      </c>
      <c r="O17" s="3265"/>
      <c r="P17" s="326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3507</v>
      </c>
      <c r="D19" s="43">
        <f>ROUND($D$3*E19/$E$3,2)</f>
        <v>0</v>
      </c>
      <c r="E19" s="51">
        <f t="shared" ref="E19:E26" si="1">SUM(F19:G19)</f>
        <v>1298.9000000000001</v>
      </c>
      <c r="F19" s="2555">
        <f>'数据-基础表'!B3</f>
        <v>1298.9000000000001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1298.9000000000001</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1298.9000000000001</v>
      </c>
      <c r="F27" s="1072">
        <f>IF(SUM(F19:F26)=E8,SUM(F19:F26),"地上面积有误")</f>
        <v>1298.9000000000001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1298.9000000000001</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1298.9000000000001</v>
      </c>
      <c r="F31" s="644">
        <f>F27+F30</f>
        <v>1298.9000000000001</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9">
      <c r="D33" s="1558"/>
    </row>
    <row r="38" spans="4:9">
      <c r="F38" s="3172">
        <f>F31</f>
        <v>1298.9000000000001</v>
      </c>
      <c r="G38" s="1522">
        <v>1.8</v>
      </c>
      <c r="H38" s="1522">
        <f>G38*F38</f>
        <v>2338.0200000000004</v>
      </c>
    </row>
    <row r="39" spans="4:9">
      <c r="F39" s="1522">
        <v>643.74</v>
      </c>
      <c r="G39" s="1522">
        <v>1.8</v>
      </c>
      <c r="H39" s="1522">
        <f>G39*F39</f>
        <v>1158.732</v>
      </c>
      <c r="I39" s="1522">
        <f>H38/F39</f>
        <v>3.6319321465187815</v>
      </c>
    </row>
    <row r="40" spans="4:9">
      <c r="F40" s="3172">
        <f>F31-F39</f>
        <v>655.16000000000008</v>
      </c>
      <c r="G40" s="1522">
        <f>H40/F40</f>
        <v>1.8000000000000005</v>
      </c>
      <c r="H40" s="1522">
        <f>H38-H39</f>
        <v>1179.2880000000005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45624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仓储</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1298.9000000000001</v>
      </c>
      <c r="L6" s="692">
        <v>3000</v>
      </c>
      <c r="M6" s="64">
        <f t="shared" ref="M6:M14" si="0">ROUND(K6*L6/10000,0)</f>
        <v>390</v>
      </c>
      <c r="N6" s="690">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1298.9000000000001</v>
      </c>
      <c r="L16" s="87">
        <f>ROUND(M16*10000/SUM(K6:K14),0)</f>
        <v>3003</v>
      </c>
      <c r="M16" s="87">
        <f>SUM(M6:M14)</f>
        <v>390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1</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v>1</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t="e">
        <f ca="1">'收益法 (元)'!C17/10000</f>
        <v>#N/A</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0.03</v>
      </c>
      <c r="C33" s="2562" t="s">
        <v>3374</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2308</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7" sqref="L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79" t="s">
        <v>2282</v>
      </c>
      <c r="B1" s="3280"/>
      <c r="C1" s="3280"/>
      <c r="D1" s="3280"/>
      <c r="E1" s="3280"/>
      <c r="F1" s="3280"/>
      <c r="G1" s="328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2278</v>
      </c>
      <c r="D2" s="1595"/>
      <c r="E2" s="2260"/>
      <c r="F2" s="2263"/>
      <c r="G2" s="2262" t="s">
        <v>2279</v>
      </c>
      <c r="H2" s="751"/>
      <c r="I2" s="751"/>
      <c r="J2" s="751"/>
      <c r="K2" s="751"/>
      <c r="L2" s="751"/>
      <c r="M2" s="751"/>
      <c r="N2" s="751"/>
      <c r="O2" s="751"/>
      <c r="P2" s="751"/>
      <c r="Q2" s="751"/>
    </row>
    <row r="3" spans="1:29" ht="39.6">
      <c r="A3" s="2247" t="s">
        <v>2280</v>
      </c>
      <c r="B3" s="2264" t="s">
        <v>2252</v>
      </c>
      <c r="C3" s="2265"/>
      <c r="D3" s="2266"/>
      <c r="E3" s="2248" t="s">
        <v>2280</v>
      </c>
      <c r="F3" s="2267" t="s">
        <v>2253</v>
      </c>
      <c r="G3" s="2268" t="s">
        <v>2281</v>
      </c>
      <c r="H3" s="751"/>
      <c r="I3" s="751"/>
      <c r="J3" s="751"/>
      <c r="K3" s="751"/>
      <c r="L3" s="751"/>
      <c r="M3" s="751"/>
      <c r="N3" s="751"/>
      <c r="O3" s="751"/>
      <c r="P3" s="751"/>
      <c r="Q3" s="751"/>
    </row>
    <row r="4" spans="1:29" ht="48">
      <c r="A4" s="2248"/>
      <c r="B4" s="315" t="s">
        <v>2254</v>
      </c>
      <c r="C4" s="3152" t="s">
        <v>3464</v>
      </c>
      <c r="D4" s="2266"/>
      <c r="E4" s="2269"/>
      <c r="F4" s="1281" t="s">
        <v>2255</v>
      </c>
      <c r="G4" s="2270" t="s">
        <v>2256</v>
      </c>
      <c r="H4" s="751"/>
      <c r="I4" s="751"/>
      <c r="J4" s="751"/>
      <c r="K4" s="751"/>
      <c r="L4" s="751"/>
      <c r="M4" s="751"/>
      <c r="N4" s="751"/>
      <c r="O4" s="751"/>
      <c r="P4" s="751"/>
      <c r="Q4" s="751"/>
    </row>
    <row r="5" spans="1:29" ht="24">
      <c r="A5" s="2248"/>
      <c r="B5" s="315" t="s">
        <v>2257</v>
      </c>
      <c r="C5" s="3163"/>
      <c r="D5" s="2266"/>
      <c r="E5" s="2269"/>
      <c r="F5" s="315" t="s">
        <v>2258</v>
      </c>
      <c r="G5" s="2270" t="s">
        <v>2259</v>
      </c>
      <c r="H5" s="751"/>
      <c r="I5" s="751"/>
      <c r="J5" s="751"/>
      <c r="K5" s="751"/>
      <c r="L5" s="751"/>
      <c r="M5" s="751"/>
      <c r="N5" s="751"/>
      <c r="O5" s="751"/>
      <c r="P5" s="751"/>
      <c r="Q5" s="751"/>
    </row>
    <row r="6" spans="1:29" ht="72">
      <c r="A6" s="2248"/>
      <c r="B6" s="315" t="s">
        <v>2260</v>
      </c>
      <c r="C6" s="3151" t="s">
        <v>3532</v>
      </c>
      <c r="D6" s="2266"/>
      <c r="E6" s="2269"/>
      <c r="F6" s="315" t="s">
        <v>2261</v>
      </c>
      <c r="G6" s="2270" t="s">
        <v>2262</v>
      </c>
      <c r="H6" s="751"/>
      <c r="I6" s="751"/>
      <c r="J6" s="751"/>
      <c r="K6" s="751"/>
      <c r="L6" s="751"/>
      <c r="M6" s="751"/>
      <c r="N6" s="751"/>
      <c r="O6" s="751"/>
      <c r="P6" s="751"/>
      <c r="Q6" s="751"/>
    </row>
    <row r="7" spans="1:29" ht="60.6" thickBot="1">
      <c r="A7" s="2248"/>
      <c r="B7" s="315" t="s">
        <v>2258</v>
      </c>
      <c r="C7" s="3151" t="s">
        <v>3465</v>
      </c>
      <c r="D7" s="2245"/>
      <c r="E7" s="2271"/>
      <c r="F7" s="2272" t="s">
        <v>2263</v>
      </c>
      <c r="G7" s="2273" t="s">
        <v>2264</v>
      </c>
      <c r="H7" s="751"/>
      <c r="I7" s="751"/>
      <c r="J7" s="751"/>
      <c r="K7" s="751"/>
      <c r="L7" s="751"/>
      <c r="M7" s="751"/>
      <c r="N7" s="751"/>
      <c r="O7" s="751"/>
      <c r="P7" s="751"/>
      <c r="Q7" s="751"/>
    </row>
    <row r="8" spans="1:29" ht="24">
      <c r="A8" s="2248"/>
      <c r="B8" s="315" t="s">
        <v>2261</v>
      </c>
      <c r="C8" s="2270" t="s">
        <v>2262</v>
      </c>
      <c r="D8" s="2245"/>
      <c r="E8" s="2245"/>
      <c r="F8" s="121"/>
      <c r="G8" s="121"/>
      <c r="H8" s="751"/>
      <c r="I8" s="751"/>
      <c r="J8" s="751"/>
      <c r="K8" s="751"/>
      <c r="L8" s="751"/>
      <c r="M8" s="751"/>
      <c r="N8" s="751"/>
      <c r="O8" s="751"/>
      <c r="P8" s="751"/>
      <c r="Q8" s="751"/>
    </row>
    <row r="9" spans="1:29" ht="36">
      <c r="A9" s="2248"/>
      <c r="B9" s="315" t="s">
        <v>2265</v>
      </c>
      <c r="C9" s="3152" t="s">
        <v>3466</v>
      </c>
      <c r="D9" s="2266"/>
      <c r="E9" s="2245"/>
      <c r="F9" s="121"/>
      <c r="G9" s="121"/>
      <c r="H9" s="751"/>
      <c r="I9" s="751"/>
      <c r="J9" s="751"/>
      <c r="K9" s="751"/>
      <c r="L9" s="751"/>
      <c r="M9" s="751"/>
      <c r="N9" s="751"/>
      <c r="O9" s="751"/>
      <c r="P9" s="751"/>
      <c r="Q9" s="751"/>
    </row>
    <row r="10" spans="1:29" ht="14.4" thickBot="1">
      <c r="A10" s="2249"/>
      <c r="B10" s="2274" t="s">
        <v>2266</v>
      </c>
      <c r="C10" s="3153" t="s">
        <v>3467</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7.399999999999999">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2283</v>
      </c>
      <c r="B13" s="2278"/>
      <c r="C13" s="2278"/>
      <c r="D13" s="2277"/>
      <c r="E13" s="2278"/>
      <c r="F13" s="2278"/>
      <c r="G13" s="2278"/>
    </row>
    <row r="14" spans="1:29" ht="14.4" thickBot="1">
      <c r="A14" s="2283"/>
      <c r="B14" s="2283"/>
      <c r="C14" s="2284" t="s">
        <v>2267</v>
      </c>
      <c r="D14" s="2266"/>
      <c r="E14" s="2285"/>
      <c r="F14" s="2285"/>
      <c r="G14" s="2262" t="s">
        <v>2268</v>
      </c>
    </row>
    <row r="15" spans="1:29" ht="39.6">
      <c r="A15" s="2250" t="s">
        <v>2269</v>
      </c>
      <c r="B15" s="2286" t="s">
        <v>2252</v>
      </c>
      <c r="C15" s="2287">
        <f>C3</f>
        <v>0</v>
      </c>
      <c r="D15" s="2266"/>
      <c r="E15" s="2251" t="s">
        <v>2270</v>
      </c>
      <c r="F15" s="2286" t="s">
        <v>2271</v>
      </c>
      <c r="G15" s="2288" t="str">
        <f>G3</f>
        <v>估价对象位于XX开发区，园区建设成熟度XX，产业集聚程度XX</v>
      </c>
    </row>
    <row r="16" spans="1:29" ht="52.8">
      <c r="A16" s="2252"/>
      <c r="B16" s="2289" t="s">
        <v>2254</v>
      </c>
      <c r="C16" s="2290" t="str">
        <f>C4</f>
        <v>周边商业氛围较成熟，有华冠天地、房山商业大楼等项目，人流量较大，商业繁华度较好</v>
      </c>
      <c r="D16" s="2266"/>
      <c r="E16" s="2253"/>
      <c r="F16" s="2291" t="s">
        <v>2255</v>
      </c>
      <c r="G16" s="2292" t="str">
        <f>G4</f>
        <v>估价对象周边道路状况、公共交通通达情况、停车便捷程度，综合评价交通便捷度较好</v>
      </c>
    </row>
    <row r="17" spans="1:17">
      <c r="A17" s="2252"/>
      <c r="B17" s="2289" t="s">
        <v>2257</v>
      </c>
      <c r="C17" s="2290">
        <f>C5</f>
        <v>0</v>
      </c>
      <c r="D17" s="2245"/>
      <c r="E17" s="2253"/>
      <c r="F17" s="2291" t="s">
        <v>2272</v>
      </c>
      <c r="G17" s="2293"/>
    </row>
    <row r="18" spans="1:17" ht="66">
      <c r="A18" s="2252"/>
      <c r="B18" s="2291" t="s">
        <v>2260</v>
      </c>
      <c r="C18" s="2292" t="str">
        <f>C6</f>
        <v>估价对象周边道路状况一般，有836、901、917等多条线路及燕房线经过，公共交通通达情况较好、停车便捷程度较好，综合评价交通便捷度较好</v>
      </c>
      <c r="D18" s="2245"/>
      <c r="E18" s="2253"/>
      <c r="F18" s="2291" t="s">
        <v>2263</v>
      </c>
      <c r="G18" s="2292" t="str">
        <f>G7</f>
        <v>该园区内是否有污染型企业，绿化情况，卫生条件，整体环境状况判断</v>
      </c>
    </row>
    <row r="19" spans="1:17" ht="26.4">
      <c r="A19" s="2252"/>
      <c r="B19" s="2291" t="s">
        <v>2273</v>
      </c>
      <c r="C19" s="2293"/>
      <c r="D19" s="2266"/>
      <c r="E19" s="2253"/>
      <c r="F19" s="315" t="s">
        <v>2258</v>
      </c>
      <c r="G19" s="2292" t="str">
        <f>G5</f>
        <v>估价对象所在区域公共配套设施齐备情况</v>
      </c>
    </row>
    <row r="20" spans="1:17" ht="39.6">
      <c r="A20" s="2252"/>
      <c r="B20" s="2291" t="s">
        <v>2274</v>
      </c>
      <c r="C20" s="2290" t="str">
        <f>C9</f>
        <v>区域自然环境：朝曦公园、迎宾公园；人文环境：无；综合评价环境状况一般</v>
      </c>
      <c r="D20" s="2245"/>
      <c r="E20" s="2253"/>
      <c r="F20" s="315" t="s">
        <v>2261</v>
      </c>
      <c r="G20" s="2292" t="str">
        <f>G6</f>
        <v>估价对象所在区域基础设施水平</v>
      </c>
    </row>
    <row r="21" spans="1:17" ht="66">
      <c r="A21" s="2252"/>
      <c r="B21" s="315" t="s">
        <v>2258</v>
      </c>
      <c r="C21" s="2292" t="str">
        <f>C7</f>
        <v>商场（华冠天地、房山商业大楼）、医院（房山区中医院、房山区第一医院）、学校（房山中学）、餐饮等，公共配套设施较好。</v>
      </c>
      <c r="D21" s="2266"/>
      <c r="E21" s="2253"/>
      <c r="F21" s="2291" t="s">
        <v>2275</v>
      </c>
      <c r="G21" s="2294"/>
    </row>
    <row r="22" spans="1:17" ht="13.5" customHeight="1">
      <c r="A22" s="2252"/>
      <c r="B22" s="315" t="s">
        <v>2261</v>
      </c>
      <c r="C22" s="2292" t="str">
        <f>C8</f>
        <v>估价对象所在区域基础设施水平</v>
      </c>
      <c r="D22" s="2266"/>
      <c r="E22" s="2253"/>
      <c r="F22" s="2291" t="s">
        <v>2266</v>
      </c>
      <c r="G22" s="2293"/>
    </row>
    <row r="23" spans="1:17" s="751" customFormat="1" ht="14.4"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4.4" thickBot="1">
      <c r="A24" s="2255"/>
      <c r="B24" s="2295" t="s">
        <v>2277</v>
      </c>
      <c r="C24" s="2297" t="str">
        <f>C10</f>
        <v>次干道-房山北大街</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1298.9000000000001</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45624</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SUM(D14:D23)</f>
        <v>284</v>
      </c>
      <c r="C5" s="2298" t="e">
        <f ca="1">IF(B5=D14,结果表!H102,ROUND(B5*10000/$B$1,0))</f>
        <v>#REF!</v>
      </c>
      <c r="D5" s="2298" t="e">
        <f>ROUND(B5*10000/$B$2,0)</f>
        <v>#DIV/0!</v>
      </c>
      <c r="E5" s="2459"/>
      <c r="F5" s="2460"/>
      <c r="G5" s="2460"/>
      <c r="H5" s="2460"/>
      <c r="I5" s="2460"/>
      <c r="J5" s="2460"/>
      <c r="K5" s="2460"/>
    </row>
    <row r="6" spans="1:11" ht="15.6">
      <c r="A6" s="2298" t="s">
        <v>656</v>
      </c>
      <c r="B6" s="2298">
        <f>SUM(G14:G23)</f>
        <v>0</v>
      </c>
      <c r="C6" s="2298">
        <f ca="1">IF(B6=G14,结果表!H108,ROUND(B6*10000/$B$1,0))</f>
        <v>0</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59"/>
      <c r="G8" s="3164"/>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284</v>
      </c>
      <c r="C10" s="2298" t="s">
        <v>3354</v>
      </c>
      <c r="D10" s="2298" t="s">
        <v>3355</v>
      </c>
      <c r="E10" s="3539">
        <f>'比较法-仓储'!C36</f>
        <v>0.3</v>
      </c>
      <c r="F10" s="3137" t="s">
        <v>3356</v>
      </c>
      <c r="G10" s="3134">
        <v>0.05</v>
      </c>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'数据-汇总表'!E3</f>
        <v>1298.9000000000001</v>
      </c>
      <c r="C14" s="2304"/>
      <c r="D14" s="2304">
        <f>B10</f>
        <v>284</v>
      </c>
      <c r="E14" s="2304">
        <f t="shared" ref="E14:E23" si="0">ROUND(D14*10000/B14,0)</f>
        <v>2186</v>
      </c>
      <c r="F14" s="2304" t="e">
        <f>ROUND(D14*10000/C14,0)</f>
        <v>#DIV/0!</v>
      </c>
      <c r="G14" s="2304"/>
      <c r="H14" s="2304"/>
      <c r="I14" s="2304"/>
      <c r="J14" s="2460"/>
      <c r="K14" s="2460"/>
    </row>
    <row r="15" spans="1:11" ht="15.6">
      <c r="A15" s="2303" t="s">
        <v>649</v>
      </c>
      <c r="B15" s="2305"/>
      <c r="C15" s="2305"/>
      <c r="D15" s="2305"/>
      <c r="E15" s="2304" t="e">
        <f t="shared" si="0"/>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5"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8" t="str">
        <f>项目基本情况!S2</f>
        <v>北京市昌平区沙河镇展思门路29号房地产</v>
      </c>
      <c r="B2" s="3349"/>
      <c r="C2" s="3349"/>
      <c r="D2" s="3349"/>
      <c r="E2" s="3349"/>
      <c r="F2" s="3349"/>
      <c r="G2" s="3349"/>
      <c r="H2" s="3349"/>
      <c r="I2" s="3350"/>
    </row>
    <row r="3" spans="1:12" ht="13.2">
      <c r="A3" s="3352" t="s">
        <v>1264</v>
      </c>
      <c r="B3" s="3353"/>
      <c r="C3" s="3353"/>
      <c r="D3" s="3353"/>
      <c r="E3" s="3353"/>
      <c r="F3" s="3353"/>
      <c r="G3" s="3353"/>
      <c r="H3" s="3353"/>
      <c r="I3" s="3353"/>
    </row>
    <row r="4" spans="1:12" ht="14.4">
      <c r="A4" s="1624" t="s">
        <v>1265</v>
      </c>
      <c r="B4" s="1625" t="s">
        <v>1266</v>
      </c>
      <c r="C4" s="1626"/>
      <c r="D4" s="1626"/>
      <c r="E4" s="3357" t="s">
        <v>1267</v>
      </c>
      <c r="F4" s="3358"/>
      <c r="G4" s="3358"/>
      <c r="H4" s="3358"/>
      <c r="I4" s="335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96" t="s">
        <v>1268</v>
      </c>
      <c r="B5" s="3351">
        <v>25</v>
      </c>
      <c r="C5" s="3354"/>
      <c r="D5" s="3342"/>
      <c r="E5" s="123" t="s">
        <v>1269</v>
      </c>
      <c r="F5" s="1627"/>
      <c r="G5" s="1627"/>
      <c r="H5" s="1627"/>
      <c r="I5" s="1281"/>
    </row>
    <row r="6" spans="1:12" ht="13.2">
      <c r="A6" s="3296"/>
      <c r="B6" s="3351"/>
      <c r="C6" s="3356"/>
      <c r="D6" s="3342"/>
      <c r="E6" s="123" t="s">
        <v>1270</v>
      </c>
      <c r="F6" s="1627"/>
      <c r="G6" s="1627"/>
      <c r="H6" s="1627"/>
      <c r="I6" s="1281"/>
    </row>
    <row r="7" spans="1:12" ht="13.2">
      <c r="A7" s="3296"/>
      <c r="B7" s="3351"/>
      <c r="C7" s="3355"/>
      <c r="D7" s="3342"/>
      <c r="E7" s="123" t="s">
        <v>1271</v>
      </c>
      <c r="F7" s="1627"/>
      <c r="G7" s="1627"/>
      <c r="H7" s="1627"/>
      <c r="I7" s="1281"/>
    </row>
    <row r="8" spans="1:12" ht="13.2">
      <c r="A8" s="3296" t="s">
        <v>1272</v>
      </c>
      <c r="B8" s="3351">
        <v>15</v>
      </c>
      <c r="C8" s="3354"/>
      <c r="D8" s="3342"/>
      <c r="E8" s="123" t="s">
        <v>1273</v>
      </c>
      <c r="F8" s="1627"/>
      <c r="G8" s="1627"/>
      <c r="H8" s="1627"/>
      <c r="I8" s="1281"/>
    </row>
    <row r="9" spans="1:12" ht="13.2">
      <c r="A9" s="3296"/>
      <c r="B9" s="3351"/>
      <c r="C9" s="3355"/>
      <c r="D9" s="3342"/>
      <c r="E9" s="123" t="s">
        <v>1274</v>
      </c>
      <c r="F9" s="1627"/>
      <c r="G9" s="1627"/>
      <c r="H9" s="1627"/>
      <c r="I9" s="1281"/>
    </row>
    <row r="10" spans="1:12" ht="13.2">
      <c r="A10" s="3296" t="s">
        <v>1275</v>
      </c>
      <c r="B10" s="3351">
        <v>15</v>
      </c>
      <c r="C10" s="3354"/>
      <c r="D10" s="3342"/>
      <c r="E10" s="123" t="s">
        <v>1276</v>
      </c>
      <c r="F10" s="1627"/>
      <c r="G10" s="1627"/>
      <c r="H10" s="1627"/>
      <c r="I10" s="1281"/>
    </row>
    <row r="11" spans="1:12" ht="13.2">
      <c r="A11" s="3296"/>
      <c r="B11" s="3351"/>
      <c r="C11" s="3355"/>
      <c r="D11" s="3342"/>
      <c r="E11" s="123" t="s">
        <v>1277</v>
      </c>
      <c r="F11" s="1627"/>
      <c r="G11" s="1627"/>
      <c r="H11" s="1627"/>
      <c r="I11" s="1281"/>
    </row>
    <row r="12" spans="1:12" ht="13.2">
      <c r="A12" s="3296" t="s">
        <v>1278</v>
      </c>
      <c r="B12" s="3351">
        <v>15</v>
      </c>
      <c r="C12" s="3354"/>
      <c r="D12" s="3342"/>
      <c r="E12" s="123" t="s">
        <v>1279</v>
      </c>
      <c r="F12" s="1627"/>
      <c r="G12" s="1627"/>
      <c r="H12" s="1627"/>
      <c r="I12" s="1281"/>
    </row>
    <row r="13" spans="1:12" ht="13.2">
      <c r="A13" s="3296"/>
      <c r="B13" s="3351"/>
      <c r="C13" s="3355"/>
      <c r="D13" s="3342"/>
      <c r="E13" s="123" t="s">
        <v>1280</v>
      </c>
      <c r="F13" s="1627"/>
      <c r="G13" s="1627"/>
      <c r="H13" s="1627"/>
      <c r="I13" s="1281"/>
    </row>
    <row r="14" spans="1:12" ht="13.2">
      <c r="A14" s="3296" t="s">
        <v>1281</v>
      </c>
      <c r="B14" s="3351">
        <v>30</v>
      </c>
      <c r="C14" s="3354"/>
      <c r="D14" s="3342"/>
      <c r="E14" s="123" t="s">
        <v>1282</v>
      </c>
      <c r="F14" s="1627"/>
      <c r="G14" s="1627"/>
      <c r="H14" s="1627"/>
      <c r="I14" s="1281"/>
    </row>
    <row r="15" spans="1:12" ht="13.2">
      <c r="A15" s="3296"/>
      <c r="B15" s="3351"/>
      <c r="C15" s="3356"/>
      <c r="D15" s="3342"/>
      <c r="E15" s="123" t="s">
        <v>1283</v>
      </c>
      <c r="F15" s="1627"/>
      <c r="G15" s="1627"/>
      <c r="H15" s="1627"/>
      <c r="I15" s="1281"/>
    </row>
    <row r="16" spans="1:12" ht="13.2">
      <c r="A16" s="3296"/>
      <c r="B16" s="3351"/>
      <c r="C16" s="3355"/>
      <c r="D16" s="3342"/>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73" t="s">
        <v>2131</v>
      </c>
      <c r="F18" s="3374"/>
      <c r="G18" s="3374"/>
      <c r="H18" s="3374"/>
      <c r="I18" s="3374"/>
      <c r="K18" s="294" t="s">
        <v>1289</v>
      </c>
      <c r="L18" s="294">
        <f>IF(C1="",'数据-汇总表'!E3,SUMIF(项目类型,C1,'数据-汇总表'!E17:E26)+SUMIF(项目类型,C1,'数据-汇总表'!I17:I26))</f>
        <v>1298.9000000000001</v>
      </c>
      <c r="M18" s="294">
        <f>IF(C1="",'数据-汇总表'!E3,SUMIF(项目类型,C1,'数据-汇总表'!E17:E26))</f>
        <v>1298.9000000000001</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66" t="s">
        <v>1299</v>
      </c>
      <c r="B24" s="1631" t="s">
        <v>1291</v>
      </c>
      <c r="C24" s="128">
        <f>IF(B30=0,0,D30)</f>
        <v>0</v>
      </c>
      <c r="D24" s="1637"/>
      <c r="E24" s="121"/>
      <c r="F24" s="121"/>
      <c r="G24" s="121"/>
      <c r="H24" s="121"/>
      <c r="I24" s="121"/>
    </row>
    <row r="25" spans="1:36" ht="14.4">
      <c r="A25" s="33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43" t="s">
        <v>1312</v>
      </c>
      <c r="B36" s="1652" t="s">
        <v>1313</v>
      </c>
      <c r="C36" s="137"/>
      <c r="D36" s="1653"/>
      <c r="E36" s="1567"/>
      <c r="F36" s="1654"/>
      <c r="G36" s="121"/>
      <c r="H36" s="121"/>
      <c r="I36" s="121"/>
    </row>
    <row r="37" spans="1:15" ht="15" thickBot="1">
      <c r="A37" s="3344"/>
      <c r="B37" s="1555" t="s">
        <v>1314</v>
      </c>
      <c r="C37" s="139"/>
      <c r="D37" s="1071"/>
      <c r="E37" s="1071"/>
      <c r="F37" s="1654"/>
      <c r="G37" s="121"/>
      <c r="H37" s="121"/>
      <c r="I37" s="121"/>
    </row>
    <row r="38" spans="1:15" ht="15" thickBot="1">
      <c r="A38" s="334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63" t="s">
        <v>1326</v>
      </c>
      <c r="B45" s="3364"/>
      <c r="C45" s="3365"/>
      <c r="D45" s="147" t="e">
        <f ca="1">ROUND(H101*F45,0)</f>
        <v>#REF!</v>
      </c>
      <c r="E45" s="148" t="s">
        <v>1327</v>
      </c>
      <c r="F45" s="149">
        <v>1</v>
      </c>
      <c r="G45" s="150" t="s">
        <v>1328</v>
      </c>
      <c r="H45" s="121"/>
      <c r="I45" s="121"/>
      <c r="J45" s="3283" t="s">
        <v>1329</v>
      </c>
      <c r="K45" s="3283"/>
      <c r="L45" s="3283"/>
      <c r="M45" s="3283"/>
      <c r="N45" s="3283"/>
      <c r="O45" s="3283"/>
    </row>
    <row r="46" spans="1:15" ht="14.25" customHeight="1">
      <c r="A46" s="3360" t="s">
        <v>1330</v>
      </c>
      <c r="B46" s="3361"/>
      <c r="C46" s="3361"/>
      <c r="D46" s="3361"/>
      <c r="E46" s="3361"/>
      <c r="F46" s="3361"/>
      <c r="G46" s="3362"/>
      <c r="H46" s="1668"/>
      <c r="I46" s="151"/>
      <c r="J46" s="2308">
        <v>1</v>
      </c>
      <c r="K46" s="3284" t="s">
        <v>1331</v>
      </c>
      <c r="L46" s="3284"/>
      <c r="M46" s="3285"/>
      <c r="N46" s="3285"/>
      <c r="O46" s="3285"/>
    </row>
    <row r="47" spans="1:15" ht="12" customHeight="1">
      <c r="A47" s="152" t="s">
        <v>1332</v>
      </c>
      <c r="B47" s="153"/>
      <c r="C47" s="154"/>
      <c r="D47" s="1024" t="s">
        <v>1333</v>
      </c>
      <c r="E47" s="294" t="s">
        <v>1334</v>
      </c>
      <c r="F47" s="155" t="s">
        <v>1335</v>
      </c>
      <c r="G47" s="2331" t="s">
        <v>1336</v>
      </c>
      <c r="H47" s="2332"/>
      <c r="I47" s="151"/>
      <c r="J47" s="2308">
        <v>2</v>
      </c>
      <c r="K47" s="3284" t="s">
        <v>1337</v>
      </c>
      <c r="L47" s="3284"/>
      <c r="M47" s="3286">
        <f>'数据-取费表'!B2</f>
        <v>45624</v>
      </c>
      <c r="N47" s="3286"/>
      <c r="O47" s="3286"/>
    </row>
    <row r="48" spans="1:15" ht="26.4">
      <c r="A48" s="3346" t="s">
        <v>1338</v>
      </c>
      <c r="B48" s="3347"/>
      <c r="C48" s="3347"/>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84" t="s">
        <v>1340</v>
      </c>
      <c r="L48" s="3284"/>
      <c r="M48" s="3287" t="e">
        <f ca="1">H101</f>
        <v>#REF!</v>
      </c>
      <c r="N48" s="3287"/>
      <c r="O48" s="3287"/>
    </row>
    <row r="49" spans="1:35" ht="25.5" customHeight="1">
      <c r="A49" s="2152" t="s">
        <v>1341</v>
      </c>
      <c r="B49" s="3332" t="s">
        <v>1342</v>
      </c>
      <c r="C49" s="3332"/>
      <c r="D49" s="1478">
        <v>0</v>
      </c>
      <c r="E49" s="316" t="s">
        <v>1343</v>
      </c>
      <c r="F49" s="2233" t="s">
        <v>28</v>
      </c>
      <c r="G49" s="3315"/>
      <c r="H49" s="2134" t="s">
        <v>2134</v>
      </c>
      <c r="I49" s="2135"/>
      <c r="J49" s="2308">
        <v>4</v>
      </c>
      <c r="K49" s="3284" t="str">
        <f>IF(项目基本情况!E8="房地产抵押价值","房地产抵押价值","抵押担保权已注销时的房地产抵押价值")</f>
        <v>抵押担保权已注销时的房地产抵押价值</v>
      </c>
      <c r="L49" s="3284"/>
      <c r="M49" s="3287" t="str">
        <f>IF(项目基本情况!E8="房地产抵押价值",H107,H109)</f>
        <v>——</v>
      </c>
      <c r="N49" s="3287"/>
      <c r="O49" s="3287"/>
    </row>
    <row r="50" spans="1:35" ht="25.5" customHeight="1">
      <c r="A50" s="2336"/>
      <c r="B50" s="3332" t="s">
        <v>1344</v>
      </c>
      <c r="C50" s="3332"/>
      <c r="D50" s="2189"/>
      <c r="E50" s="323"/>
      <c r="F50" s="2233"/>
      <c r="G50" s="3316"/>
      <c r="H50" s="2136" t="s">
        <v>2135</v>
      </c>
      <c r="I50" s="2135"/>
      <c r="J50" s="3283" t="s">
        <v>1345</v>
      </c>
      <c r="K50" s="3283"/>
      <c r="L50" s="3283"/>
      <c r="M50" s="3283"/>
      <c r="N50" s="3283"/>
      <c r="O50" s="3283"/>
    </row>
    <row r="51" spans="1:35" ht="20.399999999999999" customHeight="1">
      <c r="A51" s="2337"/>
      <c r="B51" s="3332" t="s">
        <v>1346</v>
      </c>
      <c r="C51" s="3332"/>
      <c r="D51" s="1024"/>
      <c r="E51" s="319"/>
      <c r="F51" s="2233"/>
      <c r="G51" s="3317"/>
      <c r="H51" s="2136" t="s">
        <v>2136</v>
      </c>
      <c r="I51" s="2135"/>
      <c r="J51" s="2309" t="s">
        <v>1347</v>
      </c>
      <c r="K51" s="3284" t="s">
        <v>1348</v>
      </c>
      <c r="L51" s="3284"/>
      <c r="M51" s="2309" t="s">
        <v>1349</v>
      </c>
      <c r="N51" s="2309" t="s">
        <v>1350</v>
      </c>
      <c r="O51" s="2309" t="s">
        <v>1351</v>
      </c>
    </row>
    <row r="52" spans="1:35" ht="24" customHeight="1">
      <c r="A52" s="2153" t="s">
        <v>1352</v>
      </c>
      <c r="B52" s="3332" t="s">
        <v>1353</v>
      </c>
      <c r="C52" s="3332"/>
      <c r="D52" s="1024" t="e">
        <f ca="1">ROUND(D45*'数据-取费表'!B41/(1+'数据-取费表'!C42),0)</f>
        <v>#REF!</v>
      </c>
      <c r="E52" s="1256" t="s">
        <v>1354</v>
      </c>
      <c r="F52" s="2338">
        <f>'数据-取费表'!B41</f>
        <v>5.5000000000000007E-2</v>
      </c>
      <c r="G52" s="2339"/>
      <c r="H52" s="2329"/>
      <c r="I52" s="1669"/>
      <c r="J52" s="2308">
        <v>1</v>
      </c>
      <c r="K52" s="3309" t="s">
        <v>1355</v>
      </c>
      <c r="L52" s="3309"/>
      <c r="M52" s="2310" t="b">
        <f>D48</f>
        <v>0</v>
      </c>
      <c r="N52" s="2308" t="str">
        <f>E48</f>
        <v>销售额×税（费）率</v>
      </c>
      <c r="O52" s="2311">
        <f>F48</f>
        <v>5.5000000000000007E-2</v>
      </c>
    </row>
    <row r="53" spans="1:35" ht="12" customHeight="1">
      <c r="A53" s="2153" t="s">
        <v>1356</v>
      </c>
      <c r="B53" s="3333" t="s">
        <v>2287</v>
      </c>
      <c r="C53" s="3334"/>
      <c r="D53" s="1024" t="e">
        <f ca="1">ROUND(D45*'数据-取费表'!B41/(1+'数据-取费表'!C42),0)</f>
        <v>#REF!</v>
      </c>
      <c r="E53" s="1256" t="s">
        <v>1354</v>
      </c>
      <c r="F53" s="2338">
        <f>'数据-取费表'!B41</f>
        <v>5.5000000000000007E-2</v>
      </c>
      <c r="G53" s="2339"/>
      <c r="H53" s="2329"/>
      <c r="I53" s="1669"/>
      <c r="J53" s="2308">
        <v>2</v>
      </c>
      <c r="K53" s="3309" t="s">
        <v>1357</v>
      </c>
      <c r="L53" s="3309"/>
      <c r="M53" s="2310" t="e">
        <f t="shared" ref="M53:O54" ca="1" si="0">D55</f>
        <v>#REF!</v>
      </c>
      <c r="N53" s="2308" t="str">
        <f t="shared" si="0"/>
        <v>销售额×税（费）率</v>
      </c>
      <c r="O53" s="2311" t="str">
        <f t="shared" si="0"/>
        <v>免征</v>
      </c>
    </row>
    <row r="54" spans="1:35" ht="12" customHeight="1">
      <c r="A54" s="2153" t="s">
        <v>1358</v>
      </c>
      <c r="B54" s="3333" t="s">
        <v>2288</v>
      </c>
      <c r="C54" s="3334"/>
      <c r="D54" s="1024" t="e">
        <f ca="1">C68</f>
        <v>#REF!</v>
      </c>
      <c r="E54" s="319" t="s">
        <v>1359</v>
      </c>
      <c r="F54" s="2338">
        <f>'数据-取费表'!B41</f>
        <v>5.5000000000000007E-2</v>
      </c>
      <c r="G54" s="2339"/>
      <c r="H54" s="2340"/>
      <c r="I54" s="1669"/>
      <c r="J54" s="2308">
        <v>3</v>
      </c>
      <c r="K54" s="3309" t="s">
        <v>1360</v>
      </c>
      <c r="L54" s="3309"/>
      <c r="M54" s="2310" t="e">
        <f t="shared" ca="1" si="0"/>
        <v>#REF!</v>
      </c>
      <c r="N54" s="2308" t="str">
        <f t="shared" si="0"/>
        <v>增值额×税（费）率</v>
      </c>
      <c r="O54" s="2312" t="str">
        <f t="shared" si="0"/>
        <v>免征</v>
      </c>
    </row>
    <row r="55" spans="1:35" ht="24" customHeight="1">
      <c r="A55" s="3369" t="s">
        <v>1361</v>
      </c>
      <c r="B55" s="3347"/>
      <c r="C55" s="3347"/>
      <c r="D55" s="12" t="e">
        <f ca="1">IF(H55="个人住宅",0,ROUND(D45*I55,0))</f>
        <v>#REF!</v>
      </c>
      <c r="E55" s="1256" t="s">
        <v>1362</v>
      </c>
      <c r="F55" s="2338" t="str">
        <f>IF(H55="正常",I55,"免征")</f>
        <v>免征</v>
      </c>
      <c r="G55" s="2339"/>
      <c r="H55" s="2335"/>
      <c r="I55" s="157">
        <f>'数据-取费表'!B49</f>
        <v>5.0000000000000001E-4</v>
      </c>
      <c r="J55" s="2308">
        <f>IF(H59="非个人房产","",4)</f>
        <v>4</v>
      </c>
      <c r="K55" s="3309" t="str">
        <f>IF(H59="非个人房产","——","个人所得税")</f>
        <v>个人所得税</v>
      </c>
      <c r="L55" s="3309"/>
      <c r="M55" s="2313" t="e">
        <f ca="1">D59</f>
        <v>#REF!</v>
      </c>
      <c r="N55" s="1883" t="str">
        <f>E59</f>
        <v>差额计税</v>
      </c>
      <c r="O55" s="2314">
        <f>F59</f>
        <v>0.01</v>
      </c>
    </row>
    <row r="56" spans="1:35" ht="25.2">
      <c r="A56" s="3369" t="s">
        <v>1363</v>
      </c>
      <c r="B56" s="3347"/>
      <c r="C56" s="3347"/>
      <c r="D56" s="12" t="e">
        <f ca="1">IF(H56="个人住宅",D57,D58)</f>
        <v>#REF!</v>
      </c>
      <c r="E56" s="1256" t="s">
        <v>1364</v>
      </c>
      <c r="F56" s="2338" t="str">
        <f>IF(H56="正常",F58,"免征")</f>
        <v>免征</v>
      </c>
      <c r="G56" s="2341" t="s">
        <v>1365</v>
      </c>
      <c r="H56" s="2342"/>
      <c r="I56" s="1670"/>
      <c r="J56" s="2308" t="str">
        <f>IF(项目基本情况!K6="上海银行",IF(J55="",4,J55+1),"")</f>
        <v/>
      </c>
      <c r="K56" s="3290" t="str">
        <f>IF(项目基本情况!K6="上海银行","其他处置费用","")</f>
        <v/>
      </c>
      <c r="L56" s="3291"/>
      <c r="M56" s="2310" t="str">
        <f>IF(项目基本情况!K6="上海银行",M69,"")</f>
        <v/>
      </c>
      <c r="N56" s="3290" t="str">
        <f>IF(项目基本情况!K6="上海银行","包含处置中涉及的律师、诉讼、拍卖、评估等费用","")</f>
        <v/>
      </c>
      <c r="O56" s="3293"/>
    </row>
    <row r="57" spans="1:35" ht="13.2">
      <c r="A57" s="2153" t="s">
        <v>1341</v>
      </c>
      <c r="B57" s="3333" t="s">
        <v>1366</v>
      </c>
      <c r="C57" s="3334"/>
      <c r="D57" s="1478">
        <v>0</v>
      </c>
      <c r="E57" s="316" t="s">
        <v>1343</v>
      </c>
      <c r="F57" s="294"/>
      <c r="G57" s="2339"/>
      <c r="H57" s="2343"/>
      <c r="I57" s="1670"/>
      <c r="J57" s="3309">
        <f>IF(AND(J55="",J56=""),4,IF(项目基本情况!K6="上海银行",结果表!J56+1,结果表!J55+1))</f>
        <v>5</v>
      </c>
      <c r="K57" s="3309" t="s">
        <v>1367</v>
      </c>
      <c r="L57" s="2315" t="s">
        <v>1368</v>
      </c>
      <c r="M57" s="2316"/>
      <c r="N57" s="2317">
        <f ca="1">SUMIF(M52:M56,"&lt;9e307")</f>
        <v>0</v>
      </c>
      <c r="O57" s="2318"/>
      <c r="P57" s="2462" t="e">
        <f ca="1">N57/M49</f>
        <v>#VALUE!</v>
      </c>
    </row>
    <row r="58" spans="1:35" ht="25.2">
      <c r="A58" s="2153" t="s">
        <v>1352</v>
      </c>
      <c r="B58" s="3333" t="s">
        <v>1369</v>
      </c>
      <c r="C58" s="3332"/>
      <c r="D58" s="12" t="e">
        <f ca="1">IF(H58="转让取得",C81,C97)</f>
        <v>#REF!</v>
      </c>
      <c r="E58" s="1256" t="s">
        <v>1364</v>
      </c>
      <c r="F58" s="294" t="s">
        <v>28</v>
      </c>
      <c r="G58" s="2339"/>
      <c r="H58" s="2342"/>
      <c r="I58" s="1670"/>
      <c r="J58" s="3309"/>
      <c r="K58" s="3309"/>
      <c r="L58" s="2315" t="s">
        <v>1370</v>
      </c>
      <c r="M58" s="2319"/>
      <c r="N58" s="2320" t="str">
        <f ca="1">NUMBERSTRING(INT(N57*10000),2)&amp;"元整"</f>
        <v>零元整</v>
      </c>
      <c r="O58" s="2321"/>
    </row>
    <row r="59" spans="1:35" ht="24.6" thickBot="1">
      <c r="A59" s="3313" t="s">
        <v>1371</v>
      </c>
      <c r="B59" s="3314"/>
      <c r="C59" s="3314"/>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11">
        <f>J57+1</f>
        <v>6</v>
      </c>
      <c r="K59" s="3309" t="s">
        <v>1372</v>
      </c>
      <c r="L59" s="2308" t="s">
        <v>1368</v>
      </c>
      <c r="M59" s="2322"/>
      <c r="N59" s="2323" t="e">
        <f ca="1">M49-N57</f>
        <v>#VALUE!</v>
      </c>
      <c r="O59" s="2324"/>
    </row>
    <row r="60" spans="1:35" ht="12" customHeight="1">
      <c r="A60" s="1671"/>
      <c r="B60" s="646"/>
      <c r="C60" s="646"/>
      <c r="D60" s="646"/>
      <c r="E60" s="1466"/>
      <c r="F60" s="1670"/>
      <c r="G60" s="1670"/>
      <c r="H60" s="151"/>
      <c r="I60" s="121"/>
      <c r="J60" s="3312"/>
      <c r="K60" s="3309"/>
      <c r="L60" s="2315" t="s">
        <v>1370</v>
      </c>
      <c r="M60" s="2319"/>
      <c r="N60" s="2320" t="e">
        <f ca="1">NUMBERSTRING(INT(N59*10000),2)&amp;"元整"</f>
        <v>#VALUE!</v>
      </c>
      <c r="O60" s="2321"/>
    </row>
    <row r="61" spans="1:35" ht="13.8" thickBot="1">
      <c r="A61" s="3368" t="s">
        <v>1373</v>
      </c>
      <c r="B61" s="3368"/>
      <c r="C61" s="3368"/>
      <c r="D61" s="3368"/>
      <c r="E61" s="3368"/>
      <c r="F61" s="1670"/>
      <c r="G61" s="1670"/>
      <c r="H61" s="151"/>
      <c r="I61" s="121"/>
      <c r="J61" s="2308">
        <f>J59+1</f>
        <v>7</v>
      </c>
      <c r="K61" s="3309" t="s">
        <v>1374</v>
      </c>
      <c r="L61" s="3309"/>
      <c r="M61" s="2325"/>
      <c r="N61" s="2326" t="e">
        <f ca="1">ROUND(N59*10000/'数据-汇总表'!E3,0)</f>
        <v>#VALUE!</v>
      </c>
      <c r="O61" s="2327"/>
    </row>
    <row r="62" spans="1:35" ht="13.2">
      <c r="A62" s="3328" t="s">
        <v>1375</v>
      </c>
      <c r="B62" s="3329"/>
      <c r="C62" s="1865"/>
      <c r="D62" s="1865" t="s">
        <v>1376</v>
      </c>
      <c r="E62" s="158" t="s">
        <v>1377</v>
      </c>
      <c r="F62" s="1670"/>
      <c r="G62" s="1670"/>
      <c r="H62" s="151"/>
      <c r="I62" s="121"/>
    </row>
    <row r="63" spans="1:35" ht="13.2">
      <c r="A63" s="165" t="s">
        <v>330</v>
      </c>
      <c r="B63" s="159" t="s">
        <v>1378</v>
      </c>
      <c r="C63" s="2348" t="e">
        <f ca="1">ROUND((C64+C65)/(1+'数据-取费表'!C42),0)</f>
        <v>#REF!</v>
      </c>
      <c r="D63" s="159"/>
      <c r="E63" s="160"/>
      <c r="F63" s="1670"/>
      <c r="G63" s="1670"/>
      <c r="H63" s="151"/>
      <c r="I63" s="121"/>
      <c r="J63" s="3292"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29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92"/>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92"/>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29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5.5000000000000007E-2</v>
      </c>
      <c r="E68" s="170"/>
      <c r="F68" s="1670"/>
      <c r="G68" s="1670"/>
      <c r="H68" s="151"/>
      <c r="I68" s="121"/>
      <c r="J68" s="3292"/>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92"/>
      <c r="K69" s="1245" t="s">
        <v>1393</v>
      </c>
      <c r="L69" s="1245"/>
      <c r="M69" s="294" t="e">
        <f>ROUND(SUM(M63:M68),0)</f>
        <v>#VALUE!</v>
      </c>
      <c r="N69" s="2330" t="e">
        <f>M69/M49</f>
        <v>#VALUE!</v>
      </c>
      <c r="Z69" s="1623"/>
      <c r="AI69" s="1561"/>
    </row>
    <row r="70" spans="1:35" s="642" customFormat="1" ht="14.4" thickBot="1">
      <c r="A70" s="3336" t="s">
        <v>1394</v>
      </c>
      <c r="B70" s="3337"/>
      <c r="C70" s="3337"/>
      <c r="D70" s="3337"/>
      <c r="E70" s="3337"/>
      <c r="F70" s="3337"/>
      <c r="G70" s="3337"/>
      <c r="H70" s="333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8" t="s">
        <v>1375</v>
      </c>
      <c r="B71" s="332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33" t="s">
        <v>1402</v>
      </c>
      <c r="F76" s="3332"/>
      <c r="G76" s="3332"/>
      <c r="H76" s="333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5.000000000000001E-3</v>
      </c>
      <c r="E78" s="3325" t="s">
        <v>1406</v>
      </c>
      <c r="F78" s="3326"/>
      <c r="G78" s="3326"/>
      <c r="H78" s="332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6" t="s">
        <v>1410</v>
      </c>
      <c r="B83" s="3337"/>
      <c r="C83" s="3337"/>
      <c r="D83" s="3337"/>
      <c r="E83" s="3337"/>
      <c r="F83" s="3337"/>
      <c r="G83" s="3337"/>
      <c r="H83" s="333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8" t="s">
        <v>1375</v>
      </c>
      <c r="B84" s="332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94" t="s">
        <v>2129</v>
      </c>
      <c r="H90" s="329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25" t="s">
        <v>1419</v>
      </c>
      <c r="F91" s="3326"/>
      <c r="G91" s="332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25" t="s">
        <v>1422</v>
      </c>
      <c r="F92" s="3326"/>
      <c r="G92" s="3326"/>
      <c r="H92" s="332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5.000000000000001E-3</v>
      </c>
      <c r="E93" s="3325" t="s">
        <v>1406</v>
      </c>
      <c r="F93" s="3326"/>
      <c r="G93" s="3326"/>
      <c r="H93" s="332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70" t="s">
        <v>1426</v>
      </c>
      <c r="F94" s="3371"/>
      <c r="G94" s="3371"/>
      <c r="H94" s="33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5" t="s">
        <v>1428</v>
      </c>
      <c r="B100" s="3276"/>
      <c r="C100" s="3276"/>
      <c r="D100" s="3310"/>
      <c r="E100" s="3276" t="s">
        <v>1429</v>
      </c>
      <c r="F100" s="3276"/>
      <c r="G100" s="3276"/>
      <c r="H100" s="3310"/>
      <c r="I100" s="121"/>
    </row>
    <row r="101" spans="1:35" ht="18.75" customHeight="1">
      <c r="A101" s="3318" t="s">
        <v>1430</v>
      </c>
      <c r="B101" s="3319"/>
      <c r="C101" s="2369">
        <f>C4</f>
        <v>0</v>
      </c>
      <c r="D101" s="2370">
        <f>D4</f>
        <v>0</v>
      </c>
      <c r="E101" s="3288" t="s">
        <v>1431</v>
      </c>
      <c r="F101" s="3289"/>
      <c r="G101" s="1687" t="s">
        <v>1432</v>
      </c>
      <c r="H101" s="2379" t="e">
        <f ca="1">H118</f>
        <v>#REF!</v>
      </c>
      <c r="I101" s="121"/>
    </row>
    <row r="102" spans="1:35" ht="18.75" customHeight="1">
      <c r="A102" s="3320" t="s">
        <v>1433</v>
      </c>
      <c r="B102" s="2368" t="s">
        <v>1432</v>
      </c>
      <c r="C102" s="2369" t="e">
        <f ca="1">IF(D32="楼面单价",ROUND(C19,0),C19)</f>
        <v>#REF!</v>
      </c>
      <c r="D102" s="2370" t="e">
        <f ca="1">IF(D32="楼面单价",ROUND(D19,0),D19)</f>
        <v>#REF!</v>
      </c>
      <c r="E102" s="3288"/>
      <c r="F102" s="3289"/>
      <c r="G102" s="1687" t="s">
        <v>1434</v>
      </c>
      <c r="H102" s="2339" t="e">
        <f ca="1">I118</f>
        <v>#REF!</v>
      </c>
      <c r="I102" s="121"/>
    </row>
    <row r="103" spans="1:35" ht="42.75" customHeight="1">
      <c r="A103" s="3320"/>
      <c r="B103" s="2368" t="s">
        <v>1434</v>
      </c>
      <c r="C103" s="2371" t="e">
        <f ca="1">C20</f>
        <v>#REF!</v>
      </c>
      <c r="D103" s="2372" t="e">
        <f ca="1">D20</f>
        <v>#REF!</v>
      </c>
      <c r="E103" s="3281" t="s">
        <v>1435</v>
      </c>
      <c r="F103" s="3282"/>
      <c r="G103" s="1688" t="s">
        <v>1436</v>
      </c>
      <c r="H103" s="2379">
        <f>IF(D36="正常操作",H104+H105+H106,H105+H106)</f>
        <v>0</v>
      </c>
      <c r="I103" s="121"/>
    </row>
    <row r="104" spans="1:35" ht="18.75" customHeight="1">
      <c r="A104" s="3320"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30"/>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1" t="str">
        <f>IF(项目基本情况!E8="已注销","——","3.房地产抵押价值")</f>
        <v>3.房地产抵押价值</v>
      </c>
      <c r="F107" s="3289"/>
      <c r="G107" s="1687" t="s">
        <v>1432</v>
      </c>
      <c r="H107" s="2379" t="e">
        <f ca="1">IF(E107="——","——",H101-H103)</f>
        <v>#REF!</v>
      </c>
      <c r="I107" s="121"/>
    </row>
    <row r="108" spans="1:35" ht="18.75" customHeight="1">
      <c r="A108" s="121"/>
      <c r="B108" s="121"/>
      <c r="C108" s="121"/>
      <c r="D108" s="121"/>
      <c r="E108" s="3321"/>
      <c r="F108" s="3289"/>
      <c r="G108" s="1687" t="s">
        <v>1434</v>
      </c>
      <c r="H108" s="2339">
        <f ca="1">IF(H107=H101,H102,ROUND(H107*10000/'数据-汇总表'!E3,0))</f>
        <v>0</v>
      </c>
      <c r="I108" s="121"/>
    </row>
    <row r="109" spans="1:35" ht="18.75" customHeight="1">
      <c r="A109" s="121"/>
      <c r="B109" s="121"/>
      <c r="C109" s="121"/>
      <c r="D109" s="121"/>
      <c r="E109" s="3321" t="str">
        <f>IF(项目基本情况!E8="已注销及未注销","4.抵押担保权已注销时的房地产抵押价值",IF(项目基本情况!E8="已注销","3.抵押担保权已注销时的房地产抵押价值","——"))</f>
        <v>——</v>
      </c>
      <c r="F109" s="3289"/>
      <c r="G109" s="1687" t="s">
        <v>1432</v>
      </c>
      <c r="H109" s="2382" t="str">
        <f>IF(E109="——","——",H101-H105-H106)</f>
        <v>——</v>
      </c>
      <c r="I109" s="121"/>
    </row>
    <row r="110" spans="1:35" ht="18.75" customHeight="1">
      <c r="A110" s="121"/>
      <c r="B110" s="121"/>
      <c r="C110" s="121"/>
      <c r="D110" s="121"/>
      <c r="E110" s="3321"/>
      <c r="F110" s="3289"/>
      <c r="G110" s="1687" t="s">
        <v>1434</v>
      </c>
      <c r="H110" s="2339" t="str">
        <f>IF(H109="——","——",ROUND(H109*10000/'数据-汇总表'!E3,0))</f>
        <v>——</v>
      </c>
      <c r="I110" s="121"/>
    </row>
    <row r="111" spans="1:35" ht="18.75" customHeight="1">
      <c r="A111" s="121"/>
      <c r="B111" s="121"/>
      <c r="C111" s="121"/>
      <c r="D111" s="121"/>
      <c r="E111" s="3322" t="str">
        <f>IF(项目基本情况!E9="抵押净值",IF(OR(项目基本情况!E8="已注销",项目基本情况!E8="房地产抵押价值"),"4.抵押净值","5.抵押净值"),"——")</f>
        <v>——</v>
      </c>
      <c r="F111" s="3308"/>
      <c r="G111" s="1687" t="s">
        <v>1432</v>
      </c>
      <c r="H111" s="2379" t="str">
        <f>IF(E111="——","——",N59)</f>
        <v>——</v>
      </c>
      <c r="I111" s="121"/>
    </row>
    <row r="112" spans="1:35" ht="18.75" customHeight="1" thickBot="1">
      <c r="A112" s="121"/>
      <c r="B112" s="121"/>
      <c r="C112" s="121"/>
      <c r="D112" s="121"/>
      <c r="E112" s="3323"/>
      <c r="F112" s="3324"/>
      <c r="G112" s="1690" t="s">
        <v>1434</v>
      </c>
      <c r="H112" s="2383" t="str">
        <f>IF(E111="——","——",N61)</f>
        <v>——</v>
      </c>
      <c r="I112" s="121"/>
    </row>
    <row r="113" spans="1:27" ht="18.75" customHeight="1">
      <c r="A113" s="121"/>
      <c r="B113" s="121"/>
      <c r="C113" s="121"/>
      <c r="D113" s="121"/>
      <c r="E113" s="3331" t="s">
        <v>1440</v>
      </c>
      <c r="F113" s="3331"/>
      <c r="G113" s="3331"/>
      <c r="H113" s="3331"/>
      <c r="I113" s="121"/>
    </row>
    <row r="114" spans="1:27" ht="3.75" customHeight="1">
      <c r="A114" s="646"/>
      <c r="B114" s="646"/>
      <c r="C114" s="646"/>
      <c r="D114" s="646"/>
      <c r="E114" s="1671"/>
      <c r="F114" s="1671"/>
      <c r="G114" s="1671"/>
      <c r="H114" s="1671"/>
      <c r="I114" s="646"/>
    </row>
    <row r="115" spans="1:27" ht="18.75" customHeight="1">
      <c r="A115" s="3339" t="s">
        <v>1442</v>
      </c>
      <c r="B115" s="3340"/>
      <c r="C115" s="3340"/>
      <c r="D115" s="3340"/>
      <c r="E115" s="3340"/>
      <c r="F115" s="3340"/>
      <c r="G115" s="3340"/>
      <c r="H115" s="3340"/>
      <c r="I115" s="3341"/>
    </row>
    <row r="116" spans="1:27" ht="27" customHeight="1">
      <c r="A116" s="3296" t="s">
        <v>1443</v>
      </c>
      <c r="B116" s="3300" t="s">
        <v>1444</v>
      </c>
      <c r="C116" s="3300" t="s">
        <v>1445</v>
      </c>
      <c r="D116" s="3306" t="s">
        <v>1446</v>
      </c>
      <c r="E116" s="3307"/>
      <c r="F116" s="3338" t="s">
        <v>1447</v>
      </c>
      <c r="G116" s="3338"/>
      <c r="H116" s="3296" t="s">
        <v>1448</v>
      </c>
      <c r="I116" s="3296"/>
    </row>
    <row r="117" spans="1:27" ht="18.75" customHeight="1">
      <c r="A117" s="3296"/>
      <c r="B117" s="3301"/>
      <c r="C117" s="3301"/>
      <c r="D117" s="2150" t="s">
        <v>1449</v>
      </c>
      <c r="E117" s="2150" t="s">
        <v>1450</v>
      </c>
      <c r="F117" s="2150" t="s">
        <v>1449</v>
      </c>
      <c r="G117" s="2150" t="s">
        <v>1451</v>
      </c>
      <c r="H117" s="2150" t="s">
        <v>1449</v>
      </c>
      <c r="I117" s="2150" t="s">
        <v>1451</v>
      </c>
    </row>
    <row r="118" spans="1:27" ht="24.75" customHeight="1">
      <c r="A118" s="2384" t="str">
        <f>项目基本情况!S2</f>
        <v>北京市昌平区沙河镇展思门路29号房地产</v>
      </c>
      <c r="B118" s="2150">
        <f>M18</f>
        <v>1298.9000000000001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96" t="s">
        <v>1452</v>
      </c>
      <c r="B119" s="3296"/>
      <c r="C119" s="3296"/>
      <c r="D119" s="3302" t="e">
        <f ca="1">NUMBERSTRING(INT(D118*10000),2)&amp;"元整"</f>
        <v>#REF!</v>
      </c>
      <c r="E119" s="3303"/>
      <c r="F119" s="3302" t="e">
        <f ca="1">NUMBERSTRING(INT(F118*10000),2)&amp;"元整"</f>
        <v>#REF!</v>
      </c>
      <c r="G119" s="3303"/>
      <c r="H119" s="3302" t="e">
        <f ca="1">NUMBERSTRING(INT(H118*10000),2)&amp;"元整"</f>
        <v>#REF!</v>
      </c>
      <c r="I119" s="3303"/>
    </row>
    <row r="120" spans="1:27" ht="18.75" customHeight="1">
      <c r="A120" s="3297" t="str">
        <f>IF(项目基本情况!B9="房地产市场价值","",MID(E103,3,LEN(E103)-2))</f>
        <v>估价师知悉的法定优先受偿款</v>
      </c>
      <c r="B120" s="3298"/>
      <c r="C120" s="3299"/>
      <c r="D120" s="3297">
        <f>H103</f>
        <v>0</v>
      </c>
      <c r="E120" s="3298"/>
      <c r="F120" s="3298"/>
      <c r="G120" s="3298"/>
      <c r="H120" s="3298"/>
      <c r="I120" s="329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2" t="s">
        <v>1452</v>
      </c>
      <c r="B121" s="3304"/>
      <c r="C121" s="3303"/>
      <c r="D121" s="3302" t="str">
        <f>IF(D120=0,"零元整",NUMBERSTRING(INT(D120*10000),2)&amp;"元整")</f>
        <v>零元整</v>
      </c>
      <c r="E121" s="3304"/>
      <c r="F121" s="3304"/>
      <c r="G121" s="3304"/>
      <c r="H121" s="3304"/>
      <c r="I121" s="3303"/>
      <c r="AA121" s="684"/>
    </row>
    <row r="122" spans="1:27" ht="18.75" customHeight="1">
      <c r="A122" s="3308" t="str">
        <f>IF(项目基本情况!B9="房地产市场价值","",MID(E107,3,LEN(E107)-2))</f>
        <v>房地产抵押价值</v>
      </c>
      <c r="B122" s="3308"/>
      <c r="C122" s="3308"/>
      <c r="D122" s="3297" t="e">
        <f ca="1">H107</f>
        <v>#REF!</v>
      </c>
      <c r="E122" s="3298"/>
      <c r="F122" s="3298"/>
      <c r="G122" s="3298"/>
      <c r="H122" s="3298"/>
      <c r="I122" s="3299"/>
      <c r="AA122" s="684"/>
    </row>
    <row r="123" spans="1:27" ht="18.75" customHeight="1">
      <c r="A123" s="3296" t="s">
        <v>1452</v>
      </c>
      <c r="B123" s="3296"/>
      <c r="C123" s="3296"/>
      <c r="D123" s="3302" t="e">
        <f ca="1">NUMBERSTRING(INT(D122*10000),2)&amp;"元整"</f>
        <v>#REF!</v>
      </c>
      <c r="E123" s="3304"/>
      <c r="F123" s="3304"/>
      <c r="G123" s="3304"/>
      <c r="H123" s="3304"/>
      <c r="I123" s="3303"/>
      <c r="AA123" s="684"/>
    </row>
    <row r="124" spans="1:27" ht="18.75" customHeight="1">
      <c r="A124" s="3308" t="str">
        <f>IF(项目基本情况!B9="房地产市场价值","",MID(E109,3,LEN(E109)-2))</f>
        <v/>
      </c>
      <c r="B124" s="3308"/>
      <c r="C124" s="3308"/>
      <c r="D124" s="3297" t="str">
        <f>H109</f>
        <v>——</v>
      </c>
      <c r="E124" s="3298"/>
      <c r="F124" s="3298"/>
      <c r="G124" s="3298"/>
      <c r="H124" s="3298"/>
      <c r="I124" s="3299"/>
      <c r="AA124" s="684"/>
    </row>
    <row r="125" spans="1:27" ht="18.75" customHeight="1">
      <c r="A125" s="3296" t="s">
        <v>1452</v>
      </c>
      <c r="B125" s="3296"/>
      <c r="C125" s="3296"/>
      <c r="D125" s="3302" t="e">
        <f>NUMBERSTRING(INT(D124*10000),2)&amp;"元整"</f>
        <v>#VALUE!</v>
      </c>
      <c r="E125" s="3304"/>
      <c r="F125" s="3304"/>
      <c r="G125" s="3304"/>
      <c r="H125" s="3304"/>
      <c r="I125" s="3303"/>
      <c r="AA125" s="684"/>
    </row>
    <row r="126" spans="1:27" ht="18.75" customHeight="1">
      <c r="A126" s="3308" t="str">
        <f>IF(项目基本情况!B9="房地产市场价值","",MID(E111,3,LEN(E111)-2))</f>
        <v/>
      </c>
      <c r="B126" s="3308"/>
      <c r="C126" s="3308"/>
      <c r="D126" s="3297" t="str">
        <f>H111</f>
        <v>——</v>
      </c>
      <c r="E126" s="3298"/>
      <c r="F126" s="3298"/>
      <c r="G126" s="3298"/>
      <c r="H126" s="3298"/>
      <c r="I126" s="3299"/>
      <c r="AA126" s="684"/>
    </row>
    <row r="127" spans="1:27" ht="18.75" customHeight="1">
      <c r="A127" s="3296" t="s">
        <v>1452</v>
      </c>
      <c r="B127" s="3296"/>
      <c r="C127" s="3296"/>
      <c r="D127" s="3302" t="e">
        <f>NUMBERSTRING(INT(D126*10000),2)&amp;"元整"</f>
        <v>#VALUE!</v>
      </c>
      <c r="E127" s="3304"/>
      <c r="F127" s="3304"/>
      <c r="G127" s="3304"/>
      <c r="H127" s="3304"/>
      <c r="I127" s="3303"/>
      <c r="AA127" s="684"/>
    </row>
    <row r="128" spans="1:27" ht="21.75" customHeight="1">
      <c r="A128" s="3305" t="s">
        <v>1453</v>
      </c>
      <c r="B128" s="3305"/>
      <c r="C128" s="3305"/>
      <c r="D128" s="3305"/>
      <c r="E128" s="3305"/>
      <c r="F128" s="3305"/>
      <c r="G128" s="3305"/>
      <c r="H128" s="3305"/>
      <c r="I128" s="33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93" t="str">
        <f>项目基本情况!B1</f>
        <v>北京市昌平区沙河镇展思门路29号预评估</v>
      </c>
      <c r="C37" s="3193"/>
      <c r="D37" s="3193"/>
      <c r="E37" s="3193"/>
      <c r="F37" s="3193"/>
      <c r="G37" s="3193"/>
      <c r="H37" s="3193"/>
      <c r="I37" s="319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26</v>
      </c>
      <c r="D10" s="795">
        <f ca="1">IF(B1="",'数据-汇总表'!E6,IF(INDIRECT("'数据-取费表'!c"&amp;$G$1)="住宅",INDIRECT("'数据-取费表'!s"&amp;$G$1),INDIRECT("'数据-取费表'!k"&amp;$G$1)+INDIRECT("'数据-取费表'!s"&amp;$G$1)))</f>
        <v>1298.9000000000001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26</v>
      </c>
      <c r="D19" s="204">
        <f ca="1">D9+D10</f>
        <v>1298.9000000000001</v>
      </c>
      <c r="E19" s="203">
        <f>'数据-取费表'!B31</f>
        <v>200</v>
      </c>
      <c r="F19" s="223"/>
      <c r="G19" s="1714"/>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t="e">
        <f ca="1">C28</f>
        <v>#N/A</v>
      </c>
      <c r="D27" s="227">
        <f ca="1">C29</f>
        <v>2E-3</v>
      </c>
      <c r="E27" s="228" t="s">
        <v>1514</v>
      </c>
      <c r="F27" s="238">
        <f ca="1">IF(B1="",'数据-取费表'!Q16,INDIRECT("'数据-取费表'!q"&amp;$G$1))</f>
        <v>0.1</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390</v>
      </c>
      <c r="D34" s="209"/>
      <c r="E34" s="212"/>
      <c r="F34" s="249">
        <f ca="1">IF('数据-取费表'!B24=0,1,IF(B1="",'数据-取费表'!N16,INDIRECT("'数据-取费表'!n"&amp;$G$1)))</f>
        <v>1</v>
      </c>
      <c r="G34" s="211" t="s">
        <v>1526</v>
      </c>
    </row>
    <row r="35" spans="1:7" ht="13.5" customHeight="1">
      <c r="A35" s="734" t="s">
        <v>351</v>
      </c>
      <c r="B35" s="207" t="s">
        <v>1527</v>
      </c>
      <c r="C35" s="212">
        <f ca="1">ROUND(C34*F35,0)</f>
        <v>12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26</v>
      </c>
      <c r="D37" s="209">
        <f ca="1">D19</f>
        <v>1298.9000000000001</v>
      </c>
      <c r="E37" s="241">
        <f>'数据-取费表'!B35</f>
        <v>200</v>
      </c>
      <c r="F37" s="251"/>
      <c r="G37" s="253" t="s">
        <v>1532</v>
      </c>
    </row>
    <row r="38" spans="1:7" ht="13.5" customHeight="1">
      <c r="A38" s="734" t="s">
        <v>354</v>
      </c>
      <c r="B38" s="207" t="s">
        <v>1533</v>
      </c>
      <c r="C38" s="212">
        <f ca="1">ROUND(C34*F38,0)</f>
        <v>8</v>
      </c>
      <c r="D38" s="212"/>
      <c r="E38" s="212"/>
      <c r="F38" s="251">
        <f>'数据-取费表'!B36</f>
        <v>0.02</v>
      </c>
      <c r="G38" s="211" t="s">
        <v>1528</v>
      </c>
    </row>
    <row r="39" spans="1:7" s="206" customFormat="1" ht="13.5" customHeight="1">
      <c r="A39" s="247" t="s">
        <v>1534</v>
      </c>
      <c r="B39" s="202" t="s">
        <v>1535</v>
      </c>
      <c r="C39" s="224">
        <f ca="1">ROUND(C33*F20,0)</f>
        <v>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7</v>
      </c>
      <c r="D42" s="230"/>
      <c r="E42" s="230"/>
      <c r="F42" s="231"/>
      <c r="G42" s="3375" t="s">
        <v>1544</v>
      </c>
    </row>
    <row r="43" spans="1:7" ht="13.5" customHeight="1">
      <c r="A43" s="734" t="s">
        <v>347</v>
      </c>
      <c r="B43" s="207" t="s">
        <v>1545</v>
      </c>
      <c r="C43" s="230">
        <f ca="1">ROUND(IF('数据-取费表'!B22&lt;=1,C39*F22*'数据-取费表'!B21/2,C39*(POWER((1+F22),'数据-取费表'!B21/2)-1)),0)</f>
        <v>0</v>
      </c>
      <c r="D43" s="230"/>
      <c r="E43" s="230"/>
      <c r="F43" s="231"/>
      <c r="G43" s="3376"/>
    </row>
    <row r="44" spans="1:7" ht="13.5" customHeight="1">
      <c r="A44" s="734" t="s">
        <v>348</v>
      </c>
      <c r="B44" s="207" t="s">
        <v>1546</v>
      </c>
      <c r="C44" s="230">
        <f ca="1">ROUND(IF('数据-取费表'!B22&lt;=1,C40*F22*'数据-取费表'!B21/2,C40*(POWER((1+F22),'数据-取费表'!B21/2)-1)),4)</f>
        <v>2.9999999999999997E-4</v>
      </c>
      <c r="D44" s="230"/>
      <c r="E44" s="230"/>
      <c r="F44" s="231"/>
      <c r="G44" s="3377"/>
    </row>
    <row r="45" spans="1:7" s="206" customFormat="1" ht="13.5" customHeight="1">
      <c r="A45" s="247" t="s">
        <v>1547</v>
      </c>
      <c r="B45" s="236" t="s">
        <v>1513</v>
      </c>
      <c r="C45" s="237">
        <f ca="1">C46</f>
        <v>45</v>
      </c>
      <c r="D45" s="227">
        <f ca="1">C47</f>
        <v>2E-3</v>
      </c>
      <c r="E45" s="228" t="s">
        <v>1539</v>
      </c>
      <c r="F45" s="238">
        <f ca="1">F27</f>
        <v>0.1</v>
      </c>
      <c r="G45" s="239" t="s">
        <v>1548</v>
      </c>
    </row>
    <row r="46" spans="1:7" s="206" customFormat="1" ht="13.5" customHeight="1">
      <c r="A46" s="734" t="s">
        <v>346</v>
      </c>
      <c r="B46" s="240" t="s">
        <v>1549</v>
      </c>
      <c r="C46" s="241">
        <f ca="1">ROUND((C33+C39)*F27,0)</f>
        <v>45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537</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376</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439.30529999999999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3382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259780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259780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259780</v>
      </c>
      <c r="D10" s="795">
        <f ca="1">IF(B1="",'数据-汇总表'!E6,IF(INDIRECT("'数据-取费表'!c"&amp;$G$1)="住宅",INDIRECT("'数据-取费表'!s"&amp;$G$1),INDIRECT("'数据-取费表'!k"&amp;$G$1)+INDIRECT("'数据-取费表'!s"&amp;$G$1)))</f>
        <v>1298.9000000000001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259780</v>
      </c>
      <c r="D19" s="204">
        <f ca="1">D9+D10</f>
        <v>1298.9000000000001</v>
      </c>
      <c r="E19" s="203">
        <f>'数据-取费表'!B31</f>
        <v>200</v>
      </c>
      <c r="F19" s="223"/>
      <c r="G19" s="1714"/>
    </row>
    <row r="20" spans="1:7" s="206" customFormat="1" ht="13.5" customHeight="1">
      <c r="A20" s="247" t="s">
        <v>1574</v>
      </c>
      <c r="B20" s="202" t="s">
        <v>1575</v>
      </c>
      <c r="C20" s="224">
        <f ca="1">ROUND((C5+C19)*F20,0)</f>
        <v>10391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16267</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8053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8053</v>
      </c>
      <c r="D24" s="230"/>
      <c r="E24" s="230"/>
      <c r="F24" s="231"/>
      <c r="G24" s="232" t="s">
        <v>1586</v>
      </c>
    </row>
    <row r="25" spans="1:7" s="206" customFormat="1" ht="24">
      <c r="A25" s="734" t="s">
        <v>1476</v>
      </c>
      <c r="B25" s="207" t="s">
        <v>1587</v>
      </c>
      <c r="C25" s="230">
        <f ca="1">ROUND(IF('数据-取费表'!B22&lt;=1,C20*F22*'数据-取费表'!B22/2,C20*(POWER((1+F22),'数据-取费表'!B22/2)-1)),0)</f>
        <v>161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52995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52995</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647588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4351315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3896700</v>
      </c>
      <c r="D34" s="209"/>
      <c r="E34" s="212"/>
      <c r="F34" s="249"/>
      <c r="G34" s="211"/>
    </row>
    <row r="35" spans="1:7" ht="13.5" customHeight="1">
      <c r="A35" s="734" t="s">
        <v>351</v>
      </c>
      <c r="B35" s="207" t="s">
        <v>1527</v>
      </c>
      <c r="C35" s="212">
        <f ca="1">ROUND(C34*F35,0)</f>
        <v>116901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259780</v>
      </c>
      <c r="D37" s="209">
        <f ca="1">D19</f>
        <v>1298.9000000000001</v>
      </c>
      <c r="E37" s="241">
        <f>'数据-取费表'!B35</f>
        <v>200</v>
      </c>
      <c r="F37" s="251"/>
      <c r="G37" s="253"/>
    </row>
    <row r="38" spans="1:7" ht="13.5" customHeight="1">
      <c r="A38" s="734" t="s">
        <v>354</v>
      </c>
      <c r="B38" s="207" t="s">
        <v>1533</v>
      </c>
      <c r="C38" s="212">
        <f ca="1">ROUND(C34*F38,0)</f>
        <v>77934</v>
      </c>
      <c r="D38" s="212"/>
      <c r="E38" s="212"/>
      <c r="F38" s="251">
        <f>'数据-取费表'!B36</f>
        <v>0.02</v>
      </c>
      <c r="G38" s="211" t="s">
        <v>1528</v>
      </c>
    </row>
    <row r="39" spans="1:7" s="206" customFormat="1" ht="13.5" customHeight="1">
      <c r="A39" s="247" t="s">
        <v>1534</v>
      </c>
      <c r="B39" s="202" t="s">
        <v>1535</v>
      </c>
      <c r="C39" s="224">
        <f ca="1">ROUND(C33*F20,0)</f>
        <v>87026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68794</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67445</v>
      </c>
      <c r="D42" s="230"/>
      <c r="E42" s="230"/>
      <c r="F42" s="231"/>
      <c r="G42" s="3375" t="s">
        <v>1591</v>
      </c>
    </row>
    <row r="43" spans="1:7" ht="13.5" customHeight="1">
      <c r="A43" s="734" t="s">
        <v>347</v>
      </c>
      <c r="B43" s="207" t="s">
        <v>1545</v>
      </c>
      <c r="C43" s="230">
        <f ca="1">ROUND(IF('数据-取费表'!B22&lt;=1,C39*F22*'数据-取费表'!B20/2,C39*(POWER((1+F22),'数据-取费表'!B20/2)-1)),0)</f>
        <v>1349</v>
      </c>
      <c r="D43" s="230"/>
      <c r="E43" s="230"/>
      <c r="F43" s="231"/>
      <c r="G43" s="3376"/>
    </row>
    <row r="44" spans="1:7" ht="13.5" customHeight="1">
      <c r="A44" s="734" t="s">
        <v>348</v>
      </c>
      <c r="B44" s="207" t="s">
        <v>1546</v>
      </c>
      <c r="C44" s="230">
        <f ca="1">ROUND(IF('数据-取费表'!B22&lt;=1,C40*F22*'数据-取费表'!B20/2,C40*(POWER((1+F22),'数据-取费表'!B20/2)-1)),4)</f>
        <v>2.9999999999999997E-4</v>
      </c>
      <c r="D44" s="230"/>
      <c r="E44" s="230"/>
      <c r="F44" s="231"/>
      <c r="G44" s="3377"/>
    </row>
    <row r="45" spans="1:7" s="206" customFormat="1" ht="13.5" customHeight="1">
      <c r="A45" s="247" t="s">
        <v>1547</v>
      </c>
      <c r="B45" s="236" t="s">
        <v>1513</v>
      </c>
      <c r="C45" s="237">
        <f ca="1">C46</f>
        <v>443834</v>
      </c>
      <c r="D45" s="227">
        <f ca="1">C47</f>
        <v>2E-3</v>
      </c>
      <c r="E45" s="228" t="s">
        <v>1539</v>
      </c>
      <c r="F45" s="238">
        <f ca="1">F27</f>
        <v>0.1</v>
      </c>
      <c r="G45" s="239" t="s">
        <v>1548</v>
      </c>
    </row>
    <row r="46" spans="1:7" s="206" customFormat="1" ht="13.5" customHeight="1">
      <c r="A46" s="734" t="s">
        <v>346</v>
      </c>
      <c r="B46" s="240" t="s">
        <v>1549</v>
      </c>
      <c r="C46" s="241">
        <f ca="1">ROUND((C33+C39)*F27,0)</f>
        <v>443834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5350664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3745465</v>
      </c>
      <c r="D51" s="224"/>
      <c r="E51" s="224"/>
      <c r="F51" s="256"/>
      <c r="G51" s="226" t="s">
        <v>1560</v>
      </c>
    </row>
    <row r="52" spans="1:7" s="200" customFormat="1" ht="16.8" thickBot="1">
      <c r="A52" s="257" t="s">
        <v>1561</v>
      </c>
      <c r="B52" s="258"/>
      <c r="C52" s="259">
        <f ca="1">C31+C51</f>
        <v>4393053</v>
      </c>
      <c r="D52" s="258"/>
      <c r="E52" s="258"/>
      <c r="F52" s="258"/>
      <c r="G52" s="260"/>
    </row>
    <row r="55" spans="1:7" ht="15">
      <c r="B55" s="262" t="s">
        <v>1562</v>
      </c>
      <c r="C55" s="263"/>
    </row>
    <row r="56" spans="1:7">
      <c r="B56" s="265" t="s">
        <v>802</v>
      </c>
      <c r="C56" s="267">
        <f ca="1">1-C57</f>
        <v>0.14700000000000002</v>
      </c>
    </row>
    <row r="57" spans="1:7">
      <c r="B57" s="265" t="s">
        <v>803</v>
      </c>
      <c r="C57" s="266">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t="e">
        <f ca="1">C32</f>
        <v>#N/A</v>
      </c>
      <c r="C2" s="268" t="s">
        <v>1595</v>
      </c>
      <c r="D2" s="268"/>
      <c r="E2" s="2565"/>
      <c r="F2" s="2565"/>
      <c r="G2" s="2565"/>
      <c r="H2" s="2565"/>
      <c r="I2" s="2565"/>
      <c r="J2" s="2565"/>
      <c r="K2" s="2565"/>
    </row>
    <row r="3" spans="1:33" ht="18" customHeight="1" thickBot="1">
      <c r="A3" s="195" t="s">
        <v>1464</v>
      </c>
      <c r="B3" s="196" t="e">
        <f ca="1">ROUND(B2*10000/IF(C1="",'数据-汇总表'!E3,INDIRECT("'数据-取费表'!K"&amp;$K$1)),0)</f>
        <v>#N/A</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1298.9000000000001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1298.9000000000001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t="e">
        <f ca="1">C19+C20-IF(C1="",'数据-取费表'!B29,IF(G18="已全部缴纳",C19+C20,H18))</f>
        <v>#N/A</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26</v>
      </c>
      <c r="D20" s="796">
        <f ca="1">IF(C1="",'数据-汇总表'!E6,IF(INDIRECT("'数据-取费表'!c"&amp;$K$1)="住宅",INDIRECT("'数据-取费表'!s"&amp;$K$1),INDIRECT("'数据-取费表'!k"&amp;$K$1)+INDIRECT("'数据-取费表'!s"&amp;$K$1)))</f>
        <v>1298.9000000000001</v>
      </c>
      <c r="E20" s="21">
        <f>'数据-取费表'!B28</f>
        <v>200</v>
      </c>
      <c r="F20" s="756"/>
      <c r="G20" s="12"/>
      <c r="H20" s="761"/>
      <c r="I20" s="761"/>
      <c r="J20" s="761"/>
      <c r="K20" s="762"/>
    </row>
    <row r="21" spans="1:33" s="755" customFormat="1" ht="13.5" customHeight="1">
      <c r="A21" s="744" t="s">
        <v>357</v>
      </c>
      <c r="B21" s="765" t="s">
        <v>1628</v>
      </c>
      <c r="C21" s="766" t="e">
        <f ca="1">C16+C17+C18</f>
        <v>#N/A</v>
      </c>
      <c r="D21" s="767"/>
      <c r="E21" s="273"/>
      <c r="F21" s="273"/>
      <c r="G21" s="123" t="s">
        <v>1629</v>
      </c>
      <c r="H21" s="759"/>
      <c r="I21" s="759"/>
      <c r="J21" s="759"/>
      <c r="K21" s="760"/>
    </row>
    <row r="22" spans="1:33" s="755" customFormat="1" ht="13.5" customHeight="1">
      <c r="A22" s="744" t="s">
        <v>1601</v>
      </c>
      <c r="B22" s="765" t="s">
        <v>1630</v>
      </c>
      <c r="C22" s="766" t="e">
        <f ca="1">ROUND(C21*F22,0)</f>
        <v>#N/A</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t="e">
        <f ca="1">C27</f>
        <v>#N/A</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#N/A</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#N/A</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t="e">
        <f ca="1">ROUND((C21+C22+C23)*F28,0)</f>
        <v>#N/A</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t="e">
        <f ca="1">ROUND((C4-C21-C22-C23-C25-C28-C31)/(1+C24+D25+D28),0)</f>
        <v>#N/A</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0" t="s">
        <v>694</v>
      </c>
      <c r="C6" s="1011">
        <f ca="1">ROUND(F6*F8*F7*(1-F9)/10000,0)</f>
        <v>0</v>
      </c>
      <c r="D6" s="147" t="s">
        <v>2109</v>
      </c>
      <c r="E6" s="294" t="s">
        <v>696</v>
      </c>
      <c r="F6" s="295">
        <f ca="1">INDIRECT("'数据-取费表'!u"&amp;$G$1)</f>
        <v>0</v>
      </c>
      <c r="G6" s="1292"/>
      <c r="H6" s="1006" t="s">
        <v>398</v>
      </c>
      <c r="I6" s="3380" t="s">
        <v>694</v>
      </c>
      <c r="J6" s="293">
        <f ca="1">ROUND(M6*M8*M7*(1-M9)/10000,0)</f>
        <v>0</v>
      </c>
      <c r="K6" s="147" t="s">
        <v>2108</v>
      </c>
      <c r="L6" s="294" t="s">
        <v>696</v>
      </c>
      <c r="M6" s="295">
        <f ca="1">INDIRECT("'数据-取费表'!z"&amp;$G$1)</f>
        <v>0</v>
      </c>
    </row>
    <row r="7" spans="1:37" ht="18" customHeight="1">
      <c r="A7" s="1010"/>
      <c r="B7" s="3381"/>
      <c r="C7" s="1012"/>
      <c r="D7" s="299"/>
      <c r="E7" s="1013" t="s">
        <v>697</v>
      </c>
      <c r="F7" s="295">
        <f ca="1">IF(INDIRECT("'数据-取费表'!ah"&amp;$G$1)="",INDIRECT("'数据-取费表'!k"&amp;$G$1),INDIRECT("'数据-取费表'!ah"&amp;$G$1))</f>
        <v>0</v>
      </c>
      <c r="G7" s="1292"/>
      <c r="H7" s="296"/>
      <c r="I7" s="3381"/>
      <c r="J7" s="298"/>
      <c r="K7" s="299"/>
      <c r="L7" s="294" t="s">
        <v>697</v>
      </c>
      <c r="M7" s="295">
        <f ca="1">F7</f>
        <v>0</v>
      </c>
    </row>
    <row r="8" spans="1:37" ht="18" customHeight="1">
      <c r="A8" s="296"/>
      <c r="B8" s="3381"/>
      <c r="C8" s="298"/>
      <c r="D8" s="299"/>
      <c r="E8" s="294" t="s">
        <v>698</v>
      </c>
      <c r="F8" s="295">
        <f ca="1">INDIRECT("'数据-取费表'!ai"&amp;$G$1)</f>
        <v>0</v>
      </c>
      <c r="G8" s="1292"/>
      <c r="H8" s="296"/>
      <c r="I8" s="3381"/>
      <c r="J8" s="298"/>
      <c r="K8" s="299"/>
      <c r="L8" s="294" t="s">
        <v>698</v>
      </c>
      <c r="M8" s="295">
        <f ca="1">INDIRECT("'数据-取费表'!ai"&amp;$G$1)</f>
        <v>0</v>
      </c>
    </row>
    <row r="9" spans="1:37" ht="18" customHeight="1">
      <c r="A9" s="296"/>
      <c r="B9" s="3382"/>
      <c r="C9" s="298"/>
      <c r="D9" s="299"/>
      <c r="E9" s="294" t="s">
        <v>699</v>
      </c>
      <c r="F9" s="304">
        <f ca="1">INDIRECT("'数据-取费表'!w"&amp;$G$1)</f>
        <v>0</v>
      </c>
      <c r="G9" s="1292"/>
      <c r="H9" s="296"/>
      <c r="I9" s="338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8" t="s">
        <v>837</v>
      </c>
      <c r="L53" s="337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#N/A</v>
      </c>
      <c r="C2" s="1289" t="s">
        <v>879</v>
      </c>
      <c r="D2" s="1375" t="e">
        <f ca="1">C40+J29+L46</f>
        <v>#N/A</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380" t="s">
        <v>694</v>
      </c>
      <c r="C6" s="1011" t="e">
        <f ca="1">ROUND(F6*F8*F7*(1-F9),0)</f>
        <v>#N/A</v>
      </c>
      <c r="D6" s="147" t="s">
        <v>2106</v>
      </c>
      <c r="E6" s="294" t="s">
        <v>696</v>
      </c>
      <c r="F6" s="295" t="e">
        <f ca="1">INDIRECT("'数据-取费表'!u"&amp;$G$1)</f>
        <v>#N/A</v>
      </c>
      <c r="G6" s="1292"/>
      <c r="H6" s="1006" t="s">
        <v>398</v>
      </c>
      <c r="I6" s="3380" t="s">
        <v>694</v>
      </c>
      <c r="J6" s="293" t="e">
        <f ca="1">ROUND(M6*M8*M7*(1-M9),0)</f>
        <v>#N/A</v>
      </c>
      <c r="K6" s="1284" t="s">
        <v>2107</v>
      </c>
      <c r="L6" s="294" t="s">
        <v>696</v>
      </c>
      <c r="M6" s="295" t="e">
        <f ca="1">INDIRECT("'数据-取费表'!z"&amp;$G$1)</f>
        <v>#N/A</v>
      </c>
    </row>
    <row r="7" spans="1:37" ht="18" customHeight="1">
      <c r="A7" s="1010"/>
      <c r="B7" s="3381"/>
      <c r="C7" s="1012"/>
      <c r="D7" s="299"/>
      <c r="E7" s="1013" t="s">
        <v>697</v>
      </c>
      <c r="F7" s="295" t="e">
        <f ca="1">IF(INDIRECT("'数据-取费表'!ah"&amp;$G$1)="",INDIRECT("'数据-取费表'!k"&amp;$G$1),INDIRECT("'数据-取费表'!ah"&amp;$G$1))</f>
        <v>#N/A</v>
      </c>
      <c r="G7" s="1292"/>
      <c r="H7" s="296"/>
      <c r="I7" s="3381"/>
      <c r="J7" s="298"/>
      <c r="K7" s="299"/>
      <c r="L7" s="294" t="s">
        <v>697</v>
      </c>
      <c r="M7" s="295" t="e">
        <f ca="1">F7</f>
        <v>#N/A</v>
      </c>
    </row>
    <row r="8" spans="1:37" ht="18" customHeight="1">
      <c r="A8" s="296"/>
      <c r="B8" s="3381"/>
      <c r="C8" s="298"/>
      <c r="D8" s="299"/>
      <c r="E8" s="294" t="s">
        <v>698</v>
      </c>
      <c r="F8" s="295" t="e">
        <f ca="1">INDIRECT("'数据-取费表'!ai"&amp;$G$1)</f>
        <v>#N/A</v>
      </c>
      <c r="G8" s="1292"/>
      <c r="H8" s="296"/>
      <c r="I8" s="3381"/>
      <c r="J8" s="298"/>
      <c r="K8" s="299"/>
      <c r="L8" s="294" t="s">
        <v>698</v>
      </c>
      <c r="M8" s="295" t="e">
        <f ca="1">INDIRECT("'数据-取费表'!ai"&amp;$G$1)</f>
        <v>#N/A</v>
      </c>
    </row>
    <row r="9" spans="1:37" ht="18" customHeight="1">
      <c r="A9" s="296"/>
      <c r="B9" s="3382"/>
      <c r="C9" s="298"/>
      <c r="D9" s="299"/>
      <c r="E9" s="294" t="s">
        <v>699</v>
      </c>
      <c r="F9" s="304" t="e">
        <f ca="1">INDIRECT("'数据-取费表'!w"&amp;$G$1)</f>
        <v>#N/A</v>
      </c>
      <c r="G9" s="1292"/>
      <c r="H9" s="296"/>
      <c r="I9" s="3382"/>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3455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0.03</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40" t="e">
        <f ca="1">ROUND(IF(AND(项目基本情况!B11="自然人",项目基本情况!B10="北京市"),J6*M17/(1+'数据-取费表'!C42),J18+J19+J20),0)</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3334</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40" t="e">
        <f ca="1">ROUND(IF(AND(项目基本情况!B11="自然人",项目基本情况!B10="北京市"),C6*F31/(1+'数据-取费表'!C42),C32+C33+C34),0)</f>
        <v>#N/A</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t="e">
        <f ca="1">IF(项目基本情况!B11="自然人","——",ROUND(C6*F32/(1+'数据-取费表'!C42),0))</f>
        <v>#N/A</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IF(项目基本情况!B11="自然人","——",ROUND(F34*F35,0))</f>
        <v>#N/A</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ROUND(C29*F36,0)</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ROUND(C13*F37,0)</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ROUND(C5*F38,0)</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t="e">
        <f ca="1">C39/C5</f>
        <v>#N/A</v>
      </c>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#N/A</v>
      </c>
      <c r="D45" s="3128" t="s">
        <v>3351</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3456</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3457</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50</v>
      </c>
      <c r="K51" s="1339" t="s">
        <v>830</v>
      </c>
      <c r="L51" s="1340" t="e">
        <f ca="1">ROUND(-PV(INDIRECT("'数据-取费表'!h"&amp;$G$1),J51,(C39-C13*C76),0),0)</f>
        <v>#N/A</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t="e">
        <f ca="1">IF(M47="住宅",IF(D1="——",MAX(J51,L48),MAX(J51,L48-'数据-取费表'!B24)),IF(D1="——",MIN(J51,L48),MIN(J51,L48-'数据-取费表'!B24)))</f>
        <v>#N/A</v>
      </c>
      <c r="K53" s="3378" t="s">
        <v>837</v>
      </c>
      <c r="L53" s="3379"/>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3458</v>
      </c>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3334</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0</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2" customHeight="1">
      <c r="A2" s="1293" t="s">
        <v>2313</v>
      </c>
      <c r="B2" s="2592" t="e">
        <f>IF(D2="——",C40,C40+E2)</f>
        <v>#DIV/0!</v>
      </c>
      <c r="C2" s="2593" t="s">
        <v>2314</v>
      </c>
      <c r="D2" s="3135" t="s">
        <v>3357</v>
      </c>
      <c r="E2" s="3136"/>
      <c r="F2" s="2595"/>
      <c r="G2" s="2596"/>
      <c r="H2" s="2597"/>
      <c r="I2" s="2598"/>
      <c r="J2" s="3383" t="s">
        <v>2315</v>
      </c>
      <c r="K2" s="3384"/>
      <c r="L2" s="2599" t="s">
        <v>2316</v>
      </c>
      <c r="M2" s="2599" t="s">
        <v>2317</v>
      </c>
      <c r="N2" s="2599" t="s">
        <v>2318</v>
      </c>
      <c r="O2" s="2599" t="s">
        <v>2319</v>
      </c>
      <c r="P2" s="2599" t="s">
        <v>2320</v>
      </c>
      <c r="Q2" s="2600" t="s">
        <v>2321</v>
      </c>
      <c r="R2" s="2601" t="s">
        <v>2322</v>
      </c>
      <c r="S2" s="2590"/>
      <c r="T2" s="2590"/>
      <c r="U2" s="2590"/>
      <c r="V2" s="2598"/>
    </row>
    <row r="3" spans="1:22" s="2602" customFormat="1" ht="13.2" customHeight="1">
      <c r="A3" s="2603" t="s">
        <v>2323</v>
      </c>
      <c r="B3" s="2604" t="e">
        <f>ROUND(B2*10000/B4,0)</f>
        <v>#DIV/0!</v>
      </c>
      <c r="C3" s="2593" t="s">
        <v>2324</v>
      </c>
      <c r="D3" s="2593"/>
      <c r="E3" s="2594"/>
      <c r="F3" s="2595"/>
      <c r="G3" s="2596"/>
      <c r="H3" s="2597"/>
      <c r="I3" s="2598"/>
      <c r="J3" s="3385" t="s">
        <v>2325</v>
      </c>
      <c r="K3" s="3386"/>
      <c r="L3" s="2605"/>
      <c r="M3" s="2605"/>
      <c r="N3" s="2605"/>
      <c r="O3" s="2605"/>
      <c r="P3" s="2605"/>
      <c r="Q3" s="2606"/>
      <c r="R3" s="2607">
        <f>SUM(L3:Q3)</f>
        <v>0</v>
      </c>
      <c r="S3" s="2590"/>
      <c r="T3" s="2590"/>
      <c r="U3" s="2590"/>
      <c r="V3" s="2598"/>
    </row>
    <row r="4" spans="1:22" s="2602" customFormat="1" ht="13.2" customHeight="1">
      <c r="A4" s="2608" t="s">
        <v>2326</v>
      </c>
      <c r="B4" s="2609"/>
      <c r="C4" s="2593"/>
      <c r="D4" s="2593"/>
      <c r="E4" s="2594"/>
      <c r="F4" s="2595"/>
      <c r="G4" s="2596"/>
      <c r="H4" s="2597"/>
      <c r="I4" s="2598"/>
      <c r="J4" s="3385" t="s">
        <v>2327</v>
      </c>
      <c r="K4" s="3386"/>
      <c r="L4" s="2610"/>
      <c r="M4" s="2610"/>
      <c r="N4" s="2610"/>
      <c r="O4" s="2610"/>
      <c r="P4" s="2610"/>
      <c r="Q4" s="2611"/>
      <c r="R4" s="2612">
        <f>SUM(L4:Q4)</f>
        <v>0</v>
      </c>
      <c r="S4" s="2590"/>
      <c r="T4" s="2590"/>
      <c r="U4" s="2590"/>
      <c r="V4" s="2598"/>
    </row>
    <row r="5" spans="1:22" s="2602" customFormat="1" ht="13.2"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2" customHeight="1" thickBot="1">
      <c r="A6" s="3387" t="s">
        <v>2331</v>
      </c>
      <c r="B6" s="3388"/>
      <c r="C6" s="3389"/>
      <c r="D6" s="2619"/>
      <c r="E6" s="2620"/>
      <c r="F6" s="2621"/>
      <c r="G6" s="2622"/>
      <c r="H6" s="2597"/>
      <c r="I6" s="2598"/>
      <c r="J6" s="3390">
        <v>1</v>
      </c>
      <c r="K6" s="3391"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2" customHeight="1">
      <c r="A7" s="2625" t="s">
        <v>2341</v>
      </c>
      <c r="B7" s="2626"/>
      <c r="C7" s="2627"/>
      <c r="D7" s="2628">
        <f>SUM(D9,D10,D11,D17,0)</f>
        <v>0</v>
      </c>
      <c r="E7" s="2629" t="e">
        <f>E9+E10+E11+E17</f>
        <v>#DIV/0!</v>
      </c>
      <c r="F7" s="2630"/>
      <c r="G7" s="2631"/>
      <c r="H7" s="2597"/>
      <c r="I7" s="2598"/>
      <c r="J7" s="3390"/>
      <c r="K7" s="3392"/>
      <c r="L7" s="2632" t="s">
        <v>2342</v>
      </c>
      <c r="M7" s="2633"/>
      <c r="N7" s="2609"/>
      <c r="O7" s="2634"/>
      <c r="P7" s="2634"/>
      <c r="Q7" s="2635">
        <v>365</v>
      </c>
      <c r="R7" s="2636">
        <f>ROUND(M7*N7*O7*P7*Q7/10000,0)</f>
        <v>0</v>
      </c>
      <c r="S7" s="2590"/>
      <c r="T7" s="2590" t="s">
        <v>2343</v>
      </c>
      <c r="U7" s="2590"/>
      <c r="V7" s="2598"/>
    </row>
    <row r="8" spans="1:22" s="2602" customFormat="1" ht="13.2" customHeight="1">
      <c r="A8" s="2637" t="s">
        <v>2344</v>
      </c>
      <c r="B8" s="3394" t="s">
        <v>2345</v>
      </c>
      <c r="C8" s="3395"/>
      <c r="D8" s="2638" t="s">
        <v>2346</v>
      </c>
      <c r="E8" s="2639" t="s">
        <v>2347</v>
      </c>
      <c r="F8" s="2640" t="s">
        <v>2348</v>
      </c>
      <c r="G8" s="2641"/>
      <c r="H8" s="2597"/>
      <c r="I8" s="2598"/>
      <c r="J8" s="3390"/>
      <c r="K8" s="3392"/>
      <c r="L8" s="2632" t="s">
        <v>2349</v>
      </c>
      <c r="M8" s="2633"/>
      <c r="N8" s="2609"/>
      <c r="O8" s="2634"/>
      <c r="P8" s="2634"/>
      <c r="Q8" s="2635">
        <v>365</v>
      </c>
      <c r="R8" s="2636">
        <f t="shared" ref="R8:R13" si="0">ROUND(M8*N8*O8*P8*Q8/10000,0)</f>
        <v>0</v>
      </c>
      <c r="S8" s="2590"/>
      <c r="T8" s="2590" t="s">
        <v>2350</v>
      </c>
      <c r="U8" s="2590"/>
      <c r="V8" s="2598"/>
    </row>
    <row r="9" spans="1:22" s="2602" customFormat="1" ht="13.2" customHeight="1">
      <c r="A9" s="2637">
        <v>1</v>
      </c>
      <c r="B9" s="3394" t="s">
        <v>2351</v>
      </c>
      <c r="C9" s="3395"/>
      <c r="D9" s="2638">
        <f>ROUND(D6*E9,0)</f>
        <v>0</v>
      </c>
      <c r="E9" s="2642"/>
      <c r="F9" s="2643" t="s">
        <v>2352</v>
      </c>
      <c r="G9" s="2622"/>
      <c r="H9" s="2597"/>
      <c r="I9" s="2598"/>
      <c r="J9" s="3390"/>
      <c r="K9" s="3392"/>
      <c r="L9" s="2632" t="s">
        <v>2353</v>
      </c>
      <c r="M9" s="2633"/>
      <c r="N9" s="2609"/>
      <c r="O9" s="2634"/>
      <c r="P9" s="2634"/>
      <c r="Q9" s="2635">
        <v>365</v>
      </c>
      <c r="R9" s="2636">
        <f t="shared" si="0"/>
        <v>0</v>
      </c>
      <c r="S9" s="2590"/>
      <c r="T9" s="2590"/>
      <c r="U9" s="2590"/>
      <c r="V9" s="2598"/>
    </row>
    <row r="10" spans="1:22" s="2602" customFormat="1" ht="13.2" customHeight="1">
      <c r="A10" s="2637">
        <v>2</v>
      </c>
      <c r="B10" s="3394" t="s">
        <v>2354</v>
      </c>
      <c r="C10" s="3395"/>
      <c r="D10" s="2638">
        <f>ROUND(D6*E10,0)</f>
        <v>0</v>
      </c>
      <c r="E10" s="2642"/>
      <c r="F10" s="2643" t="s">
        <v>2355</v>
      </c>
      <c r="G10" s="2622"/>
      <c r="H10" s="2597"/>
      <c r="I10" s="2598"/>
      <c r="J10" s="3390"/>
      <c r="K10" s="3392"/>
      <c r="L10" s="2632" t="s">
        <v>2356</v>
      </c>
      <c r="M10" s="2633"/>
      <c r="N10" s="2609"/>
      <c r="O10" s="2634"/>
      <c r="P10" s="2634"/>
      <c r="Q10" s="2635">
        <v>365</v>
      </c>
      <c r="R10" s="2636">
        <f t="shared" si="0"/>
        <v>0</v>
      </c>
      <c r="S10" s="2590"/>
      <c r="T10" s="2590"/>
      <c r="U10" s="2590"/>
      <c r="V10" s="2598"/>
    </row>
    <row r="11" spans="1:22" s="2602" customFormat="1" ht="13.2" customHeight="1">
      <c r="A11" s="2637">
        <v>3</v>
      </c>
      <c r="B11" s="3394" t="s">
        <v>2357</v>
      </c>
      <c r="C11" s="3395"/>
      <c r="D11" s="2638">
        <f>D12+D14+D15+D16</f>
        <v>0</v>
      </c>
      <c r="E11" s="2644" t="e">
        <f>D11/D6</f>
        <v>#DIV/0!</v>
      </c>
      <c r="F11" s="2640"/>
      <c r="G11" s="2641"/>
      <c r="H11" s="2597"/>
      <c r="I11" s="2598"/>
      <c r="J11" s="3390"/>
      <c r="K11" s="3392"/>
      <c r="L11" s="2632" t="s">
        <v>2358</v>
      </c>
      <c r="M11" s="2633"/>
      <c r="N11" s="2609"/>
      <c r="O11" s="2634"/>
      <c r="P11" s="2634"/>
      <c r="Q11" s="2635">
        <v>365</v>
      </c>
      <c r="R11" s="2636">
        <f t="shared" si="0"/>
        <v>0</v>
      </c>
      <c r="S11" s="2590"/>
      <c r="T11" s="2590"/>
      <c r="U11" s="2590"/>
      <c r="V11" s="2598"/>
    </row>
    <row r="12" spans="1:22" s="2602" customFormat="1" ht="13.2" customHeight="1">
      <c r="A12" s="2645" t="s">
        <v>2359</v>
      </c>
      <c r="B12" s="3396" t="s">
        <v>2360</v>
      </c>
      <c r="C12" s="3397"/>
      <c r="D12" s="2646">
        <f>ROUND(D13*1.2%*(1-30%),0)</f>
        <v>0</v>
      </c>
      <c r="E12" s="2647">
        <v>1.2E-2</v>
      </c>
      <c r="F12" s="2640" t="s">
        <v>2361</v>
      </c>
      <c r="G12" s="2641"/>
      <c r="H12" s="2597"/>
      <c r="I12" s="2598"/>
      <c r="J12" s="3390"/>
      <c r="K12" s="3392"/>
      <c r="L12" s="2632" t="s">
        <v>2362</v>
      </c>
      <c r="M12" s="2633"/>
      <c r="N12" s="2609"/>
      <c r="O12" s="2634"/>
      <c r="P12" s="2634"/>
      <c r="Q12" s="2635">
        <v>365</v>
      </c>
      <c r="R12" s="2636">
        <f t="shared" si="0"/>
        <v>0</v>
      </c>
      <c r="S12" s="2590"/>
      <c r="T12" s="2590"/>
      <c r="U12" s="2590"/>
      <c r="V12" s="2598"/>
    </row>
    <row r="13" spans="1:22" s="2602" customFormat="1" ht="13.2" customHeight="1">
      <c r="A13" s="2645"/>
      <c r="B13" s="2648"/>
      <c r="C13" s="2649" t="s">
        <v>2363</v>
      </c>
      <c r="D13" s="2650"/>
      <c r="E13" s="2651"/>
      <c r="F13" s="2640"/>
      <c r="G13" s="2641"/>
      <c r="H13" s="2597"/>
      <c r="I13" s="2598"/>
      <c r="J13" s="3390"/>
      <c r="K13" s="3392"/>
      <c r="L13" s="2632" t="s">
        <v>2364</v>
      </c>
      <c r="M13" s="2633"/>
      <c r="N13" s="2609"/>
      <c r="O13" s="2634"/>
      <c r="P13" s="2634"/>
      <c r="Q13" s="2635">
        <v>365</v>
      </c>
      <c r="R13" s="2636">
        <f t="shared" si="0"/>
        <v>0</v>
      </c>
      <c r="S13" s="2590"/>
      <c r="T13" s="2590"/>
      <c r="U13" s="2590"/>
      <c r="V13" s="2598"/>
    </row>
    <row r="14" spans="1:22" s="2602" customFormat="1" ht="13.2" customHeight="1">
      <c r="A14" s="2645" t="s">
        <v>2365</v>
      </c>
      <c r="B14" s="3396" t="s">
        <v>2366</v>
      </c>
      <c r="C14" s="3397"/>
      <c r="D14" s="2646">
        <f>ROUND(E14*B5/10000,0)</f>
        <v>0</v>
      </c>
      <c r="E14" s="2635"/>
      <c r="F14" s="2640" t="s">
        <v>2367</v>
      </c>
      <c r="G14" s="2641"/>
      <c r="H14" s="2597"/>
      <c r="I14" s="2598"/>
      <c r="J14" s="3390"/>
      <c r="K14" s="3393"/>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2369</v>
      </c>
      <c r="B15" s="3396" t="s">
        <v>2370</v>
      </c>
      <c r="C15" s="3397"/>
      <c r="D15" s="2646">
        <f>ROUND(D6*E15,0)</f>
        <v>0</v>
      </c>
      <c r="E15" s="2647">
        <v>5.5E-2</v>
      </c>
      <c r="F15" s="2640" t="s">
        <v>2371</v>
      </c>
      <c r="G15" s="2622"/>
      <c r="H15" s="2597"/>
      <c r="I15" s="2598"/>
      <c r="J15" s="3390">
        <v>2</v>
      </c>
      <c r="K15" s="3391"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2" customHeight="1">
      <c r="A16" s="2645" t="s">
        <v>2378</v>
      </c>
      <c r="B16" s="3396" t="s">
        <v>2379</v>
      </c>
      <c r="C16" s="3397"/>
      <c r="D16" s="2657">
        <f>D6*E16</f>
        <v>0</v>
      </c>
      <c r="E16" s="2658"/>
      <c r="F16" s="2643" t="s">
        <v>2380</v>
      </c>
      <c r="G16" s="2622"/>
      <c r="H16" s="2597"/>
      <c r="I16" s="2598"/>
      <c r="J16" s="3390"/>
      <c r="K16" s="3392"/>
      <c r="L16" s="2632" t="s">
        <v>2381</v>
      </c>
      <c r="M16" s="2633"/>
      <c r="N16" s="2633"/>
      <c r="O16" s="2634"/>
      <c r="P16" s="2635">
        <v>365</v>
      </c>
      <c r="Q16" s="2609"/>
      <c r="R16" s="2656">
        <f>ROUND(M16*N16*O16*P16/10000,0)</f>
        <v>0</v>
      </c>
      <c r="S16" s="2590"/>
      <c r="T16" s="2590"/>
      <c r="U16" s="2590"/>
      <c r="V16" s="2598"/>
    </row>
    <row r="17" spans="1:22" s="2602" customFormat="1" ht="13.2" customHeight="1" thickBot="1">
      <c r="A17" s="2659">
        <v>4</v>
      </c>
      <c r="B17" s="3398" t="s">
        <v>2382</v>
      </c>
      <c r="C17" s="3399"/>
      <c r="D17" s="2660">
        <f>ROUND(D6*E17,0)</f>
        <v>0</v>
      </c>
      <c r="E17" s="2661"/>
      <c r="F17" s="2662" t="s">
        <v>2383</v>
      </c>
      <c r="G17" s="2622"/>
      <c r="H17" s="2597"/>
      <c r="I17" s="2598"/>
      <c r="J17" s="3390"/>
      <c r="K17" s="3392"/>
      <c r="L17" s="2632" t="s">
        <v>2384</v>
      </c>
      <c r="M17" s="2633"/>
      <c r="N17" s="2633"/>
      <c r="O17" s="2634"/>
      <c r="P17" s="2635">
        <v>365</v>
      </c>
      <c r="Q17" s="2609"/>
      <c r="R17" s="2656">
        <f>ROUND(M17*N17*O17*P17/10000,0)</f>
        <v>0</v>
      </c>
      <c r="S17" s="2590"/>
      <c r="T17" s="2590"/>
      <c r="U17" s="2590"/>
      <c r="V17" s="2598"/>
    </row>
    <row r="18" spans="1:22" s="2602" customFormat="1" ht="13.2" customHeight="1" thickBot="1">
      <c r="A18" s="2625" t="s">
        <v>2385</v>
      </c>
      <c r="B18" s="2626"/>
      <c r="C18" s="2626"/>
      <c r="D18" s="2663">
        <f>ROUND(D6*E18,0)</f>
        <v>0</v>
      </c>
      <c r="E18" s="2664"/>
      <c r="F18" s="2665" t="s">
        <v>2386</v>
      </c>
      <c r="G18" s="2622"/>
      <c r="H18" s="2597"/>
      <c r="I18" s="2598"/>
      <c r="J18" s="3390"/>
      <c r="K18" s="3392"/>
      <c r="L18" s="2632" t="s">
        <v>2387</v>
      </c>
      <c r="M18" s="2633"/>
      <c r="N18" s="2633"/>
      <c r="O18" s="2634"/>
      <c r="P18" s="2635">
        <v>365</v>
      </c>
      <c r="Q18" s="2609"/>
      <c r="R18" s="2656">
        <f>ROUND(M18*N18*O18*P18/10000,0)</f>
        <v>0</v>
      </c>
      <c r="S18" s="2590"/>
      <c r="T18" s="2590"/>
      <c r="U18" s="2590"/>
      <c r="V18" s="2598"/>
    </row>
    <row r="19" spans="1:22" s="2602" customFormat="1" ht="13.2" customHeight="1" thickBot="1">
      <c r="A19" s="2666" t="s">
        <v>2388</v>
      </c>
      <c r="B19" s="2620"/>
      <c r="C19" s="2620"/>
      <c r="D19" s="2620"/>
      <c r="E19" s="2620"/>
      <c r="F19" s="2621"/>
      <c r="G19" s="2641"/>
      <c r="H19" s="2597"/>
      <c r="I19" s="2598"/>
      <c r="J19" s="3390"/>
      <c r="K19" s="3393"/>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90">
        <v>3</v>
      </c>
      <c r="K20" s="3391"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2" customHeight="1">
      <c r="A21" s="2625"/>
      <c r="B21" s="2626"/>
      <c r="C21" s="2671" t="s">
        <v>2397</v>
      </c>
      <c r="D21" s="2672" t="s">
        <v>2398</v>
      </c>
      <c r="E21" s="2673" t="s">
        <v>2399</v>
      </c>
      <c r="F21" s="2669"/>
      <c r="G21" s="2641"/>
      <c r="H21" s="2597"/>
      <c r="I21" s="2598"/>
      <c r="J21" s="3390"/>
      <c r="K21" s="3392"/>
      <c r="L21" s="2632" t="s">
        <v>2400</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2401</v>
      </c>
      <c r="D22" s="2676" t="s">
        <v>2402</v>
      </c>
      <c r="E22" s="2677" t="s">
        <v>2403</v>
      </c>
      <c r="F22" s="2669"/>
      <c r="G22" s="2590"/>
      <c r="H22" s="2597"/>
      <c r="I22" s="2598"/>
      <c r="J22" s="3390"/>
      <c r="K22" s="3392"/>
      <c r="L22" s="2632" t="s">
        <v>2404</v>
      </c>
      <c r="M22" s="2633"/>
      <c r="N22" s="2633"/>
      <c r="O22" s="2634"/>
      <c r="P22" s="2635">
        <v>365</v>
      </c>
      <c r="Q22" s="2609"/>
      <c r="R22" s="2674">
        <f>ROUND(M22*N22*O22*P22/10000,0)</f>
        <v>0</v>
      </c>
      <c r="S22" s="2590"/>
      <c r="T22" s="2590"/>
      <c r="U22" s="2590"/>
      <c r="V22" s="2598"/>
    </row>
    <row r="23" spans="1:22" s="2602" customFormat="1" ht="13.2" customHeight="1">
      <c r="A23" s="2678">
        <v>1</v>
      </c>
      <c r="B23" s="2679" t="s">
        <v>2405</v>
      </c>
      <c r="C23" s="2680">
        <f>D6</f>
        <v>0</v>
      </c>
      <c r="D23" s="2681">
        <f>C23*(1+D24)</f>
        <v>0</v>
      </c>
      <c r="E23" s="2682">
        <f>D23*(1+E24)</f>
        <v>0</v>
      </c>
      <c r="F23" s="2683"/>
      <c r="G23" s="2684"/>
      <c r="H23" s="2597"/>
      <c r="I23" s="2598"/>
      <c r="J23" s="3390"/>
      <c r="K23" s="3392"/>
      <c r="L23" s="2632" t="s">
        <v>2406</v>
      </c>
      <c r="M23" s="2633"/>
      <c r="N23" s="2633"/>
      <c r="O23" s="2634"/>
      <c r="P23" s="2635">
        <v>365</v>
      </c>
      <c r="Q23" s="2609"/>
      <c r="R23" s="2674">
        <f>ROUND(M23*N23*O23*P23/10000,0)</f>
        <v>0</v>
      </c>
      <c r="S23" s="2590"/>
      <c r="T23" s="2590"/>
      <c r="U23" s="2590"/>
      <c r="V23" s="2598"/>
    </row>
    <row r="24" spans="1:22" s="2602" customFormat="1" ht="13.2" customHeight="1">
      <c r="A24" s="2685"/>
      <c r="B24" s="2686" t="s">
        <v>2407</v>
      </c>
      <c r="C24" s="2687"/>
      <c r="D24" s="2688"/>
      <c r="E24" s="2689"/>
      <c r="F24" s="2690"/>
      <c r="G24" s="2684"/>
      <c r="H24" s="2597"/>
      <c r="I24" s="2598"/>
      <c r="J24" s="3390"/>
      <c r="K24" s="3393"/>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2" customHeight="1">
      <c r="A26" s="2678">
        <v>2</v>
      </c>
      <c r="B26" s="2679" t="s">
        <v>2409</v>
      </c>
      <c r="C26" s="2680">
        <f>D7</f>
        <v>0</v>
      </c>
      <c r="D26" s="2681">
        <f>D23*D27</f>
        <v>0</v>
      </c>
      <c r="E26" s="2682">
        <f>E23*E27</f>
        <v>0</v>
      </c>
      <c r="F26" s="2683"/>
      <c r="G26" s="2684"/>
      <c r="H26" s="2597"/>
      <c r="I26" s="2598"/>
      <c r="J26" s="3400">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2" customHeight="1">
      <c r="A27" s="2685"/>
      <c r="B27" s="2686" t="s">
        <v>2415</v>
      </c>
      <c r="C27" s="2703" t="e">
        <f>E7</f>
        <v>#DIV/0!</v>
      </c>
      <c r="D27" s="2688"/>
      <c r="E27" s="2689"/>
      <c r="F27" s="2690"/>
      <c r="G27" s="2684"/>
      <c r="H27" s="2704"/>
      <c r="I27" s="2696"/>
      <c r="J27" s="3401"/>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2"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2" customHeight="1">
      <c r="A32" s="2678">
        <v>4</v>
      </c>
      <c r="B32" s="2679" t="s">
        <v>2423</v>
      </c>
      <c r="C32" s="2680">
        <f>C23-C26-C29</f>
        <v>0</v>
      </c>
      <c r="D32" s="2681">
        <f>D23-D26-D29</f>
        <v>0</v>
      </c>
      <c r="E32" s="2682">
        <f>E23-E26-E29</f>
        <v>0</v>
      </c>
      <c r="F32" s="2683"/>
      <c r="G32" s="2590"/>
      <c r="H32" s="2597"/>
      <c r="I32" s="2598"/>
      <c r="J32" s="3383" t="s">
        <v>2315</v>
      </c>
      <c r="K32" s="3384"/>
      <c r="L32" s="2599" t="s">
        <v>2316</v>
      </c>
      <c r="M32" s="2599" t="s">
        <v>2317</v>
      </c>
      <c r="N32" s="2599" t="s">
        <v>2318</v>
      </c>
      <c r="O32" s="2599" t="s">
        <v>2319</v>
      </c>
      <c r="P32" s="2599" t="s">
        <v>2320</v>
      </c>
      <c r="Q32" s="2600" t="s">
        <v>2321</v>
      </c>
      <c r="R32" s="2719" t="s">
        <v>2322</v>
      </c>
      <c r="S32" s="2590"/>
      <c r="T32" s="2590"/>
      <c r="U32" s="2590"/>
      <c r="V32" s="2696"/>
    </row>
    <row r="33" spans="1:23" s="2602" customFormat="1" ht="13.2" customHeight="1">
      <c r="A33" s="2678"/>
      <c r="B33" s="2679"/>
      <c r="C33" s="2680"/>
      <c r="D33" s="2720"/>
      <c r="E33" s="2721"/>
      <c r="F33" s="2683"/>
      <c r="G33" s="2590"/>
      <c r="H33" s="2704"/>
      <c r="I33" s="2696"/>
      <c r="J33" s="3385" t="s">
        <v>2325</v>
      </c>
      <c r="K33" s="3386"/>
      <c r="L33" s="2605"/>
      <c r="M33" s="2605"/>
      <c r="N33" s="2605"/>
      <c r="O33" s="2605"/>
      <c r="P33" s="2605"/>
      <c r="Q33" s="2606"/>
      <c r="R33" s="2722">
        <f>SUM(L33:Q33)</f>
        <v>0</v>
      </c>
      <c r="S33" s="2590"/>
      <c r="T33" s="2590"/>
      <c r="U33" s="2590"/>
      <c r="V33" s="2598"/>
    </row>
    <row r="34" spans="1:23" s="2602" customFormat="1" ht="13.2" customHeight="1">
      <c r="A34" s="2678">
        <v>5</v>
      </c>
      <c r="B34" s="2679" t="s">
        <v>2424</v>
      </c>
      <c r="C34" s="2723"/>
      <c r="D34" s="2724"/>
      <c r="E34" s="2725"/>
      <c r="F34" s="2683"/>
      <c r="G34" s="2590"/>
      <c r="H34" s="2704"/>
      <c r="I34" s="2696"/>
      <c r="J34" s="3385" t="s">
        <v>2327</v>
      </c>
      <c r="K34" s="3386"/>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2" customHeight="1" thickBot="1">
      <c r="A36" s="2678">
        <v>7</v>
      </c>
      <c r="B36" s="2732" t="s">
        <v>2426</v>
      </c>
      <c r="C36" s="2733"/>
      <c r="D36" s="2734"/>
      <c r="E36" s="2735"/>
      <c r="F36" s="2736">
        <f>C36+D36+E36</f>
        <v>0</v>
      </c>
      <c r="G36" s="2590"/>
      <c r="H36" s="2597"/>
      <c r="I36" s="2598"/>
      <c r="J36" s="3390">
        <v>1</v>
      </c>
      <c r="K36" s="3391" t="s">
        <v>2427</v>
      </c>
      <c r="L36" s="2623"/>
      <c r="M36" s="2624"/>
      <c r="N36" s="2624"/>
      <c r="O36" s="2624"/>
      <c r="P36" s="2624"/>
      <c r="Q36" s="2624"/>
      <c r="R36" s="2607" t="s">
        <v>2339</v>
      </c>
      <c r="S36" s="2590"/>
      <c r="T36" s="2590" t="s">
        <v>2340</v>
      </c>
      <c r="U36" s="2590"/>
      <c r="V36" s="2598"/>
    </row>
    <row r="37" spans="1:23" s="2602" customFormat="1" ht="13.2" customHeight="1">
      <c r="A37" s="2678"/>
      <c r="B37" s="2679"/>
      <c r="C37" s="2679"/>
      <c r="D37" s="2679"/>
      <c r="E37" s="2679"/>
      <c r="F37" s="2683"/>
      <c r="G37" s="2590"/>
      <c r="H37" s="2597"/>
      <c r="I37" s="2598"/>
      <c r="J37" s="3390"/>
      <c r="K37" s="3392"/>
      <c r="L37" s="2632"/>
      <c r="M37" s="2633"/>
      <c r="N37" s="2609"/>
      <c r="O37" s="2634"/>
      <c r="P37" s="2634"/>
      <c r="Q37" s="2635"/>
      <c r="R37" s="2636"/>
      <c r="S37" s="2590"/>
      <c r="T37" s="2590" t="s">
        <v>2343</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90"/>
      <c r="K38" s="3392"/>
      <c r="L38" s="2632"/>
      <c r="M38" s="2633"/>
      <c r="N38" s="2609"/>
      <c r="O38" s="2634"/>
      <c r="P38" s="2634"/>
      <c r="Q38" s="2635"/>
      <c r="R38" s="2636"/>
      <c r="S38" s="2590"/>
      <c r="T38" s="2590" t="s">
        <v>2350</v>
      </c>
      <c r="U38" s="2590"/>
      <c r="V38" s="2598"/>
    </row>
    <row r="39" spans="1:23" s="2602" customFormat="1" ht="13.2" customHeight="1">
      <c r="A39" s="2678">
        <v>9</v>
      </c>
      <c r="B39" s="2679" t="s">
        <v>2428</v>
      </c>
      <c r="C39" s="2646" t="e">
        <f>C38</f>
        <v>#DIV/0!</v>
      </c>
      <c r="D39" s="2679">
        <f>D38/(1+D34)^C36</f>
        <v>0</v>
      </c>
      <c r="E39" s="2679">
        <f>E38/(1+E34)^(C36+D36)</f>
        <v>0</v>
      </c>
      <c r="F39" s="2683"/>
      <c r="G39" s="2598"/>
      <c r="H39" s="2597"/>
      <c r="I39" s="2598"/>
      <c r="J39" s="3390"/>
      <c r="K39" s="3392"/>
      <c r="L39" s="2632"/>
      <c r="M39" s="2633"/>
      <c r="N39" s="2609"/>
      <c r="O39" s="2634"/>
      <c r="P39" s="2634"/>
      <c r="Q39" s="2635"/>
      <c r="R39" s="2636"/>
      <c r="S39" s="2590"/>
      <c r="T39" s="2590"/>
      <c r="U39" s="2590"/>
      <c r="V39" s="2598"/>
    </row>
    <row r="40" spans="1:23" s="2602" customFormat="1" ht="13.2" customHeight="1">
      <c r="A40" s="2737">
        <v>10</v>
      </c>
      <c r="B40" s="2679" t="s">
        <v>2429</v>
      </c>
      <c r="C40" s="2738" t="e">
        <f>C39+D39+E39</f>
        <v>#DIV/0!</v>
      </c>
      <c r="D40" s="2739"/>
      <c r="E40" s="2739"/>
      <c r="F40" s="2740"/>
      <c r="G40" s="2590"/>
      <c r="H40" s="2597"/>
      <c r="I40" s="2598"/>
      <c r="J40" s="3390"/>
      <c r="K40" s="3393"/>
      <c r="L40" s="2652" t="s">
        <v>2368</v>
      </c>
      <c r="M40" s="2653"/>
      <c r="N40" s="2653"/>
      <c r="O40" s="2654"/>
      <c r="P40" s="2654"/>
      <c r="Q40" s="2655"/>
      <c r="R40" s="2601">
        <f>SUM(R37:R39)</f>
        <v>0</v>
      </c>
      <c r="S40" s="2590"/>
      <c r="T40" s="2590"/>
      <c r="U40" s="2590"/>
      <c r="V40" s="2598"/>
    </row>
    <row r="41" spans="1:23" s="2602" customFormat="1" ht="13.2"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2" customHeight="1">
      <c r="G42" s="2597"/>
      <c r="H42" s="2597"/>
      <c r="I42" s="2598"/>
      <c r="J42" s="3400">
        <v>3</v>
      </c>
      <c r="K42" s="2698" t="s">
        <v>2410</v>
      </c>
      <c r="L42" s="2699"/>
      <c r="M42" s="2700"/>
      <c r="N42" s="2701" t="s">
        <v>2411</v>
      </c>
      <c r="O42" s="2701" t="s">
        <v>2412</v>
      </c>
      <c r="P42" s="2702" t="s">
        <v>2413</v>
      </c>
      <c r="Q42" s="2702" t="s">
        <v>2414</v>
      </c>
      <c r="R42" s="2607" t="s">
        <v>2339</v>
      </c>
      <c r="S42" s="2641"/>
      <c r="T42" s="2641"/>
      <c r="U42" s="2590"/>
      <c r="V42" s="2598"/>
    </row>
    <row r="43" spans="1:23" ht="13.2" customHeight="1">
      <c r="A43" s="2602"/>
      <c r="B43" s="2602"/>
      <c r="C43" s="2602"/>
      <c r="D43" s="2602"/>
      <c r="E43" s="2602"/>
      <c r="F43" s="2602"/>
      <c r="I43" s="2585"/>
      <c r="J43" s="3401"/>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1">
        <f>SUM(E6:E13)</f>
        <v>0</v>
      </c>
      <c r="F2" s="2477"/>
      <c r="G2" s="459"/>
      <c r="H2" s="459"/>
      <c r="I2" s="459"/>
      <c r="J2" s="459"/>
      <c r="K2" s="459"/>
      <c r="L2" s="459"/>
      <c r="M2" s="459"/>
      <c r="N2" s="459"/>
      <c r="O2" s="459"/>
      <c r="P2" s="459"/>
      <c r="Q2" s="459"/>
      <c r="R2" s="459"/>
      <c r="S2" s="459"/>
    </row>
    <row r="3" spans="1:22" ht="15.6">
      <c r="A3" s="1728" t="s">
        <v>686</v>
      </c>
      <c r="B3" s="2385" t="e">
        <f ca="1">ROUND(B2*10000/E2,0)</f>
        <v>#DIV/0!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02" t="s">
        <v>1654</v>
      </c>
      <c r="C5" s="3403"/>
      <c r="D5" s="2478"/>
      <c r="E5" s="1731" t="s">
        <v>1655</v>
      </c>
      <c r="F5" s="129" t="s">
        <v>1656</v>
      </c>
      <c r="G5" s="459"/>
      <c r="H5" s="459"/>
      <c r="I5" s="459"/>
      <c r="J5" s="459"/>
      <c r="K5" s="459"/>
      <c r="L5" s="459"/>
      <c r="M5" s="459"/>
      <c r="N5" s="459"/>
      <c r="O5" s="459"/>
      <c r="P5" s="459"/>
      <c r="Q5" s="459"/>
      <c r="R5" s="459"/>
      <c r="S5" s="459"/>
    </row>
    <row r="6" spans="1:22" ht="14.4">
      <c r="A6" s="2388">
        <f>'数据-取费表'!AN6</f>
        <v>0</v>
      </c>
      <c r="B6" s="2386" t="e">
        <f ca="1">IF(F6="是",'数据-取费表'!AO6,0)</f>
        <v>#REF!</v>
      </c>
      <c r="C6" s="1729" t="s">
        <v>1651</v>
      </c>
      <c r="D6" s="2477"/>
      <c r="E6" s="2390">
        <f>IF(OR(A6=0,F6="否"),0,'数据-取费表'!K6+'数据-取费表'!S6)</f>
        <v>0</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1298.9000000000001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22" t="s">
        <v>1667</v>
      </c>
      <c r="D4" s="3423"/>
      <c r="E4" s="3424" t="s">
        <v>1668</v>
      </c>
      <c r="F4" s="3425"/>
      <c r="G4" s="3422" t="s">
        <v>1669</v>
      </c>
      <c r="H4" s="3423"/>
      <c r="I4" s="3422" t="s">
        <v>1670</v>
      </c>
      <c r="J4" s="3423"/>
      <c r="K4" s="1744" t="s">
        <v>1671</v>
      </c>
      <c r="L4" s="2484"/>
      <c r="M4" s="2485"/>
      <c r="N4" s="2485"/>
      <c r="O4" s="2485"/>
      <c r="P4" s="3426" t="s">
        <v>1672</v>
      </c>
      <c r="Q4" s="3427"/>
      <c r="R4" s="3409" t="s">
        <v>1668</v>
      </c>
      <c r="S4" s="3410"/>
      <c r="T4" s="3409" t="s">
        <v>1669</v>
      </c>
      <c r="U4" s="3410"/>
      <c r="V4" s="3434" t="s">
        <v>1670</v>
      </c>
      <c r="W4" s="3434"/>
      <c r="X4" s="1265"/>
      <c r="Y4" s="3409" t="s">
        <v>1672</v>
      </c>
      <c r="Z4" s="3410"/>
      <c r="AA4" s="3404" t="s">
        <v>1668</v>
      </c>
      <c r="AB4" s="3404" t="s">
        <v>1669</v>
      </c>
      <c r="AC4" s="3404" t="s">
        <v>1670</v>
      </c>
    </row>
    <row r="5" spans="1:29">
      <c r="A5" s="348"/>
      <c r="B5" s="349"/>
      <c r="C5" s="3415" t="s">
        <v>1673</v>
      </c>
      <c r="D5" s="3416"/>
      <c r="E5" s="3413" t="s">
        <v>1674</v>
      </c>
      <c r="F5" s="3414"/>
      <c r="G5" s="3415" t="s">
        <v>1675</v>
      </c>
      <c r="H5" s="3416"/>
      <c r="I5" s="3415" t="s">
        <v>1676</v>
      </c>
      <c r="J5" s="3416"/>
      <c r="K5" s="1745"/>
      <c r="L5" s="2484"/>
      <c r="M5" s="2485"/>
      <c r="N5" s="2485"/>
      <c r="O5" s="2485"/>
      <c r="P5" s="3428"/>
      <c r="Q5" s="3429"/>
      <c r="R5" s="3411"/>
      <c r="S5" s="3412"/>
      <c r="T5" s="3411"/>
      <c r="U5" s="3412"/>
      <c r="V5" s="3434"/>
      <c r="W5" s="3434"/>
      <c r="X5" s="1265"/>
      <c r="Y5" s="3411"/>
      <c r="Z5" s="3412"/>
      <c r="AA5" s="3405"/>
      <c r="AB5" s="3405"/>
      <c r="AC5" s="3405"/>
    </row>
    <row r="6" spans="1:29" ht="15" thickBot="1">
      <c r="A6" s="350"/>
      <c r="B6" s="351"/>
      <c r="C6" s="3417" t="s">
        <v>1677</v>
      </c>
      <c r="D6" s="3418"/>
      <c r="E6" s="3419" t="s">
        <v>1677</v>
      </c>
      <c r="F6" s="3420"/>
      <c r="G6" s="3417" t="s">
        <v>1677</v>
      </c>
      <c r="H6" s="3418"/>
      <c r="I6" s="3417" t="s">
        <v>1677</v>
      </c>
      <c r="J6" s="3418"/>
      <c r="K6" s="1745" t="s">
        <v>1678</v>
      </c>
      <c r="L6" s="2484"/>
      <c r="M6" s="2485"/>
      <c r="N6" s="2485"/>
      <c r="O6" s="2485"/>
      <c r="P6" s="3430"/>
      <c r="Q6" s="3431"/>
      <c r="R6" s="3411"/>
      <c r="S6" s="3412"/>
      <c r="T6" s="3432"/>
      <c r="U6" s="3433"/>
      <c r="V6" s="3434"/>
      <c r="W6" s="3434"/>
      <c r="X6" s="1265"/>
      <c r="Y6" s="3432"/>
      <c r="Z6" s="3433"/>
      <c r="AA6" s="3406"/>
      <c r="AB6" s="3406"/>
      <c r="AC6" s="3406"/>
    </row>
    <row r="7" spans="1:29" s="102" customFormat="1" ht="1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7" t="s">
        <v>1680</v>
      </c>
      <c r="Q7" s="3435"/>
      <c r="R7" s="664" t="s">
        <v>20</v>
      </c>
      <c r="S7" s="665">
        <f t="shared" ref="S7:S15" si="0">F7</f>
        <v>0</v>
      </c>
      <c r="T7" s="664" t="s">
        <v>20</v>
      </c>
      <c r="U7" s="665">
        <f t="shared" ref="U7:U15" si="1">H7</f>
        <v>0</v>
      </c>
      <c r="V7" s="664" t="s">
        <v>20</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7" t="s">
        <v>1683</v>
      </c>
      <c r="Q8" s="3408"/>
      <c r="R8" s="664" t="s">
        <v>20</v>
      </c>
      <c r="S8" s="665">
        <f t="shared" si="0"/>
        <v>100</v>
      </c>
      <c r="T8" s="664" t="s">
        <v>20</v>
      </c>
      <c r="U8" s="665">
        <f t="shared" si="1"/>
        <v>100</v>
      </c>
      <c r="V8" s="664" t="s">
        <v>20</v>
      </c>
      <c r="W8" s="665">
        <f t="shared" si="2"/>
        <v>100</v>
      </c>
      <c r="X8" s="666"/>
      <c r="Y8" s="3407" t="s">
        <v>1683</v>
      </c>
      <c r="Z8" s="340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21"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21"/>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21"/>
      <c r="Q11" s="530" t="str">
        <f t="shared" si="6"/>
        <v>容积率</v>
      </c>
      <c r="R11" s="664" t="s">
        <v>18</v>
      </c>
      <c r="S11" s="665" t="e">
        <f t="shared" si="0"/>
        <v>#N/A</v>
      </c>
      <c r="T11" s="664" t="s">
        <v>18</v>
      </c>
      <c r="U11" s="665" t="e">
        <f t="shared" si="1"/>
        <v>#N/A</v>
      </c>
      <c r="V11" s="664" t="s">
        <v>18</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21"/>
      <c r="Q12" s="530">
        <f t="shared" si="6"/>
        <v>111</v>
      </c>
      <c r="R12" s="664" t="s">
        <v>18</v>
      </c>
      <c r="S12" s="665">
        <f t="shared" si="0"/>
        <v>100</v>
      </c>
      <c r="T12" s="664" t="s">
        <v>18</v>
      </c>
      <c r="U12" s="665">
        <f t="shared" si="1"/>
        <v>100</v>
      </c>
      <c r="V12" s="664" t="s">
        <v>18</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21"/>
      <c r="Q13" s="530">
        <f t="shared" si="6"/>
        <v>111</v>
      </c>
      <c r="R13" s="664" t="s">
        <v>18</v>
      </c>
      <c r="S13" s="665">
        <f t="shared" si="0"/>
        <v>100</v>
      </c>
      <c r="T13" s="664" t="s">
        <v>18</v>
      </c>
      <c r="U13" s="665">
        <f t="shared" si="1"/>
        <v>100</v>
      </c>
      <c r="V13" s="664" t="s">
        <v>18</v>
      </c>
      <c r="W13" s="665">
        <f t="shared" si="2"/>
        <v>100</v>
      </c>
      <c r="X13" s="666"/>
      <c r="Y13" s="335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21"/>
      <c r="Q14" s="530">
        <f t="shared" si="6"/>
        <v>111</v>
      </c>
      <c r="R14" s="664" t="s">
        <v>18</v>
      </c>
      <c r="S14" s="665">
        <f t="shared" si="0"/>
        <v>100</v>
      </c>
      <c r="T14" s="664" t="s">
        <v>18</v>
      </c>
      <c r="U14" s="665">
        <f t="shared" si="1"/>
        <v>100</v>
      </c>
      <c r="V14" s="664" t="s">
        <v>18</v>
      </c>
      <c r="W14" s="665">
        <f t="shared" si="2"/>
        <v>100</v>
      </c>
      <c r="X14" s="666"/>
      <c r="Y14" s="335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47" t="s">
        <v>1691</v>
      </c>
      <c r="Q15" s="1263" t="str">
        <f t="shared" si="6"/>
        <v>居住社区成熟度</v>
      </c>
      <c r="R15" s="667" t="s">
        <v>18</v>
      </c>
      <c r="S15" s="668">
        <f t="shared" si="0"/>
        <v>100</v>
      </c>
      <c r="T15" s="667" t="s">
        <v>18</v>
      </c>
      <c r="U15" s="668">
        <f t="shared" si="1"/>
        <v>100</v>
      </c>
      <c r="V15" s="667" t="s">
        <v>18</v>
      </c>
      <c r="W15" s="668">
        <f t="shared" si="2"/>
        <v>100</v>
      </c>
      <c r="X15" s="1265"/>
      <c r="Y15" s="344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48"/>
      <c r="Q16" s="1263"/>
      <c r="R16" s="667"/>
      <c r="S16" s="668"/>
      <c r="T16" s="667"/>
      <c r="U16" s="668"/>
      <c r="V16" s="667"/>
      <c r="W16" s="668"/>
      <c r="X16" s="1265"/>
      <c r="Y16" s="3441"/>
      <c r="Z16" s="1264"/>
      <c r="AA16" s="1264">
        <v>1</v>
      </c>
      <c r="AB16" s="1264">
        <v>1</v>
      </c>
      <c r="AC16" s="1264">
        <v>1</v>
      </c>
    </row>
    <row r="17" spans="1:29" ht="110.4">
      <c r="A17" s="367"/>
      <c r="B17" s="390" t="s">
        <v>1259</v>
      </c>
      <c r="C17" s="1754" t="str">
        <f>估价对象房地状况!C6</f>
        <v>估价对象周边道路状况一般，有836、901、917等多条线路及燕房线经过，公共交通通达情况较好、停车便捷程度较好，综合评价交通便捷度较好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8"/>
      <c r="Q17" s="1263" t="str">
        <f>B17</f>
        <v>交通便捷度</v>
      </c>
      <c r="R17" s="667" t="s">
        <v>18</v>
      </c>
      <c r="S17" s="668">
        <f>F17</f>
        <v>100</v>
      </c>
      <c r="T17" s="667" t="s">
        <v>18</v>
      </c>
      <c r="U17" s="668">
        <f>H17</f>
        <v>100</v>
      </c>
      <c r="V17" s="667" t="s">
        <v>18</v>
      </c>
      <c r="W17" s="668">
        <f>J17</f>
        <v>100</v>
      </c>
      <c r="X17" s="1265"/>
      <c r="Y17" s="344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48"/>
      <c r="Q18" s="1263"/>
      <c r="R18" s="667"/>
      <c r="S18" s="668"/>
      <c r="T18" s="667"/>
      <c r="U18" s="668"/>
      <c r="V18" s="667"/>
      <c r="W18" s="668"/>
      <c r="X18" s="1265"/>
      <c r="Y18" s="3441"/>
      <c r="Z18" s="1264"/>
      <c r="AA18" s="1264">
        <v>1</v>
      </c>
      <c r="AB18" s="1264">
        <v>1</v>
      </c>
      <c r="AC18" s="1264">
        <v>1</v>
      </c>
    </row>
    <row r="19" spans="1:29" ht="124.2">
      <c r="A19" s="367"/>
      <c r="B19" s="390" t="s">
        <v>1258</v>
      </c>
      <c r="C19" s="1754" t="str">
        <f>估价对象房地状况!C7</f>
        <v>商场（华冠天地、房山商业大楼）、医院（房山区中医院、房山区第一医院）、学校（房山中学）、餐饮等，公共配套设施较好。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8"/>
      <c r="Q19" s="1263" t="str">
        <f>B19</f>
        <v>公共配套设施</v>
      </c>
      <c r="R19" s="667" t="s">
        <v>18</v>
      </c>
      <c r="S19" s="668">
        <f>F19</f>
        <v>100</v>
      </c>
      <c r="T19" s="667" t="s">
        <v>18</v>
      </c>
      <c r="U19" s="668">
        <f>H19</f>
        <v>100</v>
      </c>
      <c r="V19" s="667" t="s">
        <v>18</v>
      </c>
      <c r="W19" s="668">
        <f>J19</f>
        <v>100</v>
      </c>
      <c r="X19" s="1265"/>
      <c r="Y19" s="344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48"/>
      <c r="Q20" s="1263"/>
      <c r="R20" s="667"/>
      <c r="S20" s="668"/>
      <c r="T20" s="667"/>
      <c r="U20" s="668"/>
      <c r="V20" s="667"/>
      <c r="W20" s="668"/>
      <c r="X20" s="1265"/>
      <c r="Y20" s="344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48"/>
      <c r="Q22" s="1263"/>
      <c r="R22" s="667"/>
      <c r="S22" s="668"/>
      <c r="T22" s="667"/>
      <c r="U22" s="668"/>
      <c r="V22" s="667"/>
      <c r="W22" s="668"/>
      <c r="X22" s="1265"/>
      <c r="Y22" s="3441"/>
      <c r="Z22" s="1264"/>
      <c r="AA22" s="1264">
        <v>1</v>
      </c>
      <c r="AB22" s="1264">
        <v>1</v>
      </c>
      <c r="AC22" s="1264">
        <v>1</v>
      </c>
    </row>
    <row r="23" spans="1:29" ht="69">
      <c r="A23" s="367"/>
      <c r="B23" s="390" t="s">
        <v>1261</v>
      </c>
      <c r="C23" s="1754" t="str">
        <f>估价对象房地状况!C9</f>
        <v>区域自然环境：朝曦公园、迎宾公园；人文环境：无；综合评价环境状况一般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8"/>
      <c r="Q23" s="1263" t="str">
        <f>B23</f>
        <v>自然及人文环境</v>
      </c>
      <c r="R23" s="667" t="s">
        <v>18</v>
      </c>
      <c r="S23" s="668">
        <f>F23</f>
        <v>100</v>
      </c>
      <c r="T23" s="667" t="s">
        <v>18</v>
      </c>
      <c r="U23" s="668">
        <f>H23</f>
        <v>100</v>
      </c>
      <c r="V23" s="667" t="s">
        <v>18</v>
      </c>
      <c r="W23" s="668">
        <f>J23</f>
        <v>100</v>
      </c>
      <c r="X23" s="1265"/>
      <c r="Y23" s="344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48"/>
      <c r="Q24" s="1263"/>
      <c r="R24" s="667"/>
      <c r="S24" s="668"/>
      <c r="T24" s="667"/>
      <c r="U24" s="668"/>
      <c r="V24" s="667"/>
      <c r="W24" s="668"/>
      <c r="X24" s="1265"/>
      <c r="Y24" s="344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48"/>
      <c r="Q26" s="1263" t="str">
        <f t="shared" si="11"/>
        <v>朝向</v>
      </c>
      <c r="R26" s="667" t="s">
        <v>18</v>
      </c>
      <c r="S26" s="668">
        <f t="shared" si="12"/>
        <v>100</v>
      </c>
      <c r="T26" s="667" t="s">
        <v>18</v>
      </c>
      <c r="U26" s="668">
        <f t="shared" si="13"/>
        <v>100</v>
      </c>
      <c r="V26" s="667" t="s">
        <v>18</v>
      </c>
      <c r="W26" s="668">
        <f t="shared" si="14"/>
        <v>100</v>
      </c>
      <c r="X26" s="1265"/>
      <c r="Y26" s="344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48"/>
      <c r="Q27" s="530">
        <f t="shared" si="11"/>
        <v>111</v>
      </c>
      <c r="R27" s="664" t="s">
        <v>18</v>
      </c>
      <c r="S27" s="665">
        <f t="shared" si="12"/>
        <v>100</v>
      </c>
      <c r="T27" s="664" t="s">
        <v>18</v>
      </c>
      <c r="U27" s="665">
        <f t="shared" si="13"/>
        <v>100</v>
      </c>
      <c r="V27" s="664" t="s">
        <v>18</v>
      </c>
      <c r="W27" s="665">
        <f t="shared" si="14"/>
        <v>100</v>
      </c>
      <c r="X27" s="666"/>
      <c r="Y27" s="344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8"/>
      <c r="Q28" s="1263">
        <f t="shared" si="11"/>
        <v>111</v>
      </c>
      <c r="R28" s="667" t="s">
        <v>18</v>
      </c>
      <c r="S28" s="668">
        <f t="shared" si="12"/>
        <v>100</v>
      </c>
      <c r="T28" s="667" t="s">
        <v>18</v>
      </c>
      <c r="U28" s="668">
        <f t="shared" si="13"/>
        <v>100</v>
      </c>
      <c r="V28" s="667" t="s">
        <v>18</v>
      </c>
      <c r="W28" s="668">
        <f t="shared" si="14"/>
        <v>100</v>
      </c>
      <c r="X28" s="1265"/>
      <c r="Y28" s="344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8"/>
      <c r="Q29" s="1263">
        <f t="shared" si="11"/>
        <v>111</v>
      </c>
      <c r="R29" s="667" t="s">
        <v>18</v>
      </c>
      <c r="S29" s="668">
        <f t="shared" si="12"/>
        <v>100</v>
      </c>
      <c r="T29" s="667" t="s">
        <v>18</v>
      </c>
      <c r="U29" s="668">
        <f t="shared" si="13"/>
        <v>100</v>
      </c>
      <c r="V29" s="667" t="s">
        <v>18</v>
      </c>
      <c r="W29" s="668">
        <f t="shared" si="14"/>
        <v>100</v>
      </c>
      <c r="X29" s="1265"/>
      <c r="Y29" s="344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8"/>
      <c r="Q30" s="1263">
        <f t="shared" si="11"/>
        <v>111</v>
      </c>
      <c r="R30" s="667" t="s">
        <v>18</v>
      </c>
      <c r="S30" s="668">
        <f t="shared" si="12"/>
        <v>100</v>
      </c>
      <c r="T30" s="667" t="s">
        <v>18</v>
      </c>
      <c r="U30" s="668">
        <f t="shared" si="13"/>
        <v>100</v>
      </c>
      <c r="V30" s="667" t="s">
        <v>18</v>
      </c>
      <c r="W30" s="668">
        <f t="shared" si="14"/>
        <v>100</v>
      </c>
      <c r="X30" s="1265"/>
      <c r="Y30" s="344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8"/>
      <c r="Q31" s="1263">
        <f t="shared" si="11"/>
        <v>111</v>
      </c>
      <c r="R31" s="667" t="s">
        <v>18</v>
      </c>
      <c r="S31" s="668">
        <f t="shared" si="12"/>
        <v>100</v>
      </c>
      <c r="T31" s="667" t="s">
        <v>18</v>
      </c>
      <c r="U31" s="668">
        <f t="shared" si="13"/>
        <v>100</v>
      </c>
      <c r="V31" s="667" t="s">
        <v>18</v>
      </c>
      <c r="W31" s="668">
        <f t="shared" si="14"/>
        <v>100</v>
      </c>
      <c r="X31" s="1265"/>
      <c r="Y31" s="344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42" t="s">
        <v>1696</v>
      </c>
      <c r="Q32" s="1263" t="str">
        <f t="shared" si="11"/>
        <v>建筑类型</v>
      </c>
      <c r="R32" s="667" t="s">
        <v>18</v>
      </c>
      <c r="S32" s="668">
        <f t="shared" si="12"/>
        <v>100</v>
      </c>
      <c r="T32" s="667" t="s">
        <v>18</v>
      </c>
      <c r="U32" s="668">
        <f t="shared" si="13"/>
        <v>100</v>
      </c>
      <c r="V32" s="667" t="s">
        <v>18</v>
      </c>
      <c r="W32" s="668">
        <f t="shared" si="14"/>
        <v>100</v>
      </c>
      <c r="X32" s="1265"/>
      <c r="Y32" s="344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43"/>
      <c r="Q33" s="531" t="str">
        <f t="shared" si="11"/>
        <v>项目建筑规模</v>
      </c>
      <c r="R33" s="669" t="s">
        <v>18</v>
      </c>
      <c r="S33" s="670" t="e">
        <f t="shared" si="12"/>
        <v>#N/A</v>
      </c>
      <c r="T33" s="669" t="s">
        <v>18</v>
      </c>
      <c r="U33" s="670" t="e">
        <f t="shared" si="13"/>
        <v>#N/A</v>
      </c>
      <c r="V33" s="669" t="s">
        <v>18</v>
      </c>
      <c r="W33" s="670" t="e">
        <f t="shared" si="14"/>
        <v>#N/A</v>
      </c>
      <c r="X33" s="671"/>
      <c r="Y33" s="344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43"/>
      <c r="Q34" s="1263" t="str">
        <f t="shared" si="11"/>
        <v>建筑结构</v>
      </c>
      <c r="R34" s="667" t="s">
        <v>18</v>
      </c>
      <c r="S34" s="668">
        <f t="shared" si="12"/>
        <v>100</v>
      </c>
      <c r="T34" s="667" t="s">
        <v>18</v>
      </c>
      <c r="U34" s="668">
        <f t="shared" si="13"/>
        <v>100</v>
      </c>
      <c r="V34" s="667" t="s">
        <v>18</v>
      </c>
      <c r="W34" s="668">
        <f t="shared" si="14"/>
        <v>100</v>
      </c>
      <c r="X34" s="1265"/>
      <c r="Y34" s="344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43"/>
      <c r="Q35" s="1263" t="str">
        <f t="shared" si="11"/>
        <v>建筑品质</v>
      </c>
      <c r="R35" s="667" t="s">
        <v>18</v>
      </c>
      <c r="S35" s="668">
        <f t="shared" si="12"/>
        <v>100</v>
      </c>
      <c r="T35" s="667" t="s">
        <v>18</v>
      </c>
      <c r="U35" s="668">
        <f t="shared" si="13"/>
        <v>100</v>
      </c>
      <c r="V35" s="667" t="s">
        <v>18</v>
      </c>
      <c r="W35" s="668">
        <f t="shared" si="14"/>
        <v>100</v>
      </c>
      <c r="X35" s="1265"/>
      <c r="Y35" s="344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43"/>
      <c r="Q36" s="1263" t="str">
        <f t="shared" si="11"/>
        <v>公共部分装修</v>
      </c>
      <c r="R36" s="667" t="s">
        <v>18</v>
      </c>
      <c r="S36" s="668">
        <f t="shared" si="12"/>
        <v>100</v>
      </c>
      <c r="T36" s="667" t="s">
        <v>18</v>
      </c>
      <c r="U36" s="668">
        <f t="shared" si="13"/>
        <v>100</v>
      </c>
      <c r="V36" s="667" t="s">
        <v>18</v>
      </c>
      <c r="W36" s="668">
        <f t="shared" si="14"/>
        <v>100</v>
      </c>
      <c r="X36" s="1265"/>
      <c r="Y36" s="344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43"/>
      <c r="Q37" s="530" t="str">
        <f t="shared" si="11"/>
        <v>成新度</v>
      </c>
      <c r="R37" s="664" t="s">
        <v>18</v>
      </c>
      <c r="S37" s="665" t="e">
        <f t="shared" si="12"/>
        <v>#N/A</v>
      </c>
      <c r="T37" s="664" t="s">
        <v>18</v>
      </c>
      <c r="U37" s="665" t="e">
        <f t="shared" si="13"/>
        <v>#N/A</v>
      </c>
      <c r="V37" s="664" t="s">
        <v>18</v>
      </c>
      <c r="W37" s="665" t="e">
        <f t="shared" si="14"/>
        <v>#N/A</v>
      </c>
      <c r="X37" s="666"/>
      <c r="Y37" s="344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43" t="s">
        <v>1696</v>
      </c>
      <c r="Q38" s="1263" t="str">
        <f t="shared" si="11"/>
        <v>物业管理</v>
      </c>
      <c r="R38" s="667" t="s">
        <v>18</v>
      </c>
      <c r="S38" s="668">
        <f t="shared" si="12"/>
        <v>100</v>
      </c>
      <c r="T38" s="667" t="s">
        <v>18</v>
      </c>
      <c r="U38" s="668">
        <f t="shared" si="13"/>
        <v>100</v>
      </c>
      <c r="V38" s="667" t="s">
        <v>18</v>
      </c>
      <c r="W38" s="668">
        <f t="shared" si="14"/>
        <v>100</v>
      </c>
      <c r="X38" s="1265"/>
      <c r="Y38" s="344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43"/>
      <c r="Q39" s="1263" t="str">
        <f t="shared" si="11"/>
        <v>市政基础设施</v>
      </c>
      <c r="R39" s="667" t="s">
        <v>18</v>
      </c>
      <c r="S39" s="668">
        <f t="shared" si="12"/>
        <v>100</v>
      </c>
      <c r="T39" s="667" t="s">
        <v>18</v>
      </c>
      <c r="U39" s="668">
        <f t="shared" si="13"/>
        <v>100</v>
      </c>
      <c r="V39" s="667" t="s">
        <v>18</v>
      </c>
      <c r="W39" s="668">
        <f t="shared" si="14"/>
        <v>100</v>
      </c>
      <c r="X39" s="1265"/>
      <c r="Y39" s="344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43"/>
      <c r="Q40" s="1263" t="str">
        <f t="shared" si="11"/>
        <v>房型</v>
      </c>
      <c r="R40" s="667" t="s">
        <v>18</v>
      </c>
      <c r="S40" s="668">
        <f t="shared" si="12"/>
        <v>100</v>
      </c>
      <c r="T40" s="667" t="s">
        <v>18</v>
      </c>
      <c r="U40" s="668">
        <f t="shared" si="13"/>
        <v>100</v>
      </c>
      <c r="V40" s="667" t="s">
        <v>18</v>
      </c>
      <c r="W40" s="668">
        <f t="shared" si="14"/>
        <v>100</v>
      </c>
      <c r="X40" s="1265"/>
      <c r="Y40" s="344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43"/>
      <c r="Q41" s="531" t="str">
        <f t="shared" si="11"/>
        <v>单套/主力户型建筑面积</v>
      </c>
      <c r="R41" s="669" t="s">
        <v>18</v>
      </c>
      <c r="S41" s="670">
        <f t="shared" si="12"/>
        <v>100</v>
      </c>
      <c r="T41" s="669" t="s">
        <v>18</v>
      </c>
      <c r="U41" s="670">
        <f t="shared" si="13"/>
        <v>100</v>
      </c>
      <c r="V41" s="669" t="s">
        <v>18</v>
      </c>
      <c r="W41" s="670">
        <f t="shared" si="14"/>
        <v>100</v>
      </c>
      <c r="X41" s="671"/>
      <c r="Y41" s="344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43"/>
      <c r="Q42" s="1263" t="str">
        <f t="shared" si="11"/>
        <v>内部装修</v>
      </c>
      <c r="R42" s="667" t="s">
        <v>18</v>
      </c>
      <c r="S42" s="668">
        <f t="shared" si="12"/>
        <v>100</v>
      </c>
      <c r="T42" s="667" t="s">
        <v>18</v>
      </c>
      <c r="U42" s="668">
        <f t="shared" si="13"/>
        <v>100</v>
      </c>
      <c r="V42" s="667" t="s">
        <v>18</v>
      </c>
      <c r="W42" s="668">
        <f t="shared" si="14"/>
        <v>100</v>
      </c>
      <c r="X42" s="1265"/>
      <c r="Y42" s="344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43"/>
      <c r="Q43" s="1263" t="str">
        <f t="shared" si="11"/>
        <v>内部装修维护情况</v>
      </c>
      <c r="R43" s="667" t="s">
        <v>18</v>
      </c>
      <c r="S43" s="668">
        <f t="shared" si="12"/>
        <v>100</v>
      </c>
      <c r="T43" s="667" t="s">
        <v>18</v>
      </c>
      <c r="U43" s="668">
        <f t="shared" si="13"/>
        <v>100</v>
      </c>
      <c r="V43" s="667" t="s">
        <v>18</v>
      </c>
      <c r="W43" s="668">
        <f t="shared" si="14"/>
        <v>100</v>
      </c>
      <c r="X43" s="1265"/>
      <c r="Y43" s="344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43"/>
      <c r="Q44" s="530">
        <f t="shared" si="11"/>
        <v>111</v>
      </c>
      <c r="R44" s="664" t="s">
        <v>18</v>
      </c>
      <c r="S44" s="665">
        <f t="shared" si="12"/>
        <v>100</v>
      </c>
      <c r="T44" s="664" t="s">
        <v>18</v>
      </c>
      <c r="U44" s="665">
        <f t="shared" si="13"/>
        <v>100</v>
      </c>
      <c r="V44" s="664" t="s">
        <v>18</v>
      </c>
      <c r="W44" s="665">
        <f t="shared" si="14"/>
        <v>100</v>
      </c>
      <c r="X44" s="666"/>
      <c r="Y44" s="344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43"/>
      <c r="Q45" s="1263">
        <f t="shared" si="11"/>
        <v>111</v>
      </c>
      <c r="R45" s="667" t="s">
        <v>18</v>
      </c>
      <c r="S45" s="668">
        <f t="shared" si="12"/>
        <v>100</v>
      </c>
      <c r="T45" s="667" t="s">
        <v>18</v>
      </c>
      <c r="U45" s="668">
        <f t="shared" si="13"/>
        <v>100</v>
      </c>
      <c r="V45" s="667" t="s">
        <v>18</v>
      </c>
      <c r="W45" s="668">
        <f t="shared" si="14"/>
        <v>100</v>
      </c>
      <c r="X45" s="1265"/>
      <c r="Y45" s="344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44"/>
      <c r="Q46" s="1263">
        <f t="shared" si="11"/>
        <v>111</v>
      </c>
      <c r="R46" s="667" t="s">
        <v>17</v>
      </c>
      <c r="S46" s="668">
        <f t="shared" si="12"/>
        <v>100</v>
      </c>
      <c r="T46" s="667" t="s">
        <v>17</v>
      </c>
      <c r="U46" s="668">
        <f t="shared" si="13"/>
        <v>100</v>
      </c>
      <c r="V46" s="667" t="s">
        <v>17</v>
      </c>
      <c r="W46" s="668">
        <f t="shared" si="14"/>
        <v>100</v>
      </c>
      <c r="X46" s="1265"/>
      <c r="Y46" s="344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39" t="str">
        <f>A47</f>
        <v>成交单价（元/平方米）</v>
      </c>
      <c r="Q47" s="3439"/>
      <c r="R47" s="3434">
        <f>E47</f>
        <v>0</v>
      </c>
      <c r="S47" s="3434"/>
      <c r="T47" s="3434">
        <f>G47</f>
        <v>0</v>
      </c>
      <c r="U47" s="3434"/>
      <c r="V47" s="3434">
        <f>I47</f>
        <v>0</v>
      </c>
      <c r="W47" s="343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1298.9000000000001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22" t="s">
        <v>1770</v>
      </c>
      <c r="D4" s="3423"/>
      <c r="E4" s="3424" t="s">
        <v>1771</v>
      </c>
      <c r="F4" s="3425"/>
      <c r="G4" s="3422" t="s">
        <v>1772</v>
      </c>
      <c r="H4" s="3423"/>
      <c r="I4" s="3422" t="s">
        <v>1773</v>
      </c>
      <c r="J4" s="3423"/>
      <c r="K4" s="537" t="s">
        <v>1774</v>
      </c>
      <c r="L4" s="2484"/>
      <c r="M4" s="2485"/>
      <c r="N4" s="2485"/>
      <c r="O4" s="2485"/>
      <c r="P4" s="3426" t="s">
        <v>1775</v>
      </c>
      <c r="Q4" s="3427"/>
      <c r="R4" s="3409" t="s">
        <v>1771</v>
      </c>
      <c r="S4" s="3410"/>
      <c r="T4" s="3409" t="s">
        <v>1772</v>
      </c>
      <c r="U4" s="3410"/>
      <c r="V4" s="3434" t="s">
        <v>1773</v>
      </c>
      <c r="W4" s="3434"/>
      <c r="X4" s="1265"/>
      <c r="Y4" s="3409" t="s">
        <v>1775</v>
      </c>
      <c r="Z4" s="3410"/>
      <c r="AA4" s="3404" t="s">
        <v>1771</v>
      </c>
      <c r="AB4" s="3434" t="s">
        <v>1772</v>
      </c>
      <c r="AC4" s="3404" t="s">
        <v>1773</v>
      </c>
    </row>
    <row r="5" spans="1:29">
      <c r="A5" s="348"/>
      <c r="B5" s="349"/>
      <c r="C5" s="3415" t="s">
        <v>1673</v>
      </c>
      <c r="D5" s="3416"/>
      <c r="E5" s="3413" t="s">
        <v>1674</v>
      </c>
      <c r="F5" s="3414"/>
      <c r="G5" s="3415" t="s">
        <v>1675</v>
      </c>
      <c r="H5" s="3416"/>
      <c r="I5" s="3415" t="s">
        <v>1676</v>
      </c>
      <c r="J5" s="3416"/>
      <c r="K5" s="537"/>
      <c r="L5" s="2484"/>
      <c r="M5" s="2485"/>
      <c r="N5" s="2485"/>
      <c r="O5" s="2485"/>
      <c r="P5" s="3428"/>
      <c r="Q5" s="3429"/>
      <c r="R5" s="3411"/>
      <c r="S5" s="3412"/>
      <c r="T5" s="3411"/>
      <c r="U5" s="3412"/>
      <c r="V5" s="3434"/>
      <c r="W5" s="3434"/>
      <c r="X5" s="1265"/>
      <c r="Y5" s="3411"/>
      <c r="Z5" s="3412"/>
      <c r="AA5" s="3405"/>
      <c r="AB5" s="3434"/>
      <c r="AC5" s="3405"/>
    </row>
    <row r="6" spans="1:29" ht="15" thickBot="1">
      <c r="A6" s="350"/>
      <c r="B6" s="351"/>
      <c r="C6" s="3417" t="s">
        <v>1677</v>
      </c>
      <c r="D6" s="3418"/>
      <c r="E6" s="3419" t="s">
        <v>1677</v>
      </c>
      <c r="F6" s="3420"/>
      <c r="G6" s="3417" t="s">
        <v>1677</v>
      </c>
      <c r="H6" s="3418"/>
      <c r="I6" s="3417" t="s">
        <v>1677</v>
      </c>
      <c r="J6" s="3418"/>
      <c r="K6" s="537" t="s">
        <v>1678</v>
      </c>
      <c r="L6" s="2484"/>
      <c r="M6" s="2485"/>
      <c r="N6" s="2485"/>
      <c r="O6" s="2485"/>
      <c r="P6" s="3430"/>
      <c r="Q6" s="3431"/>
      <c r="R6" s="3411"/>
      <c r="S6" s="3412"/>
      <c r="T6" s="3432"/>
      <c r="U6" s="3433"/>
      <c r="V6" s="3434"/>
      <c r="W6" s="3434"/>
      <c r="X6" s="1265"/>
      <c r="Y6" s="3432"/>
      <c r="Z6" s="3433"/>
      <c r="AA6" s="3406"/>
      <c r="AB6" s="3434"/>
      <c r="AC6" s="3406"/>
    </row>
    <row r="7" spans="1:29" s="102" customFormat="1" ht="1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7"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21"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21"/>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21"/>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21"/>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21"/>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21"/>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82.8">
      <c r="A15" s="379" t="s">
        <v>1690</v>
      </c>
      <c r="B15" s="58" t="s">
        <v>1777</v>
      </c>
      <c r="C15" s="1750" t="str">
        <f>估价对象房地状况!C4</f>
        <v>周边商业氛围较成熟，有华冠天地、房山商业大楼等项目，人流量较大，商业繁华度较好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7" t="s">
        <v>1691</v>
      </c>
      <c r="Q15" s="1263" t="str">
        <f t="shared" si="6"/>
        <v>商业繁华度</v>
      </c>
      <c r="R15" s="667" t="s">
        <v>14</v>
      </c>
      <c r="S15" s="668">
        <f t="shared" si="0"/>
        <v>100</v>
      </c>
      <c r="T15" s="667" t="s">
        <v>14</v>
      </c>
      <c r="U15" s="668">
        <f t="shared" si="1"/>
        <v>100</v>
      </c>
      <c r="V15" s="667" t="s">
        <v>14</v>
      </c>
      <c r="W15" s="668">
        <f t="shared" si="2"/>
        <v>100</v>
      </c>
      <c r="X15" s="1265"/>
      <c r="Y15" s="344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48"/>
      <c r="Q16" s="1263"/>
      <c r="R16" s="667"/>
      <c r="S16" s="668"/>
      <c r="T16" s="667"/>
      <c r="U16" s="668"/>
      <c r="V16" s="667"/>
      <c r="W16" s="668"/>
      <c r="X16" s="1265"/>
      <c r="Y16" s="3441"/>
      <c r="Z16" s="1264"/>
      <c r="AA16" s="1264">
        <v>1</v>
      </c>
      <c r="AB16" s="1264">
        <v>1</v>
      </c>
      <c r="AC16" s="1264">
        <v>1</v>
      </c>
    </row>
    <row r="17" spans="1:29" ht="110.4">
      <c r="A17" s="367"/>
      <c r="B17" s="390" t="s">
        <v>1259</v>
      </c>
      <c r="C17" s="1754" t="str">
        <f>估价对象房地状况!C6</f>
        <v>估价对象周边道路状况一般，有836、901、917等多条线路及燕房线经过，公共交通通达情况较好、停车便捷程度较好，综合评价交通便捷度较好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8"/>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48"/>
      <c r="Q18" s="1263"/>
      <c r="R18" s="667"/>
      <c r="S18" s="668"/>
      <c r="T18" s="667"/>
      <c r="U18" s="668"/>
      <c r="V18" s="667"/>
      <c r="W18" s="668"/>
      <c r="X18" s="1265"/>
      <c r="Y18" s="3441"/>
      <c r="Z18" s="1264"/>
      <c r="AA18" s="1264">
        <v>1</v>
      </c>
      <c r="AB18" s="1264">
        <v>1</v>
      </c>
      <c r="AC18" s="1264">
        <v>1</v>
      </c>
    </row>
    <row r="19" spans="1:29" ht="124.2">
      <c r="A19" s="367"/>
      <c r="B19" s="390" t="s">
        <v>1778</v>
      </c>
      <c r="C19" s="1754" t="str">
        <f>估价对象房地状况!C7</f>
        <v>商场（华冠天地、房山商业大楼）、医院（房山区中医院、房山区第一医院）、学校（房山中学）、餐饮等，公共配套设施较好。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8"/>
      <c r="Q19" s="1263" t="str">
        <f>B19</f>
        <v>公共配套设施</v>
      </c>
      <c r="R19" s="667" t="s">
        <v>14</v>
      </c>
      <c r="S19" s="668">
        <f>F19</f>
        <v>100</v>
      </c>
      <c r="T19" s="667" t="s">
        <v>14</v>
      </c>
      <c r="U19" s="668">
        <f>H19</f>
        <v>100</v>
      </c>
      <c r="V19" s="667" t="s">
        <v>14</v>
      </c>
      <c r="W19" s="668">
        <f>J19</f>
        <v>100</v>
      </c>
      <c r="X19" s="1265"/>
      <c r="Y19" s="344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48"/>
      <c r="Q20" s="1263"/>
      <c r="R20" s="667"/>
      <c r="S20" s="668"/>
      <c r="T20" s="667"/>
      <c r="U20" s="668"/>
      <c r="V20" s="667"/>
      <c r="W20" s="668"/>
      <c r="X20" s="1265"/>
      <c r="Y20" s="344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48"/>
      <c r="Q22" s="1263"/>
      <c r="R22" s="667"/>
      <c r="S22" s="668"/>
      <c r="T22" s="667"/>
      <c r="U22" s="668"/>
      <c r="V22" s="667"/>
      <c r="W22" s="668"/>
      <c r="X22" s="1265"/>
      <c r="Y22" s="3441"/>
      <c r="Z22" s="1264"/>
      <c r="AA22" s="1264">
        <v>1</v>
      </c>
      <c r="AB22" s="1264">
        <v>1</v>
      </c>
      <c r="AC22" s="1264">
        <v>1</v>
      </c>
    </row>
    <row r="23" spans="1:29" ht="69">
      <c r="A23" s="367"/>
      <c r="B23" s="390" t="s">
        <v>1261</v>
      </c>
      <c r="C23" s="1806" t="str">
        <f>估价对象房地状况!C9</f>
        <v>区域自然环境：朝曦公园、迎宾公园；人文环境：无；综合评价环境状况一般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8"/>
      <c r="Q23" s="1263" t="str">
        <f>B23</f>
        <v>自然及人文环境</v>
      </c>
      <c r="R23" s="667" t="s">
        <v>14</v>
      </c>
      <c r="S23" s="668">
        <f>F23</f>
        <v>100</v>
      </c>
      <c r="T23" s="667" t="s">
        <v>14</v>
      </c>
      <c r="U23" s="668">
        <f>H23</f>
        <v>100</v>
      </c>
      <c r="V23" s="667" t="s">
        <v>14</v>
      </c>
      <c r="W23" s="668">
        <f>J23</f>
        <v>100</v>
      </c>
      <c r="X23" s="1265"/>
      <c r="Y23" s="344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48"/>
      <c r="Q24" s="1263"/>
      <c r="R24" s="667"/>
      <c r="S24" s="668"/>
      <c r="T24" s="667"/>
      <c r="U24" s="668"/>
      <c r="V24" s="667"/>
      <c r="W24" s="668"/>
      <c r="X24" s="1265"/>
      <c r="Y24" s="344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8"/>
      <c r="Q25" s="1263" t="str">
        <f t="shared" ref="Q25:Q46" si="11">B25</f>
        <v>临街状况</v>
      </c>
      <c r="R25" s="667" t="s">
        <v>14</v>
      </c>
      <c r="S25" s="668">
        <f>F25</f>
        <v>100</v>
      </c>
      <c r="T25" s="667" t="s">
        <v>14</v>
      </c>
      <c r="U25" s="668">
        <f>H25</f>
        <v>100</v>
      </c>
      <c r="V25" s="667" t="s">
        <v>14</v>
      </c>
      <c r="W25" s="668">
        <f>J25</f>
        <v>100</v>
      </c>
      <c r="X25" s="1265"/>
      <c r="Y25" s="344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8"/>
      <c r="Q26" s="1263" t="str">
        <f t="shared" si="11"/>
        <v>平面位置/可视性</v>
      </c>
      <c r="R26" s="667" t="s">
        <v>14</v>
      </c>
      <c r="S26" s="668">
        <f>F26</f>
        <v>100</v>
      </c>
      <c r="T26" s="667" t="s">
        <v>14</v>
      </c>
      <c r="U26" s="668">
        <f>H26</f>
        <v>100</v>
      </c>
      <c r="V26" s="667" t="s">
        <v>14</v>
      </c>
      <c r="W26" s="668">
        <f>J26</f>
        <v>100</v>
      </c>
      <c r="X26" s="1265"/>
      <c r="Y26" s="344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48"/>
      <c r="Q27" s="530" t="str">
        <f t="shared" si="11"/>
        <v>人流量</v>
      </c>
      <c r="R27" s="664" t="s">
        <v>14</v>
      </c>
      <c r="S27" s="665">
        <f>F27</f>
        <v>100</v>
      </c>
      <c r="T27" s="664" t="s">
        <v>14</v>
      </c>
      <c r="U27" s="665">
        <f>H27</f>
        <v>100</v>
      </c>
      <c r="V27" s="664" t="s">
        <v>14</v>
      </c>
      <c r="W27" s="665">
        <f>J27</f>
        <v>100</v>
      </c>
      <c r="X27" s="666"/>
      <c r="Y27" s="344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8"/>
      <c r="Q29" s="1263">
        <f t="shared" si="11"/>
        <v>111</v>
      </c>
      <c r="R29" s="667" t="s">
        <v>14</v>
      </c>
      <c r="S29" s="668">
        <f t="shared" si="12"/>
        <v>100</v>
      </c>
      <c r="T29" s="667" t="s">
        <v>14</v>
      </c>
      <c r="U29" s="668">
        <f t="shared" si="13"/>
        <v>100</v>
      </c>
      <c r="V29" s="667" t="s">
        <v>14</v>
      </c>
      <c r="W29" s="668">
        <f t="shared" si="14"/>
        <v>100</v>
      </c>
      <c r="X29" s="1265"/>
      <c r="Y29" s="344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8"/>
      <c r="Q30" s="1263">
        <f t="shared" si="11"/>
        <v>111</v>
      </c>
      <c r="R30" s="667" t="s">
        <v>14</v>
      </c>
      <c r="S30" s="668">
        <f t="shared" si="12"/>
        <v>100</v>
      </c>
      <c r="T30" s="667" t="s">
        <v>14</v>
      </c>
      <c r="U30" s="668">
        <f t="shared" si="13"/>
        <v>100</v>
      </c>
      <c r="V30" s="667" t="s">
        <v>14</v>
      </c>
      <c r="W30" s="668">
        <f t="shared" si="14"/>
        <v>100</v>
      </c>
      <c r="X30" s="1265"/>
      <c r="Y30" s="344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8"/>
      <c r="Q31" s="1263">
        <f t="shared" si="11"/>
        <v>111</v>
      </c>
      <c r="R31" s="667" t="s">
        <v>14</v>
      </c>
      <c r="S31" s="668">
        <f t="shared" si="12"/>
        <v>100</v>
      </c>
      <c r="T31" s="667" t="s">
        <v>14</v>
      </c>
      <c r="U31" s="668">
        <f t="shared" si="13"/>
        <v>100</v>
      </c>
      <c r="V31" s="667" t="s">
        <v>14</v>
      </c>
      <c r="W31" s="668">
        <f t="shared" si="14"/>
        <v>100</v>
      </c>
      <c r="X31" s="1265"/>
      <c r="Y31" s="344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42" t="s">
        <v>1696</v>
      </c>
      <c r="Q32" s="1263" t="str">
        <f t="shared" si="11"/>
        <v>商业类型</v>
      </c>
      <c r="R32" s="667" t="s">
        <v>14</v>
      </c>
      <c r="S32" s="668">
        <f t="shared" si="12"/>
        <v>100</v>
      </c>
      <c r="T32" s="667" t="s">
        <v>14</v>
      </c>
      <c r="U32" s="668">
        <f t="shared" si="13"/>
        <v>100</v>
      </c>
      <c r="V32" s="667" t="s">
        <v>14</v>
      </c>
      <c r="W32" s="668">
        <f t="shared" si="14"/>
        <v>100</v>
      </c>
      <c r="X32" s="1265"/>
      <c r="Y32" s="344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43"/>
      <c r="Q33" s="531" t="str">
        <f t="shared" si="11"/>
        <v>项目建筑规模</v>
      </c>
      <c r="R33" s="669" t="s">
        <v>14</v>
      </c>
      <c r="S33" s="670" t="e">
        <f t="shared" si="12"/>
        <v>#N/A</v>
      </c>
      <c r="T33" s="669" t="s">
        <v>14</v>
      </c>
      <c r="U33" s="670" t="e">
        <f t="shared" si="13"/>
        <v>#N/A</v>
      </c>
      <c r="V33" s="669" t="s">
        <v>14</v>
      </c>
      <c r="W33" s="670" t="e">
        <f t="shared" si="14"/>
        <v>#N/A</v>
      </c>
      <c r="X33" s="671"/>
      <c r="Y33" s="344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43"/>
      <c r="Q34" s="1263" t="str">
        <f t="shared" si="11"/>
        <v>建筑结构</v>
      </c>
      <c r="R34" s="667" t="s">
        <v>14</v>
      </c>
      <c r="S34" s="668">
        <f t="shared" si="12"/>
        <v>100</v>
      </c>
      <c r="T34" s="667" t="s">
        <v>14</v>
      </c>
      <c r="U34" s="668">
        <f t="shared" si="13"/>
        <v>100</v>
      </c>
      <c r="V34" s="667" t="s">
        <v>14</v>
      </c>
      <c r="W34" s="668">
        <f t="shared" si="14"/>
        <v>100</v>
      </c>
      <c r="X34" s="1265"/>
      <c r="Y34" s="344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43"/>
      <c r="Q35" s="1263" t="str">
        <f t="shared" si="11"/>
        <v>公共部分装修</v>
      </c>
      <c r="R35" s="667" t="s">
        <v>14</v>
      </c>
      <c r="S35" s="668">
        <f t="shared" si="12"/>
        <v>100</v>
      </c>
      <c r="T35" s="667" t="s">
        <v>14</v>
      </c>
      <c r="U35" s="668">
        <f t="shared" si="13"/>
        <v>100</v>
      </c>
      <c r="V35" s="667" t="s">
        <v>14</v>
      </c>
      <c r="W35" s="668">
        <f t="shared" si="14"/>
        <v>100</v>
      </c>
      <c r="X35" s="1265"/>
      <c r="Y35" s="344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43"/>
      <c r="Q36" s="1263" t="str">
        <f t="shared" si="11"/>
        <v>成新度</v>
      </c>
      <c r="R36" s="667" t="s">
        <v>14</v>
      </c>
      <c r="S36" s="668" t="e">
        <f t="shared" si="12"/>
        <v>#N/A</v>
      </c>
      <c r="T36" s="667" t="s">
        <v>14</v>
      </c>
      <c r="U36" s="668" t="e">
        <f t="shared" si="13"/>
        <v>#N/A</v>
      </c>
      <c r="V36" s="667" t="s">
        <v>14</v>
      </c>
      <c r="W36" s="668" t="e">
        <f t="shared" si="14"/>
        <v>#N/A</v>
      </c>
      <c r="X36" s="1265"/>
      <c r="Y36" s="344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43"/>
      <c r="Q37" s="530" t="str">
        <f t="shared" si="11"/>
        <v>市政基础设施</v>
      </c>
      <c r="R37" s="664" t="s">
        <v>14</v>
      </c>
      <c r="S37" s="665">
        <f t="shared" si="12"/>
        <v>100</v>
      </c>
      <c r="T37" s="664" t="s">
        <v>14</v>
      </c>
      <c r="U37" s="665">
        <f t="shared" si="13"/>
        <v>100</v>
      </c>
      <c r="V37" s="664" t="s">
        <v>14</v>
      </c>
      <c r="W37" s="665">
        <f t="shared" si="14"/>
        <v>100</v>
      </c>
      <c r="X37" s="666"/>
      <c r="Y37" s="344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43" t="s">
        <v>1696</v>
      </c>
      <c r="Q38" s="1263" t="str">
        <f t="shared" si="11"/>
        <v>业态</v>
      </c>
      <c r="R38" s="667" t="s">
        <v>14</v>
      </c>
      <c r="S38" s="668">
        <f t="shared" si="12"/>
        <v>100</v>
      </c>
      <c r="T38" s="667" t="s">
        <v>14</v>
      </c>
      <c r="U38" s="668">
        <f t="shared" si="13"/>
        <v>100</v>
      </c>
      <c r="V38" s="667" t="s">
        <v>14</v>
      </c>
      <c r="W38" s="668">
        <f t="shared" si="14"/>
        <v>100</v>
      </c>
      <c r="X38" s="1265"/>
      <c r="Y38" s="344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43"/>
      <c r="Q39" s="1263" t="str">
        <f t="shared" si="11"/>
        <v>层高</v>
      </c>
      <c r="R39" s="667" t="s">
        <v>14</v>
      </c>
      <c r="S39" s="668">
        <f t="shared" si="12"/>
        <v>100</v>
      </c>
      <c r="T39" s="667" t="s">
        <v>14</v>
      </c>
      <c r="U39" s="668">
        <f t="shared" si="13"/>
        <v>100</v>
      </c>
      <c r="V39" s="667" t="s">
        <v>14</v>
      </c>
      <c r="W39" s="668">
        <f t="shared" si="14"/>
        <v>100</v>
      </c>
      <c r="X39" s="1265"/>
      <c r="Y39" s="344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43"/>
      <c r="Q40" s="1263" t="str">
        <f t="shared" si="11"/>
        <v>单套建筑面积</v>
      </c>
      <c r="R40" s="667" t="s">
        <v>14</v>
      </c>
      <c r="S40" s="668">
        <f t="shared" si="12"/>
        <v>100</v>
      </c>
      <c r="T40" s="667" t="s">
        <v>14</v>
      </c>
      <c r="U40" s="668">
        <f t="shared" si="13"/>
        <v>100</v>
      </c>
      <c r="V40" s="667" t="s">
        <v>14</v>
      </c>
      <c r="W40" s="668">
        <f t="shared" si="14"/>
        <v>100</v>
      </c>
      <c r="X40" s="1265"/>
      <c r="Y40" s="344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43"/>
      <c r="Q41" s="531" t="str">
        <f t="shared" si="11"/>
        <v>进深比</v>
      </c>
      <c r="R41" s="669" t="s">
        <v>14</v>
      </c>
      <c r="S41" s="670">
        <f t="shared" si="12"/>
        <v>100</v>
      </c>
      <c r="T41" s="669" t="s">
        <v>14</v>
      </c>
      <c r="U41" s="670">
        <f t="shared" si="13"/>
        <v>100</v>
      </c>
      <c r="V41" s="669" t="s">
        <v>14</v>
      </c>
      <c r="W41" s="670">
        <f t="shared" si="14"/>
        <v>100</v>
      </c>
      <c r="X41" s="671"/>
      <c r="Y41" s="344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43"/>
      <c r="Q42" s="1263" t="str">
        <f t="shared" si="11"/>
        <v>内部装修</v>
      </c>
      <c r="R42" s="667" t="s">
        <v>14</v>
      </c>
      <c r="S42" s="668">
        <f t="shared" si="12"/>
        <v>100</v>
      </c>
      <c r="T42" s="667" t="s">
        <v>14</v>
      </c>
      <c r="U42" s="668">
        <f t="shared" si="13"/>
        <v>100</v>
      </c>
      <c r="V42" s="667" t="s">
        <v>14</v>
      </c>
      <c r="W42" s="668">
        <f t="shared" si="14"/>
        <v>100</v>
      </c>
      <c r="X42" s="1265"/>
      <c r="Y42" s="344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43"/>
      <c r="Q43" s="1263" t="str">
        <f t="shared" si="11"/>
        <v>内部装修维护情况</v>
      </c>
      <c r="R43" s="667" t="s">
        <v>14</v>
      </c>
      <c r="S43" s="668">
        <f t="shared" si="12"/>
        <v>100</v>
      </c>
      <c r="T43" s="667" t="s">
        <v>14</v>
      </c>
      <c r="U43" s="668">
        <f t="shared" si="13"/>
        <v>100</v>
      </c>
      <c r="V43" s="667" t="s">
        <v>14</v>
      </c>
      <c r="W43" s="668">
        <f t="shared" si="14"/>
        <v>100</v>
      </c>
      <c r="X43" s="1265"/>
      <c r="Y43" s="344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43"/>
      <c r="Q44" s="530">
        <f t="shared" si="11"/>
        <v>111</v>
      </c>
      <c r="R44" s="664" t="s">
        <v>14</v>
      </c>
      <c r="S44" s="665">
        <f t="shared" si="12"/>
        <v>100</v>
      </c>
      <c r="T44" s="664" t="s">
        <v>14</v>
      </c>
      <c r="U44" s="665">
        <f t="shared" si="13"/>
        <v>100</v>
      </c>
      <c r="V44" s="664" t="s">
        <v>14</v>
      </c>
      <c r="W44" s="665">
        <f t="shared" si="14"/>
        <v>100</v>
      </c>
      <c r="X44" s="666"/>
      <c r="Y44" s="344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43"/>
      <c r="Q45" s="1263">
        <f t="shared" si="11"/>
        <v>111</v>
      </c>
      <c r="R45" s="667" t="s">
        <v>14</v>
      </c>
      <c r="S45" s="668">
        <f t="shared" si="12"/>
        <v>100</v>
      </c>
      <c r="T45" s="667" t="s">
        <v>14</v>
      </c>
      <c r="U45" s="668">
        <f t="shared" si="13"/>
        <v>100</v>
      </c>
      <c r="V45" s="667" t="s">
        <v>14</v>
      </c>
      <c r="W45" s="668">
        <f t="shared" si="14"/>
        <v>100</v>
      </c>
      <c r="X45" s="1265"/>
      <c r="Y45" s="344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44"/>
      <c r="Q46" s="1263">
        <f t="shared" si="11"/>
        <v>111</v>
      </c>
      <c r="R46" s="667" t="s">
        <v>14</v>
      </c>
      <c r="S46" s="668">
        <f t="shared" si="12"/>
        <v>100</v>
      </c>
      <c r="T46" s="667" t="s">
        <v>14</v>
      </c>
      <c r="U46" s="668">
        <f t="shared" si="13"/>
        <v>100</v>
      </c>
      <c r="V46" s="667" t="s">
        <v>14</v>
      </c>
      <c r="W46" s="668">
        <f t="shared" si="14"/>
        <v>100</v>
      </c>
      <c r="X46" s="1265"/>
      <c r="Y46" s="344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9" t="str">
        <f>A47</f>
        <v>成交单价（元/平方米）</v>
      </c>
      <c r="Q47" s="3439"/>
      <c r="R47" s="3434">
        <f>E47</f>
        <v>0</v>
      </c>
      <c r="S47" s="3434"/>
      <c r="T47" s="3434">
        <f>G47</f>
        <v>0</v>
      </c>
      <c r="U47" s="3434"/>
      <c r="V47" s="3434">
        <f>I47</f>
        <v>0</v>
      </c>
      <c r="W47" s="343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tabSelected="1" view="pageBreakPreview" topLeftCell="A16" zoomScale="85" zoomScaleNormal="70" zoomScaleSheetLayoutView="85" workbookViewId="0">
      <selection activeCell="G99" sqref="G99"/>
    </sheetView>
  </sheetViews>
  <sheetFormatPr defaultColWidth="9" defaultRowHeight="13.8"/>
  <cols>
    <col min="1" max="1" width="10.44140625" style="347" customWidth="1"/>
    <col min="2" max="2" width="18" style="347" customWidth="1"/>
    <col min="3" max="3" width="20" style="347" customWidth="1"/>
    <col min="4" max="4" width="12.21875" style="347" customWidth="1"/>
    <col min="5" max="5" width="18.44140625" style="347" customWidth="1"/>
    <col min="6" max="6" width="14.44140625" style="347" customWidth="1"/>
    <col min="7" max="7" width="15.88671875" style="347" customWidth="1"/>
    <col min="8" max="8" width="12.21875" style="347" customWidth="1"/>
    <col min="9" max="9" width="16.2187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t="s">
        <v>3332</v>
      </c>
      <c r="E1" s="3129" t="s">
        <v>3536</v>
      </c>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IF(E1="项目模式",IF(C2="——",ROUND(C37*D3/10000,0),ROUND(C37*D3/10000,0)-D2),IF(E1="单套模式",IF(C2="——",ROUND(C37*D3/10000,4),ROUND(C37*D3/10000,4)-D2)))</f>
        <v>3.9E-2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0.3</v>
      </c>
      <c r="C3" s="344" t="s">
        <v>1768</v>
      </c>
      <c r="D3" s="343">
        <f>SUMIF('数据-汇总表'!$C19:$C33,D1,'数据-汇总表'!$E19:$E33)</f>
        <v>1298.9000000000001</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2" t="s">
        <v>1770</v>
      </c>
      <c r="D4" s="3423"/>
      <c r="E4" s="3424" t="s">
        <v>1771</v>
      </c>
      <c r="F4" s="3425"/>
      <c r="G4" s="3422" t="s">
        <v>1772</v>
      </c>
      <c r="H4" s="3423"/>
      <c r="I4" s="3422" t="s">
        <v>1773</v>
      </c>
      <c r="J4" s="3423"/>
      <c r="K4" s="537" t="s">
        <v>1774</v>
      </c>
      <c r="L4" s="2484"/>
      <c r="M4" s="2485"/>
      <c r="N4" s="2485"/>
      <c r="O4" s="2485"/>
      <c r="P4" s="3426" t="s">
        <v>1775</v>
      </c>
      <c r="Q4" s="3427"/>
      <c r="R4" s="3409" t="s">
        <v>1771</v>
      </c>
      <c r="S4" s="3410"/>
      <c r="T4" s="3409" t="s">
        <v>1772</v>
      </c>
      <c r="U4" s="3410"/>
      <c r="V4" s="3434" t="s">
        <v>1773</v>
      </c>
      <c r="W4" s="3434"/>
      <c r="X4" s="1265"/>
      <c r="Y4" s="3409" t="s">
        <v>1775</v>
      </c>
      <c r="Z4" s="3410"/>
      <c r="AA4" s="3404" t="s">
        <v>1771</v>
      </c>
      <c r="AB4" s="3405" t="s">
        <v>1772</v>
      </c>
      <c r="AC4" s="3404" t="s">
        <v>1773</v>
      </c>
    </row>
    <row r="5" spans="1:29" ht="13.8" customHeight="1">
      <c r="A5" s="348"/>
      <c r="B5" s="349"/>
      <c r="C5" s="3415" t="s">
        <v>1673</v>
      </c>
      <c r="D5" s="3416"/>
      <c r="E5" s="3454" t="s">
        <v>3500</v>
      </c>
      <c r="F5" s="3414"/>
      <c r="G5" s="3454" t="s">
        <v>3527</v>
      </c>
      <c r="H5" s="3414"/>
      <c r="I5" s="3455" t="s">
        <v>3529</v>
      </c>
      <c r="J5" s="3416"/>
      <c r="K5" s="537"/>
      <c r="L5" s="2484"/>
      <c r="M5" s="2485"/>
      <c r="N5" s="2485"/>
      <c r="O5" s="2485"/>
      <c r="P5" s="3428"/>
      <c r="Q5" s="3429"/>
      <c r="R5" s="3411"/>
      <c r="S5" s="3412"/>
      <c r="T5" s="3411"/>
      <c r="U5" s="3412"/>
      <c r="V5" s="3434"/>
      <c r="W5" s="3434"/>
      <c r="X5" s="1265"/>
      <c r="Y5" s="3411"/>
      <c r="Z5" s="3412"/>
      <c r="AA5" s="3405"/>
      <c r="AB5" s="3405"/>
      <c r="AC5" s="3405"/>
    </row>
    <row r="6" spans="1:29" ht="15" thickBot="1">
      <c r="A6" s="350"/>
      <c r="B6" s="351"/>
      <c r="C6" s="3417" t="s">
        <v>1677</v>
      </c>
      <c r="D6" s="3418"/>
      <c r="E6" s="3419" t="s">
        <v>1677</v>
      </c>
      <c r="F6" s="3420"/>
      <c r="G6" s="3417" t="s">
        <v>1677</v>
      </c>
      <c r="H6" s="3418"/>
      <c r="I6" s="3417" t="s">
        <v>1677</v>
      </c>
      <c r="J6" s="3418"/>
      <c r="K6" s="537" t="s">
        <v>1678</v>
      </c>
      <c r="L6" s="2484"/>
      <c r="M6" s="2485"/>
      <c r="N6" s="2485"/>
      <c r="O6" s="2485"/>
      <c r="P6" s="3430"/>
      <c r="Q6" s="3431"/>
      <c r="R6" s="3411"/>
      <c r="S6" s="3412"/>
      <c r="T6" s="3432"/>
      <c r="U6" s="3433"/>
      <c r="V6" s="3434"/>
      <c r="W6" s="3434"/>
      <c r="X6" s="1265"/>
      <c r="Y6" s="3432"/>
      <c r="Z6" s="3433"/>
      <c r="AA6" s="3406"/>
      <c r="AB6" s="3406"/>
      <c r="AC6" s="3406"/>
    </row>
    <row r="7" spans="1:29" s="102" customFormat="1" ht="15" thickBot="1">
      <c r="A7" s="352" t="s">
        <v>1679</v>
      </c>
      <c r="B7" s="353"/>
      <c r="C7" s="354">
        <f>'数据-取费表'!B2</f>
        <v>45624</v>
      </c>
      <c r="D7" s="355">
        <v>100</v>
      </c>
      <c r="E7" s="356">
        <v>45597</v>
      </c>
      <c r="F7" s="357">
        <f>SUMIF(46:46,YEAR(E7)&amp;"-"&amp;MONTH(E7),47:47)</f>
        <v>100</v>
      </c>
      <c r="G7" s="356">
        <v>45597</v>
      </c>
      <c r="H7" s="355">
        <f>SUMIF(46:46,YEAR(G7)&amp;"-"&amp;MONTH(G7),47:47)</f>
        <v>100</v>
      </c>
      <c r="I7" s="356">
        <v>45597</v>
      </c>
      <c r="J7" s="355">
        <f>SUMIF(46:46,YEAR(I7)&amp;"-"&amp;MONTH(I7),47:47)</f>
        <v>100</v>
      </c>
      <c r="K7" s="38"/>
      <c r="L7" s="2486"/>
      <c r="M7" s="2438"/>
      <c r="N7" s="2438"/>
      <c r="O7" s="2438"/>
      <c r="P7" s="3407" t="s">
        <v>1680</v>
      </c>
      <c r="Q7" s="3435"/>
      <c r="R7" s="664" t="s">
        <v>14</v>
      </c>
      <c r="S7" s="665">
        <f t="shared" ref="S7:S14" si="0">F7</f>
        <v>100</v>
      </c>
      <c r="T7" s="664" t="s">
        <v>14</v>
      </c>
      <c r="U7" s="665">
        <f t="shared" ref="U7:U14" si="1">H7</f>
        <v>100</v>
      </c>
      <c r="V7" s="664" t="s">
        <v>14</v>
      </c>
      <c r="W7" s="665">
        <f t="shared" ref="W7:W14" si="2">J7</f>
        <v>100</v>
      </c>
      <c r="X7" s="666"/>
      <c r="Y7" s="3407" t="s">
        <v>1680</v>
      </c>
      <c r="Z7" s="3408"/>
      <c r="AA7" s="50">
        <f>D7/F7</f>
        <v>1</v>
      </c>
      <c r="AB7" s="50">
        <f>D7/H7</f>
        <v>1</v>
      </c>
      <c r="AC7" s="50">
        <f>D7/J7</f>
        <v>1</v>
      </c>
    </row>
    <row r="8" spans="1:29" s="102" customFormat="1" ht="15" thickBot="1">
      <c r="A8" s="352" t="s">
        <v>1681</v>
      </c>
      <c r="B8" s="353"/>
      <c r="C8" s="358" t="s">
        <v>3393</v>
      </c>
      <c r="D8" s="355">
        <v>100</v>
      </c>
      <c r="E8" s="358" t="s">
        <v>3394</v>
      </c>
      <c r="F8" s="357">
        <f>SUMIF(49:49,E8,50:50)-SUMIF(49:49,C8,50:50)+100</f>
        <v>102</v>
      </c>
      <c r="G8" s="358" t="s">
        <v>3394</v>
      </c>
      <c r="H8" s="355">
        <f>SUMIF(49:49,G8,50:50)-SUMIF(49:49,C8,50:50)+100</f>
        <v>102</v>
      </c>
      <c r="I8" s="358" t="s">
        <v>3394</v>
      </c>
      <c r="J8" s="355">
        <f>SUMIF(49:49,I8,50:50)-SUMIF(49:49,C8,50:50)+100</f>
        <v>102</v>
      </c>
      <c r="K8" s="38"/>
      <c r="L8" s="2486"/>
      <c r="M8" s="2438"/>
      <c r="N8" s="2438"/>
      <c r="O8" s="2438"/>
      <c r="P8" s="3407" t="s">
        <v>1683</v>
      </c>
      <c r="Q8" s="3408"/>
      <c r="R8" s="664" t="s">
        <v>14</v>
      </c>
      <c r="S8" s="665">
        <f t="shared" si="0"/>
        <v>102</v>
      </c>
      <c r="T8" s="664" t="s">
        <v>14</v>
      </c>
      <c r="U8" s="665">
        <f t="shared" si="1"/>
        <v>102</v>
      </c>
      <c r="V8" s="664" t="s">
        <v>14</v>
      </c>
      <c r="W8" s="665">
        <f t="shared" si="2"/>
        <v>102</v>
      </c>
      <c r="X8" s="666"/>
      <c r="Y8" s="3407" t="s">
        <v>1683</v>
      </c>
      <c r="Z8" s="3408"/>
      <c r="AA8" s="50">
        <f t="shared" ref="AA8:AA34" si="3">D8/F8</f>
        <v>0.98039215686274506</v>
      </c>
      <c r="AB8" s="50">
        <f t="shared" ref="AB8:AB34" si="4">D8/H8</f>
        <v>0.98039215686274506</v>
      </c>
      <c r="AC8" s="50">
        <f t="shared" ref="AC8:AC34" si="5">D8/J8</f>
        <v>0.98039215686274506</v>
      </c>
    </row>
    <row r="9" spans="1:29" s="102" customFormat="1" ht="14.4">
      <c r="A9" s="359" t="s">
        <v>1684</v>
      </c>
      <c r="B9" s="60" t="s">
        <v>1685</v>
      </c>
      <c r="C9" s="3146" t="s">
        <v>3499</v>
      </c>
      <c r="D9" s="59">
        <v>100</v>
      </c>
      <c r="E9" s="362" t="s">
        <v>3332</v>
      </c>
      <c r="F9" s="60">
        <f>SUMIF(51:51,E9,52:52)-SUMIF(51:51,C9,52:52)+100</f>
        <v>100</v>
      </c>
      <c r="G9" s="362" t="s">
        <v>3332</v>
      </c>
      <c r="H9" s="59">
        <f>SUMIF(51:51,G9,52:52)-SUMIF(51:51,C9,52:52)+100</f>
        <v>100</v>
      </c>
      <c r="I9" s="362" t="s">
        <v>3332</v>
      </c>
      <c r="J9" s="59">
        <f>SUMIF(51:51,I9,52:52)-SUMIF(51:51,C9,52:52)+100</f>
        <v>100</v>
      </c>
      <c r="K9" s="38"/>
      <c r="L9" s="2486"/>
      <c r="M9" s="2438"/>
      <c r="N9" s="2438"/>
      <c r="O9" s="2538"/>
      <c r="P9" s="3439" t="s">
        <v>1686</v>
      </c>
      <c r="Q9" s="530" t="str">
        <f t="shared" ref="Q9:Q14" si="6">B9</f>
        <v>用途</v>
      </c>
      <c r="R9" s="664" t="s">
        <v>14</v>
      </c>
      <c r="S9" s="665">
        <f t="shared" si="0"/>
        <v>100</v>
      </c>
      <c r="T9" s="664" t="s">
        <v>14</v>
      </c>
      <c r="U9" s="665">
        <f t="shared" si="1"/>
        <v>100</v>
      </c>
      <c r="V9" s="664" t="s">
        <v>14</v>
      </c>
      <c r="W9" s="665">
        <f t="shared" si="2"/>
        <v>100</v>
      </c>
      <c r="X9" s="666"/>
      <c r="Y9" s="3351"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9"/>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9"/>
      <c r="Q11" s="530">
        <f t="shared" si="6"/>
        <v>111</v>
      </c>
      <c r="R11" s="664" t="s">
        <v>14</v>
      </c>
      <c r="S11" s="665">
        <f t="shared" si="0"/>
        <v>100</v>
      </c>
      <c r="T11" s="664" t="s">
        <v>14</v>
      </c>
      <c r="U11" s="665">
        <f t="shared" si="1"/>
        <v>100</v>
      </c>
      <c r="V11" s="664" t="s">
        <v>14</v>
      </c>
      <c r="W11" s="665">
        <f t="shared" si="2"/>
        <v>100</v>
      </c>
      <c r="X11" s="666"/>
      <c r="Y11" s="33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9"/>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9"/>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15.2">
      <c r="A14" s="379" t="s">
        <v>1690</v>
      </c>
      <c r="B14" s="58" t="s">
        <v>1833</v>
      </c>
      <c r="C14" s="1819" t="str">
        <f>IF(B1="工业",估价对象房地状况!G4,估价对象房地状况!C6)</f>
        <v>估价对象周边道路状况一般，有836、901、917等多条线路及燕房线经过，公共交通通达情况较好、停车便捷程度较好，综合评价交通便捷度较好</v>
      </c>
      <c r="D14" s="380">
        <v>100</v>
      </c>
      <c r="E14" s="3530" t="s">
        <v>3533</v>
      </c>
      <c r="F14" s="382">
        <f>SUMIF(61:61,E15,62:62)-SUMIF(61:61,C15,62:62)+100</f>
        <v>100</v>
      </c>
      <c r="G14" s="3532" t="s">
        <v>3531</v>
      </c>
      <c r="H14" s="380">
        <f>SUMIF(61:61,G15,62:62)-SUMIF(61:61,C15,62:62)+100</f>
        <v>94</v>
      </c>
      <c r="I14" s="3533" t="s">
        <v>3530</v>
      </c>
      <c r="J14" s="380">
        <f>SUMIF(61:61,I15,62:62)-SUMIF(61:61,C15,62:62)+100</f>
        <v>97</v>
      </c>
      <c r="K14" s="540">
        <v>3</v>
      </c>
      <c r="L14" s="2490"/>
      <c r="M14" s="2485"/>
      <c r="N14" s="2485"/>
      <c r="O14" s="2540"/>
      <c r="P14" s="3440" t="s">
        <v>1691</v>
      </c>
      <c r="Q14" s="1263" t="str">
        <f t="shared" si="6"/>
        <v>交通便捷度</v>
      </c>
      <c r="R14" s="667" t="s">
        <v>14</v>
      </c>
      <c r="S14" s="668">
        <f t="shared" si="0"/>
        <v>100</v>
      </c>
      <c r="T14" s="667" t="s">
        <v>14</v>
      </c>
      <c r="U14" s="668">
        <f t="shared" si="1"/>
        <v>94</v>
      </c>
      <c r="V14" s="667" t="s">
        <v>14</v>
      </c>
      <c r="W14" s="668">
        <f t="shared" si="2"/>
        <v>97</v>
      </c>
      <c r="X14" s="1265"/>
      <c r="Y14" s="3440" t="s">
        <v>1691</v>
      </c>
      <c r="Z14" s="1264" t="str">
        <f t="shared" si="7"/>
        <v>交通便捷度</v>
      </c>
      <c r="AA14" s="1264">
        <f t="shared" si="3"/>
        <v>1</v>
      </c>
      <c r="AB14" s="1264">
        <f t="shared" si="4"/>
        <v>1.0638297872340425</v>
      </c>
      <c r="AC14" s="1264">
        <f t="shared" si="5"/>
        <v>1.0309278350515463</v>
      </c>
    </row>
    <row r="15" spans="1:29" ht="15">
      <c r="A15" s="367"/>
      <c r="B15" s="385"/>
      <c r="C15" s="386" t="s">
        <v>3428</v>
      </c>
      <c r="D15" s="387"/>
      <c r="E15" s="386" t="s">
        <v>3428</v>
      </c>
      <c r="F15" s="388"/>
      <c r="G15" s="386" t="s">
        <v>3519</v>
      </c>
      <c r="H15" s="389"/>
      <c r="I15" s="386" t="s">
        <v>3397</v>
      </c>
      <c r="J15" s="387"/>
      <c r="K15" s="541"/>
      <c r="L15" s="2490"/>
      <c r="M15" s="2485"/>
      <c r="N15" s="2485"/>
      <c r="O15" s="2540"/>
      <c r="P15" s="3441"/>
      <c r="Q15" s="1263"/>
      <c r="R15" s="667"/>
      <c r="S15" s="668"/>
      <c r="T15" s="667"/>
      <c r="U15" s="668"/>
      <c r="V15" s="667"/>
      <c r="W15" s="668"/>
      <c r="X15" s="1265"/>
      <c r="Y15" s="3441"/>
      <c r="Z15" s="1264"/>
      <c r="AA15" s="1264">
        <v>1</v>
      </c>
      <c r="AB15" s="1264">
        <v>1</v>
      </c>
      <c r="AC15" s="1264">
        <v>1</v>
      </c>
    </row>
    <row r="16" spans="1:29" ht="110.4">
      <c r="A16" s="367"/>
      <c r="B16" s="390" t="s">
        <v>1812</v>
      </c>
      <c r="C16" s="1754" t="str">
        <f>IF(B1="工业",估价对象房地状况!G5,估价对象房地状况!C7)</f>
        <v>商场（华冠天地、房山商业大楼）、医院（房山区中医院、房山区第一医院）、学校（房山中学）、餐饮等，公共配套设施较好。</v>
      </c>
      <c r="D16" s="394">
        <v>100</v>
      </c>
      <c r="E16" s="396" t="s">
        <v>3502</v>
      </c>
      <c r="F16" s="397">
        <f>SUMIF(63:63,E17,64:64)-SUMIF(63:63,C17,64:64)+100</f>
        <v>100</v>
      </c>
      <c r="G16" s="3155" t="s">
        <v>3534</v>
      </c>
      <c r="H16" s="394">
        <f>SUMIF(63:63,G17,64:64)-SUMIF(63:63,C17,64:64)+100</f>
        <v>94</v>
      </c>
      <c r="I16" s="3155" t="s">
        <v>3537</v>
      </c>
      <c r="J16" s="394">
        <f>SUMIF(63:63,I17,64:64)-SUMIF(63:63,C17,64:64)+100</f>
        <v>94</v>
      </c>
      <c r="K16" s="540">
        <v>3</v>
      </c>
      <c r="L16" s="2490"/>
      <c r="M16" s="2485"/>
      <c r="N16" s="2485"/>
      <c r="O16" s="2540"/>
      <c r="P16" s="3441"/>
      <c r="Q16" s="1263" t="str">
        <f>B16</f>
        <v>公共配套设施</v>
      </c>
      <c r="R16" s="667" t="s">
        <v>14</v>
      </c>
      <c r="S16" s="668">
        <f>F16</f>
        <v>100</v>
      </c>
      <c r="T16" s="667" t="s">
        <v>14</v>
      </c>
      <c r="U16" s="668">
        <f>H16</f>
        <v>94</v>
      </c>
      <c r="V16" s="667" t="s">
        <v>14</v>
      </c>
      <c r="W16" s="668">
        <f>J16</f>
        <v>94</v>
      </c>
      <c r="X16" s="1265"/>
      <c r="Y16" s="3441"/>
      <c r="Z16" s="1264" t="str">
        <f>Q16</f>
        <v>公共配套设施</v>
      </c>
      <c r="AA16" s="1264">
        <f t="shared" si="3"/>
        <v>1</v>
      </c>
      <c r="AB16" s="1264">
        <f t="shared" si="4"/>
        <v>1.0638297872340425</v>
      </c>
      <c r="AC16" s="1264">
        <f t="shared" si="5"/>
        <v>1.0638297872340425</v>
      </c>
    </row>
    <row r="17" spans="1:29" ht="15">
      <c r="A17" s="367"/>
      <c r="B17" s="395"/>
      <c r="C17" s="1755" t="s">
        <v>3428</v>
      </c>
      <c r="D17" s="387"/>
      <c r="E17" s="1755" t="s">
        <v>3428</v>
      </c>
      <c r="F17" s="388"/>
      <c r="G17" s="386" t="s">
        <v>3519</v>
      </c>
      <c r="H17" s="387"/>
      <c r="I17" s="386" t="s">
        <v>3519</v>
      </c>
      <c r="J17" s="387"/>
      <c r="K17" s="541"/>
      <c r="L17" s="2490"/>
      <c r="M17" s="2485"/>
      <c r="N17" s="2485"/>
      <c r="O17" s="2540"/>
      <c r="P17" s="3441"/>
      <c r="Q17" s="1263"/>
      <c r="R17" s="667"/>
      <c r="S17" s="668"/>
      <c r="T17" s="667"/>
      <c r="U17" s="668"/>
      <c r="V17" s="667"/>
      <c r="W17" s="668"/>
      <c r="X17" s="1265"/>
      <c r="Y17" s="3441"/>
      <c r="Z17" s="1264"/>
      <c r="AA17" s="1264">
        <v>1</v>
      </c>
      <c r="AB17" s="1264">
        <v>1</v>
      </c>
      <c r="AC17" s="1264">
        <v>1</v>
      </c>
    </row>
    <row r="18" spans="1:29" ht="27.6">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41"/>
      <c r="Q18" s="1263" t="str">
        <f>B18</f>
        <v>基础设施水平</v>
      </c>
      <c r="R18" s="667" t="s">
        <v>14</v>
      </c>
      <c r="S18" s="668">
        <f>F18</f>
        <v>100</v>
      </c>
      <c r="T18" s="667" t="s">
        <v>14</v>
      </c>
      <c r="U18" s="668">
        <f>H18</f>
        <v>100</v>
      </c>
      <c r="V18" s="667" t="s">
        <v>14</v>
      </c>
      <c r="W18" s="668">
        <f>J18</f>
        <v>100</v>
      </c>
      <c r="X18" s="1265"/>
      <c r="Y18" s="3441"/>
      <c r="Z18" s="1264" t="str">
        <f>Q18</f>
        <v>基础设施水平</v>
      </c>
      <c r="AA18" s="1264">
        <f t="shared" ref="AA18" si="8">D18/F18</f>
        <v>1</v>
      </c>
      <c r="AB18" s="1264">
        <f t="shared" ref="AB18" si="9">D18/H18</f>
        <v>1</v>
      </c>
      <c r="AC18" s="1264">
        <f t="shared" ref="AC18" si="10">D18/J18</f>
        <v>1</v>
      </c>
    </row>
    <row r="19" spans="1:29" ht="15">
      <c r="A19" s="367"/>
      <c r="B19" s="586"/>
      <c r="C19" s="1755" t="s">
        <v>3411</v>
      </c>
      <c r="D19" s="389"/>
      <c r="E19" s="1755" t="s">
        <v>3411</v>
      </c>
      <c r="F19" s="392"/>
      <c r="G19" s="1755" t="s">
        <v>3411</v>
      </c>
      <c r="H19" s="387"/>
      <c r="I19" s="1755" t="s">
        <v>3411</v>
      </c>
      <c r="J19" s="387"/>
      <c r="K19" s="1064"/>
      <c r="L19" s="2490"/>
      <c r="M19" s="2485"/>
      <c r="N19" s="2485"/>
      <c r="O19" s="2540"/>
      <c r="P19" s="3441"/>
      <c r="Q19" s="1263"/>
      <c r="R19" s="667"/>
      <c r="S19" s="668"/>
      <c r="T19" s="667"/>
      <c r="U19" s="668"/>
      <c r="V19" s="667"/>
      <c r="W19" s="668"/>
      <c r="X19" s="1265"/>
      <c r="Y19" s="3441"/>
      <c r="Z19" s="1264"/>
      <c r="AA19" s="1264">
        <v>1</v>
      </c>
      <c r="AB19" s="1264">
        <v>1</v>
      </c>
      <c r="AC19" s="1264">
        <v>1</v>
      </c>
    </row>
    <row r="20" spans="1:29" ht="86.4">
      <c r="A20" s="367"/>
      <c r="B20" s="390" t="s">
        <v>1834</v>
      </c>
      <c r="C20" s="1754" t="str">
        <f>IF(B1="工业",估价对象房地状况!G7,估价对象房地状况!C9)</f>
        <v>区域自然环境：朝曦公园、迎宾公园；人文环境：无；综合评价环境状况一般</v>
      </c>
      <c r="D20" s="394">
        <v>100</v>
      </c>
      <c r="E20" s="396" t="s">
        <v>3503</v>
      </c>
      <c r="F20" s="397">
        <f>SUMIF(67:67,E21,68:68)-SUMIF(67:67,C21,68:68)+100</f>
        <v>100</v>
      </c>
      <c r="G20" s="3159" t="s">
        <v>3528</v>
      </c>
      <c r="H20" s="389">
        <f>SUMIF(67:67,G21,68:68)-SUMIF(67:67,C21,68:68)+100</f>
        <v>100</v>
      </c>
      <c r="I20" s="3156" t="s">
        <v>3535</v>
      </c>
      <c r="J20" s="389">
        <f>SUMIF(67:67,I21,68:68)-SUMIF(67:67,C21,68:68)+100</f>
        <v>97</v>
      </c>
      <c r="K20" s="540">
        <v>3</v>
      </c>
      <c r="L20" s="2490"/>
      <c r="M20" s="2485"/>
      <c r="N20" s="2485"/>
      <c r="O20" s="2540"/>
      <c r="P20" s="3441"/>
      <c r="Q20" s="1263" t="str">
        <f>B20</f>
        <v>自然及人文环境</v>
      </c>
      <c r="R20" s="667" t="s">
        <v>14</v>
      </c>
      <c r="S20" s="668">
        <f>F20</f>
        <v>100</v>
      </c>
      <c r="T20" s="667" t="s">
        <v>14</v>
      </c>
      <c r="U20" s="668">
        <f>H20</f>
        <v>100</v>
      </c>
      <c r="V20" s="667" t="s">
        <v>14</v>
      </c>
      <c r="W20" s="668">
        <f>J20</f>
        <v>97</v>
      </c>
      <c r="X20" s="1265"/>
      <c r="Y20" s="3441"/>
      <c r="Z20" s="1264" t="str">
        <f>Q20</f>
        <v>自然及人文环境</v>
      </c>
      <c r="AA20" s="1264">
        <f t="shared" si="3"/>
        <v>1</v>
      </c>
      <c r="AB20" s="1264">
        <f t="shared" si="4"/>
        <v>1</v>
      </c>
      <c r="AC20" s="1264">
        <f t="shared" si="5"/>
        <v>1.0309278350515463</v>
      </c>
    </row>
    <row r="21" spans="1:29" ht="15">
      <c r="A21" s="367"/>
      <c r="B21" s="395"/>
      <c r="C21" s="386" t="s">
        <v>3397</v>
      </c>
      <c r="D21" s="387"/>
      <c r="E21" s="386" t="s">
        <v>3397</v>
      </c>
      <c r="F21" s="388"/>
      <c r="G21" s="386" t="s">
        <v>3397</v>
      </c>
      <c r="H21" s="387"/>
      <c r="I21" s="386" t="s">
        <v>3519</v>
      </c>
      <c r="J21" s="387"/>
      <c r="K21" s="541"/>
      <c r="L21" s="2490"/>
      <c r="M21" s="2485"/>
      <c r="N21" s="2485"/>
      <c r="O21" s="2540"/>
      <c r="P21" s="3441"/>
      <c r="Q21" s="1263"/>
      <c r="R21" s="667"/>
      <c r="S21" s="668"/>
      <c r="T21" s="667"/>
      <c r="U21" s="668"/>
      <c r="V21" s="667"/>
      <c r="W21" s="668"/>
      <c r="X21" s="1265"/>
      <c r="Y21" s="344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41"/>
      <c r="Q22" s="1263" t="str">
        <f>B22</f>
        <v>楼层</v>
      </c>
      <c r="R22" s="667" t="s">
        <v>14</v>
      </c>
      <c r="S22" s="668">
        <f>F22</f>
        <v>100</v>
      </c>
      <c r="T22" s="667" t="s">
        <v>14</v>
      </c>
      <c r="U22" s="668">
        <f>H22</f>
        <v>100</v>
      </c>
      <c r="V22" s="667" t="s">
        <v>14</v>
      </c>
      <c r="W22" s="668">
        <f>J22</f>
        <v>100</v>
      </c>
      <c r="X22" s="1265"/>
      <c r="Y22" s="3441"/>
      <c r="Z22" s="1264" t="str">
        <f>Q22</f>
        <v>楼层</v>
      </c>
      <c r="AA22" s="1264">
        <f t="shared" si="3"/>
        <v>1</v>
      </c>
      <c r="AB22" s="1264">
        <f t="shared" si="4"/>
        <v>1</v>
      </c>
      <c r="AC22" s="1264">
        <f t="shared" si="5"/>
        <v>1</v>
      </c>
    </row>
    <row r="23" spans="1:29" ht="15">
      <c r="A23" s="348"/>
      <c r="B23" s="447" t="s">
        <v>3514</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41"/>
      <c r="Q23" s="1263" t="str">
        <f>B23</f>
        <v>现状利用</v>
      </c>
      <c r="R23" s="667" t="s">
        <v>14</v>
      </c>
      <c r="S23" s="668">
        <f>F23</f>
        <v>100</v>
      </c>
      <c r="T23" s="667" t="s">
        <v>14</v>
      </c>
      <c r="U23" s="668">
        <f>H23</f>
        <v>100</v>
      </c>
      <c r="V23" s="667" t="s">
        <v>14</v>
      </c>
      <c r="W23" s="668">
        <f>J23</f>
        <v>100</v>
      </c>
      <c r="X23" s="1265"/>
      <c r="Y23" s="3441"/>
      <c r="Z23" s="1264" t="str">
        <f>Q23</f>
        <v>现状利用</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41"/>
      <c r="Q24" s="1263">
        <f t="shared" ref="Q24:Q34" si="11">B24</f>
        <v>111</v>
      </c>
      <c r="R24" s="667" t="s">
        <v>14</v>
      </c>
      <c r="S24" s="668">
        <f>F24</f>
        <v>100</v>
      </c>
      <c r="T24" s="667" t="s">
        <v>14</v>
      </c>
      <c r="U24" s="668">
        <f>H24</f>
        <v>100</v>
      </c>
      <c r="V24" s="667" t="s">
        <v>14</v>
      </c>
      <c r="W24" s="668">
        <f>J24</f>
        <v>100</v>
      </c>
      <c r="X24" s="1265"/>
      <c r="Y24" s="344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41"/>
      <c r="Q25" s="530">
        <f t="shared" si="11"/>
        <v>111</v>
      </c>
      <c r="R25" s="664" t="s">
        <v>14</v>
      </c>
      <c r="S25" s="665">
        <f>F25</f>
        <v>100</v>
      </c>
      <c r="T25" s="664" t="s">
        <v>14</v>
      </c>
      <c r="U25" s="665">
        <f>H25</f>
        <v>100</v>
      </c>
      <c r="V25" s="664" t="s">
        <v>14</v>
      </c>
      <c r="W25" s="665">
        <f>J25</f>
        <v>100</v>
      </c>
      <c r="X25" s="666"/>
      <c r="Y25" s="3441"/>
      <c r="Z25" s="50">
        <f>Q25</f>
        <v>111</v>
      </c>
      <c r="AA25" s="1264">
        <f>D25/F25</f>
        <v>1</v>
      </c>
      <c r="AB25" s="1264">
        <f>D25/H25</f>
        <v>1</v>
      </c>
      <c r="AC25" s="1264">
        <f>D25/J25</f>
        <v>1</v>
      </c>
    </row>
    <row r="26" spans="1:29" ht="30">
      <c r="A26" s="404" t="s">
        <v>1694</v>
      </c>
      <c r="B26" s="60" t="s">
        <v>1838</v>
      </c>
      <c r="C26" s="1764" t="s">
        <v>3510</v>
      </c>
      <c r="D26" s="405">
        <v>100</v>
      </c>
      <c r="E26" s="1764" t="s">
        <v>3435</v>
      </c>
      <c r="F26" s="587">
        <f>SUMIF(77:77,E26,78:78)-SUMIF(77:77,C26,78:78)+100</f>
        <v>102</v>
      </c>
      <c r="G26" s="1764" t="s">
        <v>3435</v>
      </c>
      <c r="H26" s="405">
        <f>SUMIF(77:77,G26,78:78)-SUMIF(77:77,C26,78:78)+100</f>
        <v>102</v>
      </c>
      <c r="I26" s="1764" t="s">
        <v>3510</v>
      </c>
      <c r="J26" s="405">
        <f>SUMIF(77:77,I26,78:78)-SUMIF(77:77,C26,78:78)+100</f>
        <v>100</v>
      </c>
      <c r="K26" s="538">
        <v>2</v>
      </c>
      <c r="L26" s="2490"/>
      <c r="M26" s="2485"/>
      <c r="N26" s="2485"/>
      <c r="O26" s="2540"/>
      <c r="P26" s="3449" t="s">
        <v>1696</v>
      </c>
      <c r="Q26" s="1263" t="str">
        <f t="shared" si="11"/>
        <v>公共部分装修</v>
      </c>
      <c r="R26" s="667" t="s">
        <v>14</v>
      </c>
      <c r="S26" s="668">
        <f t="shared" ref="S26:S34" si="12">F26</f>
        <v>102</v>
      </c>
      <c r="T26" s="667" t="s">
        <v>14</v>
      </c>
      <c r="U26" s="668">
        <f t="shared" ref="U26:U34" si="13">H26</f>
        <v>102</v>
      </c>
      <c r="V26" s="667" t="s">
        <v>14</v>
      </c>
      <c r="W26" s="668">
        <f t="shared" ref="W26:W34" si="14">J26</f>
        <v>100</v>
      </c>
      <c r="X26" s="1265"/>
      <c r="Y26" s="3445" t="s">
        <v>1696</v>
      </c>
      <c r="Z26" s="1264" t="str">
        <f t="shared" ref="Z26:Z34" si="15">Q26</f>
        <v>公共部分装修</v>
      </c>
      <c r="AA26" s="1264">
        <f t="shared" si="3"/>
        <v>0.98039215686274506</v>
      </c>
      <c r="AB26" s="1264">
        <f t="shared" si="4"/>
        <v>0.98039215686274506</v>
      </c>
      <c r="AC26" s="1264">
        <f t="shared" si="5"/>
        <v>1</v>
      </c>
    </row>
    <row r="27" spans="1:29" s="408" customFormat="1" ht="15">
      <c r="A27" s="406"/>
      <c r="B27" s="364" t="s">
        <v>1839</v>
      </c>
      <c r="C27" s="411">
        <v>0.5</v>
      </c>
      <c r="D27" s="119">
        <v>100</v>
      </c>
      <c r="E27" s="411">
        <v>0.7</v>
      </c>
      <c r="F27" s="400">
        <f>LOOKUP(E27,80:80,81:81)-LOOKUP(C27,80:80,81:81)+100</f>
        <v>104</v>
      </c>
      <c r="G27" s="411">
        <v>0.7</v>
      </c>
      <c r="H27" s="374">
        <f>LOOKUP(G27,80:80,81:81)-LOOKUP(C27,80:80,81:81)+100</f>
        <v>104</v>
      </c>
      <c r="I27" s="411">
        <v>0.7</v>
      </c>
      <c r="J27" s="374">
        <f>LOOKUP(I27,80:80,81:81)-LOOKUP(C27,80:80,81:81)+100</f>
        <v>104</v>
      </c>
      <c r="K27" s="538">
        <v>2</v>
      </c>
      <c r="L27" s="2489"/>
      <c r="M27" s="2491"/>
      <c r="N27" s="2491"/>
      <c r="O27" s="2541"/>
      <c r="P27" s="3445"/>
      <c r="Q27" s="531" t="str">
        <f t="shared" si="11"/>
        <v>成新率</v>
      </c>
      <c r="R27" s="669" t="s">
        <v>14</v>
      </c>
      <c r="S27" s="670">
        <f t="shared" si="12"/>
        <v>104</v>
      </c>
      <c r="T27" s="669" t="s">
        <v>14</v>
      </c>
      <c r="U27" s="670">
        <f t="shared" si="13"/>
        <v>104</v>
      </c>
      <c r="V27" s="669" t="s">
        <v>14</v>
      </c>
      <c r="W27" s="670">
        <f t="shared" si="14"/>
        <v>104</v>
      </c>
      <c r="X27" s="671"/>
      <c r="Y27" s="3445"/>
      <c r="Z27" s="672" t="str">
        <f t="shared" si="15"/>
        <v>成新率</v>
      </c>
      <c r="AA27" s="1264">
        <f t="shared" si="3"/>
        <v>0.96153846153846156</v>
      </c>
      <c r="AB27" s="1264">
        <f t="shared" si="4"/>
        <v>0.96153846153846156</v>
      </c>
      <c r="AC27" s="1264">
        <f t="shared" si="5"/>
        <v>0.96153846153846156</v>
      </c>
    </row>
    <row r="28" spans="1:29" ht="15">
      <c r="A28" s="409"/>
      <c r="B28" s="364" t="s">
        <v>1840</v>
      </c>
      <c r="C28" s="399" t="s">
        <v>3410</v>
      </c>
      <c r="D28" s="374">
        <v>100</v>
      </c>
      <c r="E28" s="399" t="s">
        <v>3410</v>
      </c>
      <c r="F28" s="400">
        <f>SUMIF(82:82,E28,83:83)-SUMIF(82:82,C28,83:83)+100</f>
        <v>100</v>
      </c>
      <c r="G28" s="399" t="s">
        <v>3410</v>
      </c>
      <c r="H28" s="374">
        <f>SUMIF(82:82,G28,83:83)-SUMIF(82:82,C28,83:83)+100</f>
        <v>100</v>
      </c>
      <c r="I28" s="399" t="s">
        <v>3410</v>
      </c>
      <c r="J28" s="374">
        <f>SUMIF(82:82,I28,83:83)-SUMIF(82:82,C28,83:83)+100</f>
        <v>100</v>
      </c>
      <c r="K28" s="538">
        <v>2</v>
      </c>
      <c r="L28" s="2490"/>
      <c r="M28" s="2485"/>
      <c r="N28" s="2485"/>
      <c r="O28" s="2540"/>
      <c r="P28" s="3445"/>
      <c r="Q28" s="1263" t="str">
        <f t="shared" si="11"/>
        <v>物业等级</v>
      </c>
      <c r="R28" s="667" t="s">
        <v>14</v>
      </c>
      <c r="S28" s="668">
        <f t="shared" si="12"/>
        <v>100</v>
      </c>
      <c r="T28" s="667" t="s">
        <v>14</v>
      </c>
      <c r="U28" s="668">
        <f t="shared" si="13"/>
        <v>100</v>
      </c>
      <c r="V28" s="667" t="s">
        <v>14</v>
      </c>
      <c r="W28" s="668">
        <f t="shared" si="14"/>
        <v>100</v>
      </c>
      <c r="X28" s="1265"/>
      <c r="Y28" s="3445"/>
      <c r="Z28" s="1264" t="str">
        <f t="shared" si="15"/>
        <v>物业等级</v>
      </c>
      <c r="AA28" s="1264">
        <f t="shared" si="3"/>
        <v>1</v>
      </c>
      <c r="AB28" s="1264">
        <f t="shared" si="4"/>
        <v>1</v>
      </c>
      <c r="AC28" s="1264">
        <f t="shared" si="5"/>
        <v>1</v>
      </c>
    </row>
    <row r="29" spans="1:29" ht="15">
      <c r="A29" s="409"/>
      <c r="B29" s="364" t="s">
        <v>1860</v>
      </c>
      <c r="C29" s="578" t="s">
        <v>3511</v>
      </c>
      <c r="D29" s="374">
        <v>100</v>
      </c>
      <c r="E29" s="578" t="s">
        <v>3511</v>
      </c>
      <c r="F29" s="400">
        <f>SUMIF(84:84,E29,85:85)-SUMIF(84:84,C29,85:85)+100</f>
        <v>100</v>
      </c>
      <c r="G29" s="578" t="s">
        <v>3511</v>
      </c>
      <c r="H29" s="374">
        <f>SUMIF(84:84,G29,85:85)-SUMIF(84:84,C29,85:85)+100</f>
        <v>100</v>
      </c>
      <c r="I29" s="578" t="s">
        <v>3511</v>
      </c>
      <c r="J29" s="374">
        <f>SUMIF(84:84,I29,85:85)-SUMIF(84:84,C29,85:85)+100</f>
        <v>100</v>
      </c>
      <c r="K29" s="538"/>
      <c r="L29" s="2490"/>
      <c r="M29" s="2485"/>
      <c r="N29" s="2485"/>
      <c r="O29" s="2540"/>
      <c r="P29" s="3445"/>
      <c r="Q29" s="1263" t="str">
        <f t="shared" si="11"/>
        <v>有无电梯</v>
      </c>
      <c r="R29" s="667" t="s">
        <v>14</v>
      </c>
      <c r="S29" s="668">
        <f t="shared" si="12"/>
        <v>100</v>
      </c>
      <c r="T29" s="667" t="s">
        <v>14</v>
      </c>
      <c r="U29" s="668">
        <f t="shared" si="13"/>
        <v>100</v>
      </c>
      <c r="V29" s="667" t="s">
        <v>14</v>
      </c>
      <c r="W29" s="668">
        <f t="shared" si="14"/>
        <v>100</v>
      </c>
      <c r="X29" s="1265"/>
      <c r="Y29" s="3445"/>
      <c r="Z29" s="1264" t="str">
        <f t="shared" si="15"/>
        <v>有无电梯</v>
      </c>
      <c r="AA29" s="1264">
        <f t="shared" si="3"/>
        <v>1</v>
      </c>
      <c r="AB29" s="1264">
        <f t="shared" si="4"/>
        <v>1</v>
      </c>
      <c r="AC29" s="1264">
        <f t="shared" si="5"/>
        <v>1</v>
      </c>
    </row>
    <row r="30" spans="1:29" ht="15">
      <c r="A30" s="409"/>
      <c r="B30" s="364" t="s">
        <v>1861</v>
      </c>
      <c r="C30" s="407">
        <f>'数据-基础表'!I13</f>
        <v>1298.9000000000001</v>
      </c>
      <c r="D30" s="374">
        <v>100</v>
      </c>
      <c r="E30" s="407">
        <v>400</v>
      </c>
      <c r="F30" s="400">
        <f>LOOKUP(E30,87:87,88:88)-LOOKUP(C30,87:87,88:88)+100</f>
        <v>96</v>
      </c>
      <c r="G30" s="407">
        <v>200</v>
      </c>
      <c r="H30" s="374">
        <f>LOOKUP(G30,87:87,88:88)-LOOKUP(C30,87:87,88:88)+100</f>
        <v>96</v>
      </c>
      <c r="I30" s="407">
        <v>100</v>
      </c>
      <c r="J30" s="374">
        <f>LOOKUP(I30,87:87,88:88)-LOOKUP(C30,87:87,88:88)+100</f>
        <v>94</v>
      </c>
      <c r="K30" s="539"/>
      <c r="L30" s="2490"/>
      <c r="M30" s="2485"/>
      <c r="N30" s="2485"/>
      <c r="O30" s="2540"/>
      <c r="P30" s="3445"/>
      <c r="Q30" s="1263" t="str">
        <f t="shared" si="11"/>
        <v>建筑面积</v>
      </c>
      <c r="R30" s="667" t="s">
        <v>14</v>
      </c>
      <c r="S30" s="668">
        <f t="shared" si="12"/>
        <v>96</v>
      </c>
      <c r="T30" s="667" t="s">
        <v>14</v>
      </c>
      <c r="U30" s="668">
        <f t="shared" si="13"/>
        <v>96</v>
      </c>
      <c r="V30" s="667" t="s">
        <v>14</v>
      </c>
      <c r="W30" s="668">
        <f t="shared" si="14"/>
        <v>94</v>
      </c>
      <c r="X30" s="1265"/>
      <c r="Y30" s="3445"/>
      <c r="Z30" s="1264" t="str">
        <f t="shared" si="15"/>
        <v>建筑面积</v>
      </c>
      <c r="AA30" s="1264">
        <f t="shared" si="3"/>
        <v>1.0416666666666667</v>
      </c>
      <c r="AB30" s="1264">
        <f t="shared" si="4"/>
        <v>1.0416666666666667</v>
      </c>
      <c r="AC30" s="1264">
        <f t="shared" si="5"/>
        <v>1.0638297872340425</v>
      </c>
    </row>
    <row r="31" spans="1:29" s="102" customFormat="1" ht="15">
      <c r="A31" s="410"/>
      <c r="B31" s="364" t="s">
        <v>1862</v>
      </c>
      <c r="C31" s="578" t="s">
        <v>3389</v>
      </c>
      <c r="D31" s="119">
        <v>100</v>
      </c>
      <c r="E31" s="578" t="s">
        <v>3389</v>
      </c>
      <c r="F31" s="400">
        <f>SUMIF(89:89,E31,90:90)-SUMIF(89:89,C31,90:90)+100</f>
        <v>100</v>
      </c>
      <c r="G31" s="578" t="s">
        <v>3389</v>
      </c>
      <c r="H31" s="374">
        <f>SUMIF(89:89,G31,90:90)-SUMIF(89:89,C31,90:90)+100</f>
        <v>100</v>
      </c>
      <c r="I31" s="578" t="s">
        <v>3389</v>
      </c>
      <c r="J31" s="374">
        <f>SUMIF(89:89,I31,90:90)-SUMIF(89:89,C31,90:90)+100</f>
        <v>100</v>
      </c>
      <c r="K31" s="538">
        <v>2</v>
      </c>
      <c r="L31" s="2486"/>
      <c r="M31" s="2438"/>
      <c r="N31" s="2438"/>
      <c r="O31" s="2538"/>
      <c r="P31" s="3445"/>
      <c r="Q31" s="530" t="str">
        <f t="shared" si="11"/>
        <v>是否封闭</v>
      </c>
      <c r="R31" s="664" t="s">
        <v>14</v>
      </c>
      <c r="S31" s="665">
        <f t="shared" si="12"/>
        <v>100</v>
      </c>
      <c r="T31" s="664" t="s">
        <v>14</v>
      </c>
      <c r="U31" s="665">
        <f t="shared" si="13"/>
        <v>100</v>
      </c>
      <c r="V31" s="664" t="s">
        <v>14</v>
      </c>
      <c r="W31" s="665">
        <f t="shared" si="14"/>
        <v>100</v>
      </c>
      <c r="X31" s="666"/>
      <c r="Y31" s="3445"/>
      <c r="Z31" s="50" t="str">
        <f t="shared" si="15"/>
        <v>是否封闭</v>
      </c>
      <c r="AA31" s="50">
        <f t="shared" si="3"/>
        <v>1</v>
      </c>
      <c r="AB31" s="50">
        <f t="shared" si="4"/>
        <v>1</v>
      </c>
      <c r="AC31" s="50">
        <f t="shared" si="5"/>
        <v>1</v>
      </c>
    </row>
    <row r="32" spans="1:29" ht="15">
      <c r="A32" s="409"/>
      <c r="B32" s="447" t="s">
        <v>3504</v>
      </c>
      <c r="C32" s="3169" t="s">
        <v>3508</v>
      </c>
      <c r="D32" s="374">
        <v>100</v>
      </c>
      <c r="E32" s="3169" t="s">
        <v>3508</v>
      </c>
      <c r="F32" s="400">
        <f>SUMIF(91:91,E32,92:92)-SUMIF(91:91,C32,92:92)+100</f>
        <v>100</v>
      </c>
      <c r="G32" s="3169" t="s">
        <v>3508</v>
      </c>
      <c r="H32" s="374">
        <f>SUMIF(91:91,G32,92:92)-SUMIF(91:91,C32,92:92)+100</f>
        <v>100</v>
      </c>
      <c r="I32" s="3169" t="s">
        <v>3508</v>
      </c>
      <c r="J32" s="374">
        <f>SUMIF(91:91,I32,92:92)-SUMIF(91:91,C32,92:92)+100</f>
        <v>100</v>
      </c>
      <c r="K32" s="539"/>
      <c r="L32" s="2490"/>
      <c r="M32" s="2485"/>
      <c r="N32" s="2485"/>
      <c r="O32" s="2540"/>
      <c r="P32" s="3445" t="s">
        <v>1696</v>
      </c>
      <c r="Q32" s="1263" t="str">
        <f t="shared" si="11"/>
        <v>建筑类型</v>
      </c>
      <c r="R32" s="667" t="s">
        <v>14</v>
      </c>
      <c r="S32" s="668">
        <f t="shared" si="12"/>
        <v>100</v>
      </c>
      <c r="T32" s="667" t="s">
        <v>14</v>
      </c>
      <c r="U32" s="668">
        <f t="shared" si="13"/>
        <v>100</v>
      </c>
      <c r="V32" s="667" t="s">
        <v>14</v>
      </c>
      <c r="W32" s="668">
        <f t="shared" si="14"/>
        <v>100</v>
      </c>
      <c r="X32" s="1265"/>
      <c r="Y32" s="3445" t="s">
        <v>1696</v>
      </c>
      <c r="Z32" s="1264" t="str">
        <f t="shared" si="15"/>
        <v>建筑类型</v>
      </c>
      <c r="AA32" s="1264">
        <f t="shared" si="3"/>
        <v>1</v>
      </c>
      <c r="AB32" s="1264">
        <f t="shared" si="4"/>
        <v>1</v>
      </c>
      <c r="AC32" s="1264">
        <f t="shared" si="5"/>
        <v>1</v>
      </c>
    </row>
    <row r="33" spans="1:30" ht="15">
      <c r="A33" s="409"/>
      <c r="B33" s="447" t="s">
        <v>3515</v>
      </c>
      <c r="C33" s="3169" t="s">
        <v>3523</v>
      </c>
      <c r="D33" s="374">
        <v>100</v>
      </c>
      <c r="E33" s="3168" t="s">
        <v>3524</v>
      </c>
      <c r="F33" s="400">
        <f>SUMIF(93:93,E33,94:94)-SUMIF(93:93,C33,94:94)+100</f>
        <v>110</v>
      </c>
      <c r="G33" s="3168" t="s">
        <v>3524</v>
      </c>
      <c r="H33" s="374">
        <f>SUMIF(93:93,G33,94:94)-SUMIF(93:93,C33,94:94)+100</f>
        <v>110</v>
      </c>
      <c r="I33" s="3168" t="s">
        <v>3525</v>
      </c>
      <c r="J33" s="374">
        <f>SUMIF(93:93,I33,94:94)-SUMIF(93:93,C33,94:94)+100</f>
        <v>105</v>
      </c>
      <c r="K33" s="539"/>
      <c r="L33" s="2490"/>
      <c r="M33" s="2485"/>
      <c r="N33" s="2485"/>
      <c r="O33" s="2540"/>
      <c r="P33" s="3445"/>
      <c r="Q33" s="1263" t="str">
        <f t="shared" si="11"/>
        <v>内部装修维护情况</v>
      </c>
      <c r="R33" s="667" t="s">
        <v>14</v>
      </c>
      <c r="S33" s="668">
        <f t="shared" si="12"/>
        <v>110</v>
      </c>
      <c r="T33" s="667" t="s">
        <v>14</v>
      </c>
      <c r="U33" s="668">
        <f t="shared" si="13"/>
        <v>110</v>
      </c>
      <c r="V33" s="667" t="s">
        <v>14</v>
      </c>
      <c r="W33" s="668">
        <f t="shared" si="14"/>
        <v>105</v>
      </c>
      <c r="X33" s="1265"/>
      <c r="Y33" s="3445"/>
      <c r="Z33" s="1264" t="str">
        <f t="shared" si="15"/>
        <v>内部装修维护情况</v>
      </c>
      <c r="AA33" s="1264">
        <f t="shared" si="3"/>
        <v>0.90909090909090906</v>
      </c>
      <c r="AB33" s="1264">
        <f t="shared" si="4"/>
        <v>0.90909090909090906</v>
      </c>
      <c r="AC33" s="1264">
        <f t="shared" si="5"/>
        <v>0.95238095238095233</v>
      </c>
    </row>
    <row r="34" spans="1:30" ht="15.6" thickBot="1">
      <c r="A34" s="415"/>
      <c r="B34" s="1749" t="s">
        <v>3516</v>
      </c>
      <c r="C34" s="376" t="s">
        <v>3522</v>
      </c>
      <c r="D34" s="377">
        <v>100</v>
      </c>
      <c r="E34" s="376" t="s">
        <v>3522</v>
      </c>
      <c r="F34" s="378">
        <f>SUMIF(95:95,E34,96:96)-SUMIF(95:95,C34,96:96)+100</f>
        <v>100</v>
      </c>
      <c r="G34" s="376" t="s">
        <v>3522</v>
      </c>
      <c r="H34" s="377">
        <f>SUMIF(95:95,G34,96:96)-SUMIF(95:95,C34,96:96)+100</f>
        <v>100</v>
      </c>
      <c r="I34" s="1823" t="s">
        <v>3521</v>
      </c>
      <c r="J34" s="377">
        <f>SUMIF(95:95,I34,96:96)-SUMIF(95:95,C34,96:96)+100</f>
        <v>105</v>
      </c>
      <c r="K34" s="539"/>
      <c r="L34" s="2490"/>
      <c r="M34" s="2485"/>
      <c r="N34" s="2485"/>
      <c r="O34" s="2540"/>
      <c r="P34" s="3445"/>
      <c r="Q34" s="1263" t="str">
        <f t="shared" si="11"/>
        <v>是否为独立院落</v>
      </c>
      <c r="R34" s="667" t="s">
        <v>14</v>
      </c>
      <c r="S34" s="668">
        <f t="shared" si="12"/>
        <v>100</v>
      </c>
      <c r="T34" s="667" t="s">
        <v>14</v>
      </c>
      <c r="U34" s="668">
        <f t="shared" si="13"/>
        <v>100</v>
      </c>
      <c r="V34" s="667" t="s">
        <v>14</v>
      </c>
      <c r="W34" s="668">
        <f t="shared" si="14"/>
        <v>105</v>
      </c>
      <c r="X34" s="1265"/>
      <c r="Y34" s="3445"/>
      <c r="Z34" s="1264" t="str">
        <f t="shared" si="15"/>
        <v>是否为独立院落</v>
      </c>
      <c r="AA34" s="1264">
        <f t="shared" si="3"/>
        <v>1</v>
      </c>
      <c r="AB34" s="1264">
        <f t="shared" si="4"/>
        <v>1</v>
      </c>
      <c r="AC34" s="1264">
        <f t="shared" si="5"/>
        <v>0.95238095238095233</v>
      </c>
    </row>
    <row r="35" spans="1:30" ht="14.4">
      <c r="A35" s="416" t="s">
        <v>1708</v>
      </c>
      <c r="B35" s="417"/>
      <c r="C35" s="1081" t="s">
        <v>0</v>
      </c>
      <c r="D35" s="418"/>
      <c r="E35" s="419">
        <v>0.33</v>
      </c>
      <c r="F35" s="420"/>
      <c r="G35" s="421">
        <v>0.33</v>
      </c>
      <c r="H35" s="422"/>
      <c r="I35" s="419">
        <v>0.27</v>
      </c>
      <c r="J35" s="422"/>
      <c r="K35" s="674"/>
      <c r="L35" s="2492"/>
      <c r="M35" s="2485"/>
      <c r="N35" s="2485"/>
      <c r="O35" s="2485"/>
      <c r="P35" s="3439" t="str">
        <f>A35</f>
        <v>成交单价（元/平方米）</v>
      </c>
      <c r="Q35" s="3439"/>
      <c r="R35" s="3434">
        <f>E35</f>
        <v>0.33</v>
      </c>
      <c r="S35" s="3434"/>
      <c r="T35" s="3434">
        <f>G35</f>
        <v>0.33</v>
      </c>
      <c r="U35" s="3434"/>
      <c r="V35" s="3434">
        <f>I35</f>
        <v>0.27</v>
      </c>
      <c r="W35" s="3434"/>
      <c r="X35" s="385"/>
      <c r="Y35" s="673"/>
      <c r="Z35" s="385"/>
      <c r="AA35" s="385"/>
      <c r="AB35" s="385"/>
      <c r="AC35" s="385"/>
    </row>
    <row r="36" spans="1:30" ht="15" thickBot="1">
      <c r="A36" s="423" t="s">
        <v>1793</v>
      </c>
      <c r="B36" s="424"/>
      <c r="C36" s="3536">
        <f>R37</f>
        <v>0.3</v>
      </c>
      <c r="D36" s="2141" t="s">
        <v>2138</v>
      </c>
      <c r="E36" s="3538">
        <f>R36</f>
        <v>0.28999999999999998</v>
      </c>
      <c r="F36" s="2142"/>
      <c r="G36" s="1082">
        <f>T36</f>
        <v>0.33</v>
      </c>
      <c r="H36" s="2142"/>
      <c r="I36" s="1083">
        <f>V36</f>
        <v>0.28000000000000003</v>
      </c>
      <c r="J36" s="2142"/>
      <c r="K36" s="2144">
        <f>F36+H36+J36</f>
        <v>0</v>
      </c>
      <c r="L36" s="2492"/>
      <c r="M36" s="2485"/>
      <c r="N36" s="2485"/>
      <c r="O36" s="2485"/>
      <c r="P36" s="3439" t="str">
        <f>A36</f>
        <v>比较价值（元/平方米）</v>
      </c>
      <c r="Q36" s="3439"/>
      <c r="R36" s="3535">
        <f>IF(F1="售价",ROUND(PRODUCT(R35,AA7:AA34),0),ROUND(PRODUCT(R35,AA7:AA34),2))</f>
        <v>0.28999999999999998</v>
      </c>
      <c r="S36" s="3535"/>
      <c r="T36" s="3434">
        <f>IF(F1="售价",ROUND(PRODUCT(T35,AB7:AB34),0),ROUND(PRODUCT(T35,AB7:AB34),2))</f>
        <v>0.33</v>
      </c>
      <c r="U36" s="3434"/>
      <c r="V36" s="3434">
        <f>IF(F1="售价",ROUND(PRODUCT(V35,AC7:AC34),0),ROUND(PRODUCT(V35,AC7:AC34),2))</f>
        <v>0.28000000000000003</v>
      </c>
      <c r="W36" s="3434"/>
      <c r="X36" s="385"/>
      <c r="Y36" s="385"/>
      <c r="Z36" s="385"/>
      <c r="AA36" s="385"/>
      <c r="AB36" s="385"/>
      <c r="AC36" s="385"/>
    </row>
    <row r="37" spans="1:30" ht="15" thickBot="1">
      <c r="A37" s="427" t="s">
        <v>1794</v>
      </c>
      <c r="B37" s="428"/>
      <c r="C37" s="3537">
        <f>R37</f>
        <v>0.3</v>
      </c>
      <c r="D37" s="351"/>
      <c r="E37" s="351"/>
      <c r="F37" s="351"/>
      <c r="G37" s="351"/>
      <c r="H37" s="351"/>
      <c r="I37" s="351"/>
      <c r="J37" s="351"/>
      <c r="K37" s="675"/>
      <c r="L37" s="2492"/>
      <c r="M37" s="2485"/>
      <c r="N37" s="2485"/>
      <c r="O37" s="2485"/>
      <c r="P37" s="3436" t="str">
        <f>A37</f>
        <v>估价对象XX用房的比较价值（楼面单价，元/平方米）</v>
      </c>
      <c r="Q37" s="3437"/>
      <c r="R37" s="3534">
        <f>IF(F1="售价",ROUND(IF(D36="简单平均",AVERAGE(R36:W36),R36*F36+T36*H36+V36*J36),0),ROUND(IF(D36="简单平均",AVERAGE(R36:V36),R36*F36+T36*H36+V36*J36),2))</f>
        <v>0.3</v>
      </c>
      <c r="S37" s="3534"/>
      <c r="T37" s="3534"/>
      <c r="U37" s="3534"/>
      <c r="V37" s="3534"/>
      <c r="W37" s="353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f>IF(E35&lt;E36,E36/E35-1,E35/E36-1)</f>
        <v>0.13793103448275867</v>
      </c>
      <c r="F40" s="435" t="str">
        <f>IF(OR(E40&gt;=0.3,E40&lt;=-0.3),"超过30%","")</f>
        <v/>
      </c>
      <c r="G40" s="434">
        <f>IF(G35&lt;G36,G36/G35-1,G35/G36-1)</f>
        <v>0</v>
      </c>
      <c r="H40" s="435" t="str">
        <f>IF(OR(G40&gt;=0.3,G40&lt;=-0.3),"超过30%","")</f>
        <v/>
      </c>
      <c r="I40" s="434">
        <f>IF(I35&lt;I36,I36/I35-1,I35/I36-1)</f>
        <v>3.7037037037036979E-2</v>
      </c>
      <c r="J40" s="435" t="str">
        <f>IF(OR(I40&gt;=0.3,I40&lt;=-0.3),"超过30%","")</f>
        <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f>IF(E36&lt;G36,G36/E36-1,E36/G36-1)</f>
        <v>0.13793103448275867</v>
      </c>
      <c r="F41" s="435" t="str">
        <f>IF(OR(E41&gt;=0.2,E41&lt;=-0.2),"超过20%","")</f>
        <v/>
      </c>
      <c r="G41" s="434">
        <f>IF(G36&lt;I36,I36/G36-1,G36/I36-1)</f>
        <v>0.1785714285714286</v>
      </c>
      <c r="H41" s="435" t="str">
        <f>IF(OR(G41&gt;=0.2,G41&lt;=-0.2),"超过20%","")</f>
        <v/>
      </c>
      <c r="I41" s="434">
        <f>IF(I36&lt;E36,E36/I36-1,I36/E36-1)</f>
        <v>3.5714285714285587E-2</v>
      </c>
      <c r="J41" s="435" t="str">
        <f>IF(OR(I41&gt;=0.2,I41&lt;=-0.2),"超过20%","")</f>
        <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f>IF(E35&lt;G35,G35/E35-1,E35/G35-1)</f>
        <v>0</v>
      </c>
      <c r="F42" s="435" t="str">
        <f>IF(OR(E42&gt;=0.3,E42&lt;=-0.3),"超过30%","")</f>
        <v/>
      </c>
      <c r="G42" s="434">
        <f>IF(G35&lt;I35,I35/G35-1,G35/I35-1)</f>
        <v>0.2222222222222221</v>
      </c>
      <c r="H42" s="435" t="str">
        <f>IF(OR(G42&gt;=0.3,G42&lt;=-0.3),"超过30%","")</f>
        <v/>
      </c>
      <c r="I42" s="434">
        <f>IF(I35&lt;E35,E35/I35-1,I35/E35-1)</f>
        <v>0.2222222222222221</v>
      </c>
      <c r="J42" s="435" t="str">
        <f>IF(OR(I42&gt;=0.3,I42&lt;=-0.3),"超过30%","")</f>
        <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45" t="s">
        <v>3395</v>
      </c>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v>102</v>
      </c>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t="str">
        <f>C9</f>
        <v>仓储</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97</v>
      </c>
      <c r="E62" s="475">
        <f>D62-$K14</f>
        <v>94</v>
      </c>
      <c r="F62" s="475">
        <f>E62-$K14</f>
        <v>91</v>
      </c>
      <c r="G62" s="475">
        <f>F62-$K14</f>
        <v>88</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97</v>
      </c>
      <c r="E64" s="475">
        <f>D64-$K16</f>
        <v>94</v>
      </c>
      <c r="F64" s="475">
        <f>E64-$K16</f>
        <v>91</v>
      </c>
      <c r="G64" s="475">
        <f>F64-$K16</f>
        <v>88</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97</v>
      </c>
      <c r="E68" s="475">
        <f>D68-$K20</f>
        <v>94</v>
      </c>
      <c r="F68" s="475">
        <f>E68-$K20</f>
        <v>91</v>
      </c>
      <c r="G68" s="475">
        <f>F68-$K20</f>
        <v>88</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 thickTop="1">
      <c r="A71" s="370"/>
      <c r="B71" s="469" t="str">
        <f>B23</f>
        <v>现状利用</v>
      </c>
      <c r="C71" s="480" t="s">
        <v>3517</v>
      </c>
      <c r="D71" s="3531" t="s">
        <v>3518</v>
      </c>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v>100</v>
      </c>
      <c r="D72" s="467">
        <f>C72-3</f>
        <v>97</v>
      </c>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28.2" thickTop="1">
      <c r="A77" s="379" t="s">
        <v>1694</v>
      </c>
      <c r="B77" s="460" t="s">
        <v>1740</v>
      </c>
      <c r="C77" s="485" t="s">
        <v>3509</v>
      </c>
      <c r="D77" s="485" t="s">
        <v>3434</v>
      </c>
      <c r="E77" s="462" t="s">
        <v>3435</v>
      </c>
      <c r="F77" s="462" t="s">
        <v>3510</v>
      </c>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3147" t="s">
        <v>3513</v>
      </c>
      <c r="D82" s="3147" t="s">
        <v>3526</v>
      </c>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98</v>
      </c>
      <c r="E83" s="475">
        <f t="shared" si="19"/>
        <v>96</v>
      </c>
      <c r="F83" s="475">
        <f t="shared" si="19"/>
        <v>94</v>
      </c>
      <c r="G83" s="475">
        <f t="shared" si="19"/>
        <v>92</v>
      </c>
      <c r="H83" s="475">
        <f t="shared" si="19"/>
        <v>90</v>
      </c>
      <c r="I83" s="475">
        <f t="shared" si="19"/>
        <v>88</v>
      </c>
      <c r="J83" s="475">
        <f t="shared" si="19"/>
        <v>86</v>
      </c>
      <c r="K83" s="475">
        <f t="shared" si="19"/>
        <v>84</v>
      </c>
      <c r="L83" s="475">
        <f t="shared" si="19"/>
        <v>82</v>
      </c>
      <c r="M83" s="476">
        <f t="shared" si="19"/>
        <v>80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3147" t="s">
        <v>3512</v>
      </c>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0(含)-100</v>
      </c>
      <c r="D86" s="509" t="str">
        <f t="shared" si="21"/>
        <v>100(含)-200</v>
      </c>
      <c r="E86" s="509" t="str">
        <f t="shared" si="21"/>
        <v>200(含)-500</v>
      </c>
      <c r="F86" s="509" t="str">
        <f t="shared" si="21"/>
        <v>500(含)-1000</v>
      </c>
      <c r="G86" s="509" t="str">
        <f t="shared" si="21"/>
        <v>1000(含)-2000</v>
      </c>
      <c r="H86" s="509" t="str">
        <f t="shared" si="21"/>
        <v>2000(含)-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v>0</v>
      </c>
      <c r="D87" s="6">
        <v>100</v>
      </c>
      <c r="E87" s="6">
        <v>200</v>
      </c>
      <c r="F87" s="6">
        <v>500</v>
      </c>
      <c r="G87" s="6">
        <v>1000</v>
      </c>
      <c r="H87" s="6">
        <v>2000</v>
      </c>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v>100</v>
      </c>
      <c r="D88" s="467">
        <f>C88+2</f>
        <v>102</v>
      </c>
      <c r="E88" s="467">
        <f t="shared" ref="E88:H88" si="22">D88+2</f>
        <v>104</v>
      </c>
      <c r="F88" s="467">
        <f t="shared" si="22"/>
        <v>106</v>
      </c>
      <c r="G88" s="467">
        <f t="shared" si="22"/>
        <v>108</v>
      </c>
      <c r="H88" s="467">
        <f t="shared" si="22"/>
        <v>110</v>
      </c>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3147" t="s">
        <v>3505</v>
      </c>
      <c r="D89" s="3147" t="s">
        <v>3506</v>
      </c>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t="str">
        <f>B32</f>
        <v>建筑类型</v>
      </c>
      <c r="C91" s="480" t="s">
        <v>3448</v>
      </c>
      <c r="D91" s="480" t="s">
        <v>3444</v>
      </c>
      <c r="E91" s="480" t="s">
        <v>3443</v>
      </c>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v>100</v>
      </c>
      <c r="D92" s="467">
        <f>C92-3</f>
        <v>97</v>
      </c>
      <c r="E92" s="467">
        <f>D92-3</f>
        <v>94</v>
      </c>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t="str">
        <f>B33</f>
        <v>内部装修维护情况</v>
      </c>
      <c r="C93" s="480" t="s">
        <v>3501</v>
      </c>
      <c r="D93" s="480" t="s">
        <v>3428</v>
      </c>
      <c r="E93" s="480" t="s">
        <v>3397</v>
      </c>
      <c r="F93" s="480" t="s">
        <v>3519</v>
      </c>
      <c r="G93" s="485" t="s">
        <v>3520</v>
      </c>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v>100</v>
      </c>
      <c r="D94" s="467">
        <f>C94-5</f>
        <v>95</v>
      </c>
      <c r="E94" s="467">
        <f t="shared" ref="E94:G94" si="23">D94-5</f>
        <v>90</v>
      </c>
      <c r="F94" s="467">
        <f t="shared" si="23"/>
        <v>85</v>
      </c>
      <c r="G94" s="467">
        <f t="shared" si="23"/>
        <v>80</v>
      </c>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t="str">
        <f>B34</f>
        <v>是否为独立院落</v>
      </c>
      <c r="C95" s="480" t="s">
        <v>3521</v>
      </c>
      <c r="D95" s="480" t="s">
        <v>3522</v>
      </c>
      <c r="E95" s="480" t="s">
        <v>3458</v>
      </c>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v>100</v>
      </c>
      <c r="D96" s="491">
        <f>C96-5</f>
        <v>95</v>
      </c>
      <c r="E96" s="491">
        <f>D96-5</f>
        <v>90</v>
      </c>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92" priority="13" stopIfTrue="1">
      <formula>$F$40="超过30%"</formula>
    </cfRule>
  </conditionalFormatting>
  <conditionalFormatting sqref="E41">
    <cfRule type="expression" dxfId="91" priority="11" stopIfTrue="1">
      <formula>$F$41="超过20%"</formula>
    </cfRule>
  </conditionalFormatting>
  <conditionalFormatting sqref="E42">
    <cfRule type="expression" dxfId="90" priority="10" stopIfTrue="1">
      <formula>$F$42="超过30%"</formula>
    </cfRule>
  </conditionalFormatting>
  <conditionalFormatting sqref="F7:F34 H7:H34 J7:J34">
    <cfRule type="cellIs" dxfId="89" priority="1" operator="notEqual">
      <formula>100</formula>
    </cfRule>
  </conditionalFormatting>
  <conditionalFormatting sqref="F36">
    <cfRule type="expression" dxfId="88" priority="4">
      <formula>$D$36="简单平均"</formula>
    </cfRule>
  </conditionalFormatting>
  <conditionalFormatting sqref="F40:F42 H40:H42 J40:J42">
    <cfRule type="containsText" dxfId="87" priority="14" stopIfTrue="1" operator="containsText" text="超过">
      <formula>NOT(ISERROR(SEARCH("超过",F40)))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G42">
    <cfRule type="expression" dxfId="84" priority="12" stopIfTrue="1">
      <formula>$H$54+$H$42="超过30%"</formula>
    </cfRule>
  </conditionalFormatting>
  <conditionalFormatting sqref="H36">
    <cfRule type="expression" dxfId="83" priority="3">
      <formula>$D$36="简单平均"</formula>
    </cfRule>
  </conditionalFormatting>
  <conditionalFormatting sqref="I40">
    <cfRule type="expression" dxfId="82" priority="7" stopIfTrue="1">
      <formula>$J$40="超过30%"</formula>
    </cfRule>
  </conditionalFormatting>
  <conditionalFormatting sqref="I41">
    <cfRule type="expression" dxfId="81" priority="6" stopIfTrue="1">
      <formula>$J$41="超过20%"</formula>
    </cfRule>
  </conditionalFormatting>
  <conditionalFormatting sqref="I42">
    <cfRule type="expression" dxfId="80" priority="5" stopIfTrue="1">
      <formula>$J$42="超过30%"</formula>
    </cfRule>
  </conditionalFormatting>
  <conditionalFormatting sqref="J36">
    <cfRule type="expression" dxfId="7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受贵公司委托，我公司对北京市昌平区沙河镇展思门路29号进行了预评估。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估价对象为北京市昌平区沙河镇展思门路29号房地产，为所有。根据《国有土地使用证》[]，估价对象（分摊）出让国有建设用地使用权面积为0平方米，建筑面积为1298.9平方米。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估价对象为北京市昌平区沙河镇展思门路29号房地产,属开发建设的，该项目尚在开发建设中。根据《国有土地使用证》[]，估价对象（分摊）出让国有建设用地使用权面积为0平方米，规划建筑面积为1298.9平方米。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2024年11月28日（评估专业人员实地查勘之日）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107" zoomScaleNormal="70" zoomScaleSheetLayoutView="100" workbookViewId="0">
      <selection activeCell="C129" sqref="C129:E130"/>
    </sheetView>
  </sheetViews>
  <sheetFormatPr defaultColWidth="9" defaultRowHeight="13.8"/>
  <cols>
    <col min="1" max="1" width="10.44140625" style="347" customWidth="1"/>
    <col min="2" max="2" width="15.77734375" style="347" customWidth="1"/>
    <col min="3" max="3" width="28.21875" style="347" customWidth="1"/>
    <col min="4" max="4" width="13.5546875" style="347" customWidth="1"/>
    <col min="5" max="5" width="19.44140625" style="347" customWidth="1"/>
    <col min="6" max="6" width="12.21875" style="347" customWidth="1"/>
    <col min="7" max="7" width="19.33203125" style="347" customWidth="1"/>
    <col min="8" max="8" width="12.21875" style="347" customWidth="1"/>
    <col min="9" max="9" width="18.218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#REF!</v>
      </c>
      <c r="C3" s="344" t="s">
        <v>1768</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22" t="s">
        <v>1770</v>
      </c>
      <c r="D4" s="3423"/>
      <c r="E4" s="3424" t="s">
        <v>1771</v>
      </c>
      <c r="F4" s="3425"/>
      <c r="G4" s="3422" t="s">
        <v>1772</v>
      </c>
      <c r="H4" s="3423"/>
      <c r="I4" s="3422" t="s">
        <v>1773</v>
      </c>
      <c r="J4" s="3423"/>
      <c r="K4" s="537" t="s">
        <v>1774</v>
      </c>
      <c r="L4" s="2484"/>
      <c r="M4" s="2485"/>
      <c r="N4" s="2485"/>
      <c r="O4" s="2485"/>
      <c r="P4" s="3459" t="s">
        <v>1775</v>
      </c>
      <c r="Q4" s="3460"/>
      <c r="R4" s="3452" t="s">
        <v>1771</v>
      </c>
      <c r="S4" s="3453"/>
      <c r="T4" s="3452" t="s">
        <v>1772</v>
      </c>
      <c r="U4" s="3453"/>
      <c r="V4" s="3463" t="s">
        <v>1773</v>
      </c>
      <c r="W4" s="3463"/>
      <c r="X4" s="1809"/>
      <c r="Y4" s="3452" t="s">
        <v>1775</v>
      </c>
      <c r="Z4" s="3453"/>
      <c r="AA4" s="3451" t="s">
        <v>1771</v>
      </c>
      <c r="AB4" s="3451" t="s">
        <v>1772</v>
      </c>
      <c r="AC4" s="3456" t="s">
        <v>1773</v>
      </c>
    </row>
    <row r="5" spans="1:29">
      <c r="A5" s="348"/>
      <c r="B5" s="349"/>
      <c r="C5" s="3455" t="s">
        <v>3392</v>
      </c>
      <c r="D5" s="3416"/>
      <c r="E5" s="3454" t="e">
        <f>#REF!</f>
        <v>#REF!</v>
      </c>
      <c r="F5" s="3414"/>
      <c r="G5" s="3455" t="s">
        <v>3426</v>
      </c>
      <c r="H5" s="3416"/>
      <c r="I5" s="3455" t="s">
        <v>3427</v>
      </c>
      <c r="J5" s="3416"/>
      <c r="K5" s="537"/>
      <c r="L5" s="2484"/>
      <c r="M5" s="2485"/>
      <c r="N5" s="2485"/>
      <c r="O5" s="2485"/>
      <c r="P5" s="3461"/>
      <c r="Q5" s="3429"/>
      <c r="R5" s="3411"/>
      <c r="S5" s="3412"/>
      <c r="T5" s="3411"/>
      <c r="U5" s="3412"/>
      <c r="V5" s="3434"/>
      <c r="W5" s="3434"/>
      <c r="X5" s="1265"/>
      <c r="Y5" s="3411"/>
      <c r="Z5" s="3412"/>
      <c r="AA5" s="3405"/>
      <c r="AB5" s="3405"/>
      <c r="AC5" s="3457"/>
    </row>
    <row r="6" spans="1:29" ht="15" thickBot="1">
      <c r="A6" s="350"/>
      <c r="B6" s="351"/>
      <c r="C6" s="3417" t="s">
        <v>1677</v>
      </c>
      <c r="D6" s="3418"/>
      <c r="E6" s="3419" t="s">
        <v>1677</v>
      </c>
      <c r="F6" s="3420"/>
      <c r="G6" s="3417" t="s">
        <v>1677</v>
      </c>
      <c r="H6" s="3418"/>
      <c r="I6" s="3417" t="s">
        <v>1677</v>
      </c>
      <c r="J6" s="3418"/>
      <c r="K6" s="537" t="s">
        <v>1678</v>
      </c>
      <c r="L6" s="2484"/>
      <c r="M6" s="2485"/>
      <c r="N6" s="2485"/>
      <c r="O6" s="2485"/>
      <c r="P6" s="3462"/>
      <c r="Q6" s="3431"/>
      <c r="R6" s="3411"/>
      <c r="S6" s="3412"/>
      <c r="T6" s="3432"/>
      <c r="U6" s="3433"/>
      <c r="V6" s="3434"/>
      <c r="W6" s="3434"/>
      <c r="X6" s="1265"/>
      <c r="Y6" s="3432"/>
      <c r="Z6" s="3433"/>
      <c r="AA6" s="3406"/>
      <c r="AB6" s="3406"/>
      <c r="AC6" s="3458"/>
    </row>
    <row r="7" spans="1:29" s="102" customFormat="1" ht="15" thickBot="1">
      <c r="A7" s="352" t="s">
        <v>1679</v>
      </c>
      <c r="B7" s="353"/>
      <c r="C7" s="354">
        <f>'数据-取费表'!B2</f>
        <v>45624</v>
      </c>
      <c r="D7" s="355">
        <v>100</v>
      </c>
      <c r="E7" s="356">
        <v>45597</v>
      </c>
      <c r="F7" s="357">
        <f>SUMIF(59:59,YEAR(E7)&amp;"-"&amp;MONTH(E7),60:60)</f>
        <v>100</v>
      </c>
      <c r="G7" s="356">
        <v>45597</v>
      </c>
      <c r="H7" s="355">
        <f>SUMIF(59:59,YEAR(G7)&amp;"-"&amp;MONTH(G7),60:60)</f>
        <v>100</v>
      </c>
      <c r="I7" s="356">
        <v>45597</v>
      </c>
      <c r="J7" s="355">
        <f>SUMIF(59:59,YEAR(I7)&amp;"-"&amp;MONTH(I7),60:60)</f>
        <v>100</v>
      </c>
      <c r="K7" s="38"/>
      <c r="L7" s="2486"/>
      <c r="M7" s="2438"/>
      <c r="N7" s="2438"/>
      <c r="O7" s="2438"/>
      <c r="P7" s="3464" t="s">
        <v>1680</v>
      </c>
      <c r="Q7" s="3435"/>
      <c r="R7" s="664" t="s">
        <v>14</v>
      </c>
      <c r="S7" s="665">
        <f t="shared" ref="S7:S15" si="0">F7</f>
        <v>100</v>
      </c>
      <c r="T7" s="664" t="s">
        <v>14</v>
      </c>
      <c r="U7" s="665">
        <f t="shared" ref="U7:U15" si="1">H7</f>
        <v>100</v>
      </c>
      <c r="V7" s="664" t="s">
        <v>14</v>
      </c>
      <c r="W7" s="665">
        <f t="shared" ref="W7:W15" si="2">J7</f>
        <v>100</v>
      </c>
      <c r="X7" s="666"/>
      <c r="Y7" s="3407" t="s">
        <v>1680</v>
      </c>
      <c r="Z7" s="3408"/>
      <c r="AA7" s="50">
        <f>D7/F7</f>
        <v>1</v>
      </c>
      <c r="AB7" s="50">
        <f>D7/H7</f>
        <v>1</v>
      </c>
      <c r="AC7" s="802">
        <f>D7/J7</f>
        <v>1</v>
      </c>
    </row>
    <row r="8" spans="1:29" s="102" customFormat="1" ht="15" thickBot="1">
      <c r="A8" s="352" t="s">
        <v>1681</v>
      </c>
      <c r="B8" s="353"/>
      <c r="C8" s="358" t="s">
        <v>3393</v>
      </c>
      <c r="D8" s="355">
        <v>100</v>
      </c>
      <c r="E8" s="358" t="s">
        <v>3394</v>
      </c>
      <c r="F8" s="357">
        <f>SUMIF(62:62,E8,63:63)-SUMIF(62:62,C8,63:63)+100</f>
        <v>102</v>
      </c>
      <c r="G8" s="358" t="s">
        <v>3394</v>
      </c>
      <c r="H8" s="355">
        <f>SUMIF(62:62,G8,63:63)-SUMIF(62:62,C8,63:63)+100</f>
        <v>102</v>
      </c>
      <c r="I8" s="358" t="s">
        <v>3394</v>
      </c>
      <c r="J8" s="355">
        <f>SUMIF(62:62,I8,63:63)-SUMIF(62:62,C8,63:63)+100</f>
        <v>102</v>
      </c>
      <c r="K8" s="38"/>
      <c r="L8" s="2486"/>
      <c r="M8" s="2438"/>
      <c r="N8" s="2438"/>
      <c r="O8" s="2438"/>
      <c r="P8" s="3464" t="s">
        <v>1683</v>
      </c>
      <c r="Q8" s="3408"/>
      <c r="R8" s="664" t="s">
        <v>14</v>
      </c>
      <c r="S8" s="665">
        <f t="shared" si="0"/>
        <v>102</v>
      </c>
      <c r="T8" s="664" t="s">
        <v>14</v>
      </c>
      <c r="U8" s="665">
        <f t="shared" si="1"/>
        <v>102</v>
      </c>
      <c r="V8" s="664" t="s">
        <v>14</v>
      </c>
      <c r="W8" s="665">
        <f t="shared" si="2"/>
        <v>102</v>
      </c>
      <c r="X8" s="666"/>
      <c r="Y8" s="3407" t="s">
        <v>1683</v>
      </c>
      <c r="Z8" s="3408"/>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46" t="s">
        <v>3396</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21"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21"/>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21"/>
      <c r="Q11" s="530" t="str">
        <f t="shared" si="6"/>
        <v>容积率</v>
      </c>
      <c r="R11" s="664" t="s">
        <v>14</v>
      </c>
      <c r="S11" s="665">
        <f t="shared" si="0"/>
        <v>100</v>
      </c>
      <c r="T11" s="664" t="s">
        <v>14</v>
      </c>
      <c r="U11" s="665">
        <f t="shared" si="1"/>
        <v>100</v>
      </c>
      <c r="V11" s="664" t="s">
        <v>14</v>
      </c>
      <c r="W11" s="665">
        <f t="shared" si="2"/>
        <v>100</v>
      </c>
      <c r="X11" s="666"/>
      <c r="Y11" s="33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21"/>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21"/>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21"/>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162"/>
      <c r="F15" s="380">
        <f>SUMIF(77:77,E16,78:78)-SUMIF(77:77,C16,78:78)+100</f>
        <v>100</v>
      </c>
      <c r="G15" s="3162"/>
      <c r="H15" s="380">
        <f>SUMIF(77:77,G16,78:78)-SUMIF(77:77,C16,78:78)+100</f>
        <v>100</v>
      </c>
      <c r="I15" s="3162"/>
      <c r="J15" s="380">
        <f>SUMIF(77:77,I16,78:78)-SUMIF(77:77,C16,78:78)+100</f>
        <v>105</v>
      </c>
      <c r="K15" s="3170">
        <v>5</v>
      </c>
      <c r="L15" s="2490"/>
      <c r="M15" s="2485"/>
      <c r="N15" s="2485"/>
      <c r="O15" s="2485"/>
      <c r="P15" s="3447" t="s">
        <v>1691</v>
      </c>
      <c r="Q15" s="1263" t="str">
        <f t="shared" si="6"/>
        <v>办公集聚程度</v>
      </c>
      <c r="R15" s="667" t="s">
        <v>14</v>
      </c>
      <c r="S15" s="668">
        <f t="shared" si="0"/>
        <v>100</v>
      </c>
      <c r="T15" s="667" t="s">
        <v>14</v>
      </c>
      <c r="U15" s="668">
        <f t="shared" si="1"/>
        <v>100</v>
      </c>
      <c r="V15" s="667" t="s">
        <v>14</v>
      </c>
      <c r="W15" s="668">
        <f t="shared" si="2"/>
        <v>105</v>
      </c>
      <c r="X15" s="1265"/>
      <c r="Y15" s="3440" t="s">
        <v>1691</v>
      </c>
      <c r="Z15" s="1264" t="str">
        <f t="shared" si="7"/>
        <v>办公集聚程度</v>
      </c>
      <c r="AA15" s="1264">
        <f t="shared" si="3"/>
        <v>1</v>
      </c>
      <c r="AB15" s="1264">
        <f t="shared" si="4"/>
        <v>1</v>
      </c>
      <c r="AC15" s="1812">
        <f t="shared" si="5"/>
        <v>0.95238095238095233</v>
      </c>
    </row>
    <row r="16" spans="1:29" ht="15">
      <c r="A16" s="367"/>
      <c r="B16" s="555"/>
      <c r="C16" s="1758" t="s">
        <v>3397</v>
      </c>
      <c r="D16" s="387"/>
      <c r="E16" s="386" t="s">
        <v>3397</v>
      </c>
      <c r="F16" s="387"/>
      <c r="G16" s="1758" t="s">
        <v>3397</v>
      </c>
      <c r="H16" s="389"/>
      <c r="I16" s="386" t="s">
        <v>3428</v>
      </c>
      <c r="J16" s="387"/>
      <c r="K16" s="541"/>
      <c r="L16" s="2490"/>
      <c r="M16" s="2485"/>
      <c r="N16" s="2485"/>
      <c r="O16" s="2485"/>
      <c r="P16" s="3448"/>
      <c r="Q16" s="1263"/>
      <c r="R16" s="667"/>
      <c r="S16" s="668"/>
      <c r="T16" s="667"/>
      <c r="U16" s="668"/>
      <c r="V16" s="667"/>
      <c r="W16" s="668"/>
      <c r="X16" s="1265"/>
      <c r="Y16" s="3441"/>
      <c r="Z16" s="1264"/>
      <c r="AA16" s="1264">
        <v>1</v>
      </c>
      <c r="AB16" s="1264">
        <v>1</v>
      </c>
      <c r="AC16" s="1812">
        <v>1</v>
      </c>
    </row>
    <row r="17" spans="1:29" ht="69">
      <c r="A17" s="367"/>
      <c r="B17" s="556" t="s">
        <v>1259</v>
      </c>
      <c r="C17" s="1813" t="str">
        <f>估价对象房地状况!C6</f>
        <v>估价对象周边道路状况一般，有836、901、917等多条线路及燕房线经过，公共交通通达情况较好、停车便捷程度较好，综合评价交通便捷度较好</v>
      </c>
      <c r="D17" s="389">
        <v>100</v>
      </c>
      <c r="E17" s="3158"/>
      <c r="F17" s="389">
        <f>SUMIF(79:79,E18,80:80)-SUMIF(79:79,C18,80:80)+100</f>
        <v>100</v>
      </c>
      <c r="G17" s="3157"/>
      <c r="H17" s="394">
        <f>SUMIF(79:79,G18,80:80)-SUMIF(79:79,C18,80:80)+100</f>
        <v>100</v>
      </c>
      <c r="I17" s="3157"/>
      <c r="J17" s="394">
        <f>SUMIF(79:79,I18,80:80)-SUMIF(79:79,C18,80:80)+100</f>
        <v>100</v>
      </c>
      <c r="K17" s="540">
        <v>2</v>
      </c>
      <c r="L17" s="2490"/>
      <c r="M17" s="2485"/>
      <c r="N17" s="2485"/>
      <c r="O17" s="2485"/>
      <c r="P17" s="3448"/>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812">
        <f t="shared" si="5"/>
        <v>1</v>
      </c>
    </row>
    <row r="18" spans="1:29" ht="15">
      <c r="A18" s="367"/>
      <c r="B18" s="401"/>
      <c r="C18" s="1814" t="s">
        <v>3397</v>
      </c>
      <c r="D18" s="389"/>
      <c r="E18" s="1756" t="s">
        <v>3397</v>
      </c>
      <c r="F18" s="389"/>
      <c r="G18" s="1757" t="s">
        <v>3397</v>
      </c>
      <c r="H18" s="387"/>
      <c r="I18" s="1757" t="s">
        <v>3397</v>
      </c>
      <c r="J18" s="387"/>
      <c r="K18" s="541"/>
      <c r="L18" s="2490"/>
      <c r="M18" s="2485"/>
      <c r="N18" s="2485"/>
      <c r="O18" s="2485"/>
      <c r="P18" s="3448"/>
      <c r="Q18" s="1263"/>
      <c r="R18" s="667"/>
      <c r="S18" s="668"/>
      <c r="T18" s="667"/>
      <c r="U18" s="668"/>
      <c r="V18" s="667"/>
      <c r="W18" s="668"/>
      <c r="X18" s="1265"/>
      <c r="Y18" s="3441"/>
      <c r="Z18" s="1264"/>
      <c r="AA18" s="1264">
        <v>1</v>
      </c>
      <c r="AB18" s="1264">
        <v>1</v>
      </c>
      <c r="AC18" s="1812">
        <v>1</v>
      </c>
    </row>
    <row r="19" spans="1:29" ht="69">
      <c r="A19" s="367"/>
      <c r="B19" s="556" t="s">
        <v>1812</v>
      </c>
      <c r="C19" s="1813" t="str">
        <f>估价对象房地状况!C7</f>
        <v>商场（华冠天地、房山商业大楼）、医院（房山区中医院、房山区第一医院）、学校（房山中学）、餐饮等，公共配套设施较好。</v>
      </c>
      <c r="D19" s="394">
        <v>100</v>
      </c>
      <c r="E19" s="3159"/>
      <c r="F19" s="394">
        <f>SUMIF(81:81,E20,82:82)-SUMIF(81:81,C20,82:82)+100</f>
        <v>105</v>
      </c>
      <c r="G19" s="3155"/>
      <c r="H19" s="389">
        <f>SUMIF(81:81,G20,82:82)-SUMIF(81:81,C20,82:82)+100</f>
        <v>105</v>
      </c>
      <c r="I19" s="3155"/>
      <c r="J19" s="389">
        <f>SUMIF(81:81,I20,82:82)-SUMIF(81:81,C20,82:82)+100</f>
        <v>100</v>
      </c>
      <c r="K19" s="3170">
        <v>5</v>
      </c>
      <c r="L19" s="2490"/>
      <c r="M19" s="2485"/>
      <c r="N19" s="2485"/>
      <c r="O19" s="2485"/>
      <c r="P19" s="3448"/>
      <c r="Q19" s="1263" t="str">
        <f>B19</f>
        <v>公共配套设施</v>
      </c>
      <c r="R19" s="667" t="s">
        <v>14</v>
      </c>
      <c r="S19" s="668">
        <f>F19</f>
        <v>105</v>
      </c>
      <c r="T19" s="667" t="s">
        <v>14</v>
      </c>
      <c r="U19" s="668">
        <f>H19</f>
        <v>105</v>
      </c>
      <c r="V19" s="667" t="s">
        <v>14</v>
      </c>
      <c r="W19" s="668">
        <f>J19</f>
        <v>100</v>
      </c>
      <c r="X19" s="1265"/>
      <c r="Y19" s="3441"/>
      <c r="Z19" s="1264" t="str">
        <f>Q19</f>
        <v>公共配套设施</v>
      </c>
      <c r="AA19" s="1264">
        <f t="shared" si="3"/>
        <v>0.95238095238095233</v>
      </c>
      <c r="AB19" s="1264">
        <f t="shared" si="4"/>
        <v>0.95238095238095233</v>
      </c>
      <c r="AC19" s="1812">
        <f t="shared" si="5"/>
        <v>1</v>
      </c>
    </row>
    <row r="20" spans="1:29" ht="15">
      <c r="A20" s="367"/>
      <c r="B20" s="401"/>
      <c r="C20" s="1758" t="s">
        <v>3397</v>
      </c>
      <c r="D20" s="387"/>
      <c r="E20" s="1751" t="s">
        <v>3428</v>
      </c>
      <c r="F20" s="387"/>
      <c r="G20" s="1752" t="s">
        <v>3428</v>
      </c>
      <c r="H20" s="387"/>
      <c r="I20" s="1752" t="s">
        <v>3397</v>
      </c>
      <c r="J20" s="387"/>
      <c r="K20" s="541"/>
      <c r="L20" s="2490"/>
      <c r="M20" s="2485"/>
      <c r="N20" s="2485"/>
      <c r="O20" s="2485"/>
      <c r="P20" s="3448"/>
      <c r="Q20" s="1263"/>
      <c r="R20" s="667"/>
      <c r="S20" s="668"/>
      <c r="T20" s="667"/>
      <c r="U20" s="668"/>
      <c r="V20" s="667"/>
      <c r="W20" s="668"/>
      <c r="X20" s="1265"/>
      <c r="Y20" s="344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812">
        <f t="shared" ref="AC21" si="10">D21/J21</f>
        <v>1</v>
      </c>
    </row>
    <row r="22" spans="1:29" ht="15">
      <c r="A22" s="367"/>
      <c r="B22" s="557"/>
      <c r="C22" s="1814" t="s">
        <v>3411</v>
      </c>
      <c r="D22" s="387"/>
      <c r="E22" s="386" t="s">
        <v>3411</v>
      </c>
      <c r="F22" s="387"/>
      <c r="G22" s="3165" t="s">
        <v>3411</v>
      </c>
      <c r="H22" s="387"/>
      <c r="I22" s="3165" t="s">
        <v>3411</v>
      </c>
      <c r="J22" s="387"/>
      <c r="K22" s="1064"/>
      <c r="L22" s="2490"/>
      <c r="M22" s="2485"/>
      <c r="N22" s="2485"/>
      <c r="O22" s="2485"/>
      <c r="P22" s="3448"/>
      <c r="Q22" s="1263"/>
      <c r="R22" s="667"/>
      <c r="S22" s="668"/>
      <c r="T22" s="667"/>
      <c r="U22" s="668"/>
      <c r="V22" s="667"/>
      <c r="W22" s="668"/>
      <c r="X22" s="1265"/>
      <c r="Y22" s="3441"/>
      <c r="Z22" s="1264"/>
      <c r="AA22" s="1264">
        <v>1</v>
      </c>
      <c r="AB22" s="1264">
        <v>1</v>
      </c>
      <c r="AC22" s="1812">
        <v>1</v>
      </c>
    </row>
    <row r="23" spans="1:29" ht="41.4">
      <c r="A23" s="367"/>
      <c r="B23" s="556" t="s">
        <v>1814</v>
      </c>
      <c r="C23" s="1813" t="str">
        <f>估价对象房地状况!C9</f>
        <v>区域自然环境：朝曦公园、迎宾公园；人文环境：无；综合评价环境状况一般</v>
      </c>
      <c r="D23" s="389">
        <v>100</v>
      </c>
      <c r="E23" s="3156"/>
      <c r="F23" s="389">
        <f>SUMIF(85:85,E24,86:86)-SUMIF(85:85,C24,86:86)+100</f>
        <v>100</v>
      </c>
      <c r="G23" s="3156"/>
      <c r="H23" s="389">
        <f>SUMIF(85:85,G24,86:86)-SUMIF(85:85,C24,86:86)+100</f>
        <v>100</v>
      </c>
      <c r="I23" s="3156"/>
      <c r="J23" s="389">
        <f>SUMIF(85:85,I24,86:86)-SUMIF(85:85,C24,86:86)+100</f>
        <v>100</v>
      </c>
      <c r="K23" s="540">
        <v>2</v>
      </c>
      <c r="L23" s="2490"/>
      <c r="M23" s="2485"/>
      <c r="N23" s="2485"/>
      <c r="O23" s="2485"/>
      <c r="P23" s="3448"/>
      <c r="Q23" s="1263" t="str">
        <f>B23</f>
        <v>环境质量</v>
      </c>
      <c r="R23" s="667" t="s">
        <v>14</v>
      </c>
      <c r="S23" s="668">
        <f>F23</f>
        <v>100</v>
      </c>
      <c r="T23" s="667" t="s">
        <v>14</v>
      </c>
      <c r="U23" s="668">
        <f>H23</f>
        <v>100</v>
      </c>
      <c r="V23" s="667" t="s">
        <v>14</v>
      </c>
      <c r="W23" s="668">
        <f>J23</f>
        <v>100</v>
      </c>
      <c r="X23" s="1265"/>
      <c r="Y23" s="3441"/>
      <c r="Z23" s="1264" t="str">
        <f>Q23</f>
        <v>环境质量</v>
      </c>
      <c r="AA23" s="1264">
        <f t="shared" si="3"/>
        <v>1</v>
      </c>
      <c r="AB23" s="1264">
        <f t="shared" si="4"/>
        <v>1</v>
      </c>
      <c r="AC23" s="1812">
        <f t="shared" si="5"/>
        <v>1</v>
      </c>
    </row>
    <row r="24" spans="1:29" ht="15">
      <c r="A24" s="367"/>
      <c r="B24" s="557"/>
      <c r="C24" s="1758" t="s">
        <v>3428</v>
      </c>
      <c r="D24" s="387"/>
      <c r="E24" s="1751" t="s">
        <v>3428</v>
      </c>
      <c r="F24" s="387"/>
      <c r="G24" s="1752" t="s">
        <v>3428</v>
      </c>
      <c r="H24" s="387"/>
      <c r="I24" s="1752" t="s">
        <v>3428</v>
      </c>
      <c r="J24" s="387"/>
      <c r="K24" s="541"/>
      <c r="L24" s="2490"/>
      <c r="M24" s="2485"/>
      <c r="N24" s="2485"/>
      <c r="O24" s="2485"/>
      <c r="P24" s="3448"/>
      <c r="Q24" s="1263"/>
      <c r="R24" s="667"/>
      <c r="S24" s="668"/>
      <c r="T24" s="667"/>
      <c r="U24" s="668"/>
      <c r="V24" s="667"/>
      <c r="W24" s="668"/>
      <c r="X24" s="1265"/>
      <c r="Y24" s="3441"/>
      <c r="Z24" s="1264"/>
      <c r="AA24" s="1264">
        <v>1</v>
      </c>
      <c r="AB24" s="1264">
        <v>1</v>
      </c>
      <c r="AC24" s="1812">
        <v>1</v>
      </c>
    </row>
    <row r="25" spans="1:29" ht="28.8">
      <c r="A25" s="348"/>
      <c r="B25" s="556" t="s">
        <v>1815</v>
      </c>
      <c r="C25" s="3150" t="s">
        <v>3429</v>
      </c>
      <c r="D25" s="374">
        <v>100</v>
      </c>
      <c r="E25" s="373"/>
      <c r="F25" s="374">
        <f>SUMIF(87:87,E26,88:88)-SUMIF(87:87,C26,88:88)+100</f>
        <v>100</v>
      </c>
      <c r="G25" s="1762"/>
      <c r="H25" s="374">
        <f>SUMIF(87:87,G26,88:88)-SUMIF(87:87,C26,88:88)+100</f>
        <v>100</v>
      </c>
      <c r="I25" s="3154" t="s">
        <v>3432</v>
      </c>
      <c r="J25" s="374">
        <f>SUMIF(87:87,I26,88:88)-SUMIF(87:87,C26,88:88)+100</f>
        <v>104</v>
      </c>
      <c r="K25" s="540">
        <v>2</v>
      </c>
      <c r="L25" s="2490"/>
      <c r="M25" s="2485"/>
      <c r="N25" s="2485"/>
      <c r="O25" s="2485"/>
      <c r="P25" s="3448"/>
      <c r="Q25" s="1263" t="str">
        <f>B25</f>
        <v>毗邻道路的类型与等级</v>
      </c>
      <c r="R25" s="667" t="s">
        <v>14</v>
      </c>
      <c r="S25" s="668">
        <f>F25</f>
        <v>100</v>
      </c>
      <c r="T25" s="667" t="s">
        <v>14</v>
      </c>
      <c r="U25" s="668">
        <f>H25</f>
        <v>100</v>
      </c>
      <c r="V25" s="667" t="s">
        <v>14</v>
      </c>
      <c r="W25" s="668">
        <f>J25</f>
        <v>104</v>
      </c>
      <c r="X25" s="1265"/>
      <c r="Y25" s="3441"/>
      <c r="Z25" s="1264" t="str">
        <f>Q25</f>
        <v>毗邻道路的类型与等级</v>
      </c>
      <c r="AA25" s="1264">
        <f t="shared" si="3"/>
        <v>1</v>
      </c>
      <c r="AB25" s="1264">
        <f t="shared" si="4"/>
        <v>1</v>
      </c>
      <c r="AC25" s="1812">
        <f t="shared" si="5"/>
        <v>0.96153846153846156</v>
      </c>
    </row>
    <row r="26" spans="1:29" ht="15">
      <c r="A26" s="348"/>
      <c r="B26" s="401"/>
      <c r="C26" s="558" t="s">
        <v>3430</v>
      </c>
      <c r="D26" s="374"/>
      <c r="E26" s="542" t="s">
        <v>3430</v>
      </c>
      <c r="F26" s="374"/>
      <c r="G26" s="558" t="s">
        <v>3430</v>
      </c>
      <c r="H26" s="374"/>
      <c r="I26" s="542" t="s">
        <v>3431</v>
      </c>
      <c r="J26" s="374"/>
      <c r="K26" s="541"/>
      <c r="L26" s="2490"/>
      <c r="M26" s="2485"/>
      <c r="N26" s="2485"/>
      <c r="O26" s="2485"/>
      <c r="P26" s="3448"/>
      <c r="Q26" s="1263"/>
      <c r="R26" s="667"/>
      <c r="S26" s="668"/>
      <c r="T26" s="667"/>
      <c r="U26" s="668"/>
      <c r="V26" s="667"/>
      <c r="W26" s="668"/>
      <c r="X26" s="1265"/>
      <c r="Y26" s="344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0"/>
      <c r="M27" s="2485"/>
      <c r="N27" s="2485"/>
      <c r="O27" s="2485"/>
      <c r="P27" s="3448"/>
      <c r="Q27" s="1263" t="str">
        <f t="shared" ref="Q27:Q47" si="11">B27</f>
        <v>楼层</v>
      </c>
      <c r="R27" s="667" t="s">
        <v>14</v>
      </c>
      <c r="S27" s="668">
        <f>F27</f>
        <v>100</v>
      </c>
      <c r="T27" s="667" t="s">
        <v>14</v>
      </c>
      <c r="U27" s="668">
        <f>H27</f>
        <v>100</v>
      </c>
      <c r="V27" s="667" t="s">
        <v>14</v>
      </c>
      <c r="W27" s="668">
        <f>J27</f>
        <v>100</v>
      </c>
      <c r="X27" s="1265"/>
      <c r="Y27" s="344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48"/>
      <c r="Q28" s="530" t="str">
        <f t="shared" si="11"/>
        <v>朝向</v>
      </c>
      <c r="R28" s="664" t="s">
        <v>14</v>
      </c>
      <c r="S28" s="665">
        <f>F28</f>
        <v>100</v>
      </c>
      <c r="T28" s="664" t="s">
        <v>14</v>
      </c>
      <c r="U28" s="665">
        <f>H28</f>
        <v>100</v>
      </c>
      <c r="V28" s="664" t="s">
        <v>14</v>
      </c>
      <c r="W28" s="665">
        <f>J28</f>
        <v>100</v>
      </c>
      <c r="X28" s="666"/>
      <c r="Y28" s="344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8"/>
      <c r="Q29" s="1263">
        <f t="shared" si="11"/>
        <v>111</v>
      </c>
      <c r="R29" s="667" t="s">
        <v>14</v>
      </c>
      <c r="S29" s="668">
        <f t="shared" ref="S29:S47" si="12">F29</f>
        <v>100</v>
      </c>
      <c r="T29" s="667" t="s">
        <v>14</v>
      </c>
      <c r="U29" s="668">
        <f t="shared" ref="U29:U47" si="13">H29</f>
        <v>100</v>
      </c>
      <c r="V29" s="667" t="s">
        <v>14</v>
      </c>
      <c r="W29" s="668">
        <f t="shared" ref="W29:W47" si="14">J29</f>
        <v>100</v>
      </c>
      <c r="X29" s="1265"/>
      <c r="Y29" s="344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8"/>
      <c r="Q30" s="1263">
        <f t="shared" si="11"/>
        <v>111</v>
      </c>
      <c r="R30" s="667" t="s">
        <v>14</v>
      </c>
      <c r="S30" s="668">
        <f t="shared" si="12"/>
        <v>100</v>
      </c>
      <c r="T30" s="667" t="s">
        <v>14</v>
      </c>
      <c r="U30" s="668">
        <f t="shared" si="13"/>
        <v>100</v>
      </c>
      <c r="V30" s="667" t="s">
        <v>14</v>
      </c>
      <c r="W30" s="668">
        <f t="shared" si="14"/>
        <v>100</v>
      </c>
      <c r="X30" s="1265"/>
      <c r="Y30" s="344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8"/>
      <c r="Q31" s="1263">
        <f t="shared" si="11"/>
        <v>111</v>
      </c>
      <c r="R31" s="667" t="s">
        <v>14</v>
      </c>
      <c r="S31" s="668">
        <f t="shared" si="12"/>
        <v>100</v>
      </c>
      <c r="T31" s="667" t="s">
        <v>14</v>
      </c>
      <c r="U31" s="668">
        <f t="shared" si="13"/>
        <v>100</v>
      </c>
      <c r="V31" s="667" t="s">
        <v>14</v>
      </c>
      <c r="W31" s="668">
        <f t="shared" si="14"/>
        <v>100</v>
      </c>
      <c r="X31" s="1265"/>
      <c r="Y31" s="344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8"/>
      <c r="Q32" s="1263">
        <f t="shared" si="11"/>
        <v>111</v>
      </c>
      <c r="R32" s="667" t="s">
        <v>14</v>
      </c>
      <c r="S32" s="668">
        <f t="shared" si="12"/>
        <v>100</v>
      </c>
      <c r="T32" s="667" t="s">
        <v>14</v>
      </c>
      <c r="U32" s="668">
        <f t="shared" si="13"/>
        <v>100</v>
      </c>
      <c r="V32" s="667" t="s">
        <v>14</v>
      </c>
      <c r="W32" s="668">
        <f t="shared" si="14"/>
        <v>100</v>
      </c>
      <c r="X32" s="1265"/>
      <c r="Y32" s="3441"/>
      <c r="Z32" s="1264">
        <f t="shared" si="15"/>
        <v>111</v>
      </c>
      <c r="AA32" s="1264">
        <f t="shared" si="3"/>
        <v>1</v>
      </c>
      <c r="AB32" s="1264">
        <f t="shared" si="4"/>
        <v>1</v>
      </c>
      <c r="AC32" s="1812">
        <f t="shared" si="5"/>
        <v>1</v>
      </c>
    </row>
    <row r="33" spans="1:29" ht="15">
      <c r="A33" s="379" t="s">
        <v>1694</v>
      </c>
      <c r="B33" s="60" t="s">
        <v>1817</v>
      </c>
      <c r="C33" s="1764" t="s">
        <v>3444</v>
      </c>
      <c r="D33" s="405">
        <v>100</v>
      </c>
      <c r="E33" s="1764" t="s">
        <v>3443</v>
      </c>
      <c r="F33" s="400">
        <f>SUMIF(101:101,E33,102:102)-SUMIF(101:101,C33,102:102)+100</f>
        <v>97</v>
      </c>
      <c r="G33" s="1764" t="s">
        <v>3443</v>
      </c>
      <c r="H33" s="374">
        <f>SUMIF(101:101,G33,102:102)-SUMIF(101:101,C33,102:102)+100</f>
        <v>97</v>
      </c>
      <c r="I33" s="1764" t="s">
        <v>3448</v>
      </c>
      <c r="J33" s="405">
        <f>SUMIF(101:101,I33,102:102)-SUMIF(101:101,C33,102:102)+100</f>
        <v>103</v>
      </c>
      <c r="K33" s="538">
        <v>3</v>
      </c>
      <c r="L33" s="2490"/>
      <c r="M33" s="2485"/>
      <c r="N33" s="2485"/>
      <c r="O33" s="2485"/>
      <c r="P33" s="3442" t="s">
        <v>1696</v>
      </c>
      <c r="Q33" s="1263" t="str">
        <f t="shared" si="11"/>
        <v>建筑类型</v>
      </c>
      <c r="R33" s="667" t="s">
        <v>14</v>
      </c>
      <c r="S33" s="668">
        <f t="shared" si="12"/>
        <v>97</v>
      </c>
      <c r="T33" s="667" t="s">
        <v>14</v>
      </c>
      <c r="U33" s="668">
        <f t="shared" si="13"/>
        <v>97</v>
      </c>
      <c r="V33" s="667" t="s">
        <v>14</v>
      </c>
      <c r="W33" s="668">
        <f t="shared" si="14"/>
        <v>103</v>
      </c>
      <c r="X33" s="1265"/>
      <c r="Y33" s="3445" t="s">
        <v>1696</v>
      </c>
      <c r="Z33" s="1264" t="str">
        <f t="shared" si="15"/>
        <v>建筑类型</v>
      </c>
      <c r="AA33" s="1264">
        <f t="shared" si="3"/>
        <v>1.0309278350515463</v>
      </c>
      <c r="AB33" s="1264">
        <f t="shared" si="4"/>
        <v>1.0309278350515463</v>
      </c>
      <c r="AC33" s="1812">
        <f t="shared" si="5"/>
        <v>0.970873786407767</v>
      </c>
    </row>
    <row r="34" spans="1:29" s="408" customFormat="1" ht="15">
      <c r="A34" s="406"/>
      <c r="B34" s="364" t="s">
        <v>1697</v>
      </c>
      <c r="C34" s="407">
        <f>'数据-汇总表'!E19</f>
        <v>1298.9000000000001</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89"/>
      <c r="M34" s="3160" t="s">
        <v>3437</v>
      </c>
      <c r="N34" s="2491">
        <v>2011</v>
      </c>
      <c r="O34" s="2491"/>
      <c r="P34" s="3443"/>
      <c r="Q34" s="531" t="str">
        <f t="shared" si="11"/>
        <v>项目建筑规模</v>
      </c>
      <c r="R34" s="669" t="s">
        <v>14</v>
      </c>
      <c r="S34" s="670" t="e">
        <f t="shared" si="12"/>
        <v>#REF!</v>
      </c>
      <c r="T34" s="669" t="s">
        <v>14</v>
      </c>
      <c r="U34" s="670" t="e">
        <f t="shared" si="13"/>
        <v>#REF!</v>
      </c>
      <c r="V34" s="669" t="s">
        <v>14</v>
      </c>
      <c r="W34" s="670" t="e">
        <f t="shared" si="14"/>
        <v>#REF!</v>
      </c>
      <c r="X34" s="671"/>
      <c r="Y34" s="3445"/>
      <c r="Z34" s="672" t="str">
        <f t="shared" si="15"/>
        <v>项目建筑规模</v>
      </c>
      <c r="AA34" s="1264" t="e">
        <f t="shared" si="3"/>
        <v>#REF!</v>
      </c>
      <c r="AB34" s="1264" t="e">
        <f t="shared" si="4"/>
        <v>#REF!</v>
      </c>
      <c r="AC34" s="1812" t="e">
        <f t="shared" si="5"/>
        <v>#REF!</v>
      </c>
    </row>
    <row r="35" spans="1:29" ht="15">
      <c r="A35" s="409"/>
      <c r="B35" s="364" t="s">
        <v>1698</v>
      </c>
      <c r="C35" s="399" t="s">
        <v>3433</v>
      </c>
      <c r="D35" s="374">
        <v>100</v>
      </c>
      <c r="E35" s="399" t="s">
        <v>3433</v>
      </c>
      <c r="F35" s="400">
        <f>SUMIF(106:106,E35,107:107)-SUMIF(106:106,C35,107:107)+100</f>
        <v>100</v>
      </c>
      <c r="G35" s="399" t="s">
        <v>3433</v>
      </c>
      <c r="H35" s="374">
        <f>SUMIF(106:106,G35,107:107)-SUMIF(106:106,C35,107:107)+100</f>
        <v>100</v>
      </c>
      <c r="I35" s="399" t="s">
        <v>3450</v>
      </c>
      <c r="J35" s="374">
        <f>SUMIF(106:106,I35,107:107)-SUMIF(106:106,C35,107:107)+100</f>
        <v>102</v>
      </c>
      <c r="K35" s="538">
        <v>2</v>
      </c>
      <c r="L35" s="2490"/>
      <c r="M35" s="3161" t="s">
        <v>3438</v>
      </c>
      <c r="N35" s="2485">
        <f>ROUND(1-(1-0)*(2024-N34)/60,2)</f>
        <v>0.78</v>
      </c>
      <c r="O35" s="2485"/>
      <c r="P35" s="3443"/>
      <c r="Q35" s="1263" t="str">
        <f t="shared" si="11"/>
        <v>建筑结构</v>
      </c>
      <c r="R35" s="667" t="s">
        <v>14</v>
      </c>
      <c r="S35" s="668">
        <f t="shared" si="12"/>
        <v>100</v>
      </c>
      <c r="T35" s="667" t="s">
        <v>14</v>
      </c>
      <c r="U35" s="668">
        <f t="shared" si="13"/>
        <v>100</v>
      </c>
      <c r="V35" s="667" t="s">
        <v>14</v>
      </c>
      <c r="W35" s="668">
        <f t="shared" si="14"/>
        <v>102</v>
      </c>
      <c r="X35" s="1265"/>
      <c r="Y35" s="3445"/>
      <c r="Z35" s="1264" t="str">
        <f t="shared" si="15"/>
        <v>建筑结构</v>
      </c>
      <c r="AA35" s="1264">
        <f t="shared" si="3"/>
        <v>1</v>
      </c>
      <c r="AB35" s="1264">
        <f t="shared" si="4"/>
        <v>1</v>
      </c>
      <c r="AC35" s="1812">
        <f t="shared" si="5"/>
        <v>0.98039215686274506</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43"/>
      <c r="Q36" s="1263" t="str">
        <f t="shared" si="11"/>
        <v>公共部分装修</v>
      </c>
      <c r="R36" s="667" t="s">
        <v>14</v>
      </c>
      <c r="S36" s="668">
        <f t="shared" si="12"/>
        <v>100</v>
      </c>
      <c r="T36" s="667" t="s">
        <v>14</v>
      </c>
      <c r="U36" s="668">
        <f t="shared" si="13"/>
        <v>100</v>
      </c>
      <c r="V36" s="667" t="s">
        <v>14</v>
      </c>
      <c r="W36" s="668">
        <f t="shared" si="14"/>
        <v>100</v>
      </c>
      <c r="X36" s="1265"/>
      <c r="Y36" s="3445"/>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3171">
        <v>0.8</v>
      </c>
      <c r="J37" s="374">
        <f>LOOKUP(I37,111:111,112:112)-LOOKUP(C37,111:111,112:112)+100</f>
        <v>104</v>
      </c>
      <c r="K37" s="538">
        <v>2</v>
      </c>
      <c r="L37" s="2490"/>
      <c r="M37" s="2485"/>
      <c r="N37" s="2485"/>
      <c r="O37" s="2485"/>
      <c r="P37" s="3443"/>
      <c r="Q37" s="1263" t="str">
        <f t="shared" si="11"/>
        <v>成新度</v>
      </c>
      <c r="R37" s="667" t="s">
        <v>14</v>
      </c>
      <c r="S37" s="668">
        <f t="shared" si="12"/>
        <v>100</v>
      </c>
      <c r="T37" s="667" t="s">
        <v>14</v>
      </c>
      <c r="U37" s="668">
        <f t="shared" si="13"/>
        <v>100</v>
      </c>
      <c r="V37" s="667" t="s">
        <v>14</v>
      </c>
      <c r="W37" s="668">
        <f t="shared" si="14"/>
        <v>104</v>
      </c>
      <c r="X37" s="1265"/>
      <c r="Y37" s="3445"/>
      <c r="Z37" s="1264" t="str">
        <f t="shared" si="15"/>
        <v>成新度</v>
      </c>
      <c r="AA37" s="1264">
        <f t="shared" si="3"/>
        <v>1</v>
      </c>
      <c r="AB37" s="1264">
        <f t="shared" si="4"/>
        <v>1</v>
      </c>
      <c r="AC37" s="1812">
        <f t="shared" si="5"/>
        <v>0.96153846153846156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43"/>
      <c r="Q38" s="530" t="str">
        <f t="shared" si="11"/>
        <v>写字楼等级</v>
      </c>
      <c r="R38" s="664" t="s">
        <v>14</v>
      </c>
      <c r="S38" s="665">
        <f t="shared" si="12"/>
        <v>100</v>
      </c>
      <c r="T38" s="664" t="s">
        <v>14</v>
      </c>
      <c r="U38" s="665">
        <f t="shared" si="13"/>
        <v>100</v>
      </c>
      <c r="V38" s="664" t="s">
        <v>14</v>
      </c>
      <c r="W38" s="665">
        <f t="shared" si="14"/>
        <v>100</v>
      </c>
      <c r="X38" s="666"/>
      <c r="Y38" s="3445"/>
      <c r="Z38" s="50" t="str">
        <f t="shared" si="15"/>
        <v>写字楼等级</v>
      </c>
      <c r="AA38" s="50">
        <f t="shared" si="3"/>
        <v>1</v>
      </c>
      <c r="AB38" s="50">
        <f t="shared" si="4"/>
        <v>1</v>
      </c>
      <c r="AC38" s="802">
        <f t="shared" si="5"/>
        <v>1</v>
      </c>
    </row>
    <row r="39" spans="1:29" ht="15">
      <c r="A39" s="409"/>
      <c r="B39" s="364" t="s">
        <v>1819</v>
      </c>
      <c r="C39" s="399" t="s">
        <v>3410</v>
      </c>
      <c r="D39" s="374">
        <v>100</v>
      </c>
      <c r="E39" s="399" t="s">
        <v>3445</v>
      </c>
      <c r="F39" s="400">
        <f>SUMIF(115:115,E39,116:116)-SUMIF(115:115,C39,116:116)+100</f>
        <v>102</v>
      </c>
      <c r="G39" s="399" t="s">
        <v>3445</v>
      </c>
      <c r="H39" s="374">
        <f>SUMIF(115:115,G39,116:116)-SUMIF(115:115,C39,116:116)+100</f>
        <v>102</v>
      </c>
      <c r="I39" s="399" t="s">
        <v>3408</v>
      </c>
      <c r="J39" s="374">
        <f>SUMIF(115:115,I39,116:116)-SUMIF(115:115,C39,116:116)+100</f>
        <v>104</v>
      </c>
      <c r="K39" s="3166">
        <v>2</v>
      </c>
      <c r="L39" s="2490"/>
      <c r="M39" s="2485"/>
      <c r="N39" s="2485"/>
      <c r="O39" s="2485"/>
      <c r="P39" s="3443" t="s">
        <v>1696</v>
      </c>
      <c r="Q39" s="1263" t="str">
        <f t="shared" si="11"/>
        <v>物业管理</v>
      </c>
      <c r="R39" s="667" t="s">
        <v>14</v>
      </c>
      <c r="S39" s="668">
        <f t="shared" si="12"/>
        <v>102</v>
      </c>
      <c r="T39" s="667" t="s">
        <v>14</v>
      </c>
      <c r="U39" s="668">
        <f t="shared" si="13"/>
        <v>102</v>
      </c>
      <c r="V39" s="667" t="s">
        <v>14</v>
      </c>
      <c r="W39" s="668">
        <f t="shared" si="14"/>
        <v>104</v>
      </c>
      <c r="X39" s="1265"/>
      <c r="Y39" s="3445" t="s">
        <v>1696</v>
      </c>
      <c r="Z39" s="1264" t="str">
        <f t="shared" si="15"/>
        <v>物业管理</v>
      </c>
      <c r="AA39" s="1264">
        <f t="shared" si="3"/>
        <v>0.98039215686274506</v>
      </c>
      <c r="AB39" s="1264">
        <f t="shared" si="4"/>
        <v>0.98039215686274506</v>
      </c>
      <c r="AC39" s="1812">
        <f t="shared" si="5"/>
        <v>0.96153846153846156</v>
      </c>
    </row>
    <row r="40" spans="1:29" ht="15">
      <c r="A40" s="409"/>
      <c r="B40" s="364" t="s">
        <v>1787</v>
      </c>
      <c r="C40" s="399" t="s">
        <v>3413</v>
      </c>
      <c r="D40" s="374">
        <v>100</v>
      </c>
      <c r="E40" s="399" t="s">
        <v>3413</v>
      </c>
      <c r="F40" s="400">
        <f>SUMIF(117:117,E40,118:118)-SUMIF(117:117,C40,118:118)+100</f>
        <v>100</v>
      </c>
      <c r="G40" s="399" t="s">
        <v>3413</v>
      </c>
      <c r="H40" s="374">
        <f>SUMIF(117:117,G40,118:118)-SUMIF(117:117,C40,118:118)+100</f>
        <v>100</v>
      </c>
      <c r="I40" s="399" t="s">
        <v>3415</v>
      </c>
      <c r="J40" s="374">
        <f>SUMIF(117:117,I40,118:118)-SUMIF(117:117,C40,118:118)+100</f>
        <v>99</v>
      </c>
      <c r="K40" s="538">
        <v>1</v>
      </c>
      <c r="L40" s="2490"/>
      <c r="M40" s="2485"/>
      <c r="N40" s="2485"/>
      <c r="O40" s="2485"/>
      <c r="P40" s="3443"/>
      <c r="Q40" s="1263" t="str">
        <f t="shared" si="11"/>
        <v>市政基础设施</v>
      </c>
      <c r="R40" s="667" t="s">
        <v>14</v>
      </c>
      <c r="S40" s="668">
        <f t="shared" si="12"/>
        <v>100</v>
      </c>
      <c r="T40" s="667" t="s">
        <v>14</v>
      </c>
      <c r="U40" s="668">
        <f t="shared" si="13"/>
        <v>100</v>
      </c>
      <c r="V40" s="667" t="s">
        <v>14</v>
      </c>
      <c r="W40" s="668">
        <f t="shared" si="14"/>
        <v>99</v>
      </c>
      <c r="X40" s="1265"/>
      <c r="Y40" s="3445"/>
      <c r="Z40" s="1264" t="str">
        <f t="shared" si="15"/>
        <v>市政基础设施</v>
      </c>
      <c r="AA40" s="1264">
        <f t="shared" si="3"/>
        <v>1</v>
      </c>
      <c r="AB40" s="1264">
        <f t="shared" si="4"/>
        <v>1</v>
      </c>
      <c r="AC40" s="1812">
        <f t="shared" si="5"/>
        <v>1.0101010101010102</v>
      </c>
    </row>
    <row r="41" spans="1:29" ht="15">
      <c r="A41" s="409"/>
      <c r="B41" s="364" t="s">
        <v>1789</v>
      </c>
      <c r="C41" s="542" t="s">
        <v>3420</v>
      </c>
      <c r="D41" s="374">
        <v>100</v>
      </c>
      <c r="E41" s="542" t="s">
        <v>3420</v>
      </c>
      <c r="F41" s="400">
        <f>SUMIF(119:119,E41,120:120)-SUMIF(119:119,C41,120:120)+100</f>
        <v>100</v>
      </c>
      <c r="G41" s="542" t="s">
        <v>3420</v>
      </c>
      <c r="H41" s="374">
        <f>SUMIF(119:119,G41,120:120)-SUMIF(119:119,C41,120:120)+100</f>
        <v>100</v>
      </c>
      <c r="I41" s="542" t="s">
        <v>3420</v>
      </c>
      <c r="J41" s="374">
        <f>SUMIF(119:119,I41,120:120)-SUMIF(119:119,C41,120:120)+100</f>
        <v>100</v>
      </c>
      <c r="K41" s="538">
        <v>2</v>
      </c>
      <c r="L41" s="2490"/>
      <c r="M41" s="2485"/>
      <c r="N41" s="2485"/>
      <c r="O41" s="2485"/>
      <c r="P41" s="3443"/>
      <c r="Q41" s="1263" t="str">
        <f t="shared" si="11"/>
        <v>层高</v>
      </c>
      <c r="R41" s="667" t="s">
        <v>14</v>
      </c>
      <c r="S41" s="668">
        <f t="shared" si="12"/>
        <v>100</v>
      </c>
      <c r="T41" s="667" t="s">
        <v>14</v>
      </c>
      <c r="U41" s="668">
        <f t="shared" si="13"/>
        <v>100</v>
      </c>
      <c r="V41" s="667" t="s">
        <v>14</v>
      </c>
      <c r="W41" s="668">
        <f t="shared" si="14"/>
        <v>100</v>
      </c>
      <c r="X41" s="1265"/>
      <c r="Y41" s="344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43"/>
      <c r="Q42" s="531" t="str">
        <f t="shared" si="11"/>
        <v>单套建筑面积</v>
      </c>
      <c r="R42" s="669" t="s">
        <v>14</v>
      </c>
      <c r="S42" s="670">
        <f t="shared" si="12"/>
        <v>100</v>
      </c>
      <c r="T42" s="669" t="s">
        <v>14</v>
      </c>
      <c r="U42" s="670">
        <f t="shared" si="13"/>
        <v>100</v>
      </c>
      <c r="V42" s="669" t="s">
        <v>14</v>
      </c>
      <c r="W42" s="670">
        <f t="shared" si="14"/>
        <v>100</v>
      </c>
      <c r="X42" s="671"/>
      <c r="Y42" s="3445"/>
      <c r="Z42" s="672" t="str">
        <f t="shared" si="15"/>
        <v>单套建筑面积</v>
      </c>
      <c r="AA42" s="1264">
        <f t="shared" si="3"/>
        <v>1</v>
      </c>
      <c r="AB42" s="1264">
        <f t="shared" si="4"/>
        <v>1</v>
      </c>
      <c r="AC42" s="1812">
        <f t="shared" si="5"/>
        <v>1</v>
      </c>
    </row>
    <row r="43" spans="1:29" ht="15">
      <c r="A43" s="409"/>
      <c r="B43" s="364" t="s">
        <v>1792</v>
      </c>
      <c r="C43" s="399" t="s">
        <v>3434</v>
      </c>
      <c r="D43" s="374">
        <v>100</v>
      </c>
      <c r="E43" s="399" t="s">
        <v>3435</v>
      </c>
      <c r="F43" s="400">
        <f>SUMIF(123:123,E43,124:124)-SUMIF(123:123,C43,124:124)+100</f>
        <v>95</v>
      </c>
      <c r="G43" s="399" t="s">
        <v>3435</v>
      </c>
      <c r="H43" s="374">
        <f>SUMIF(123:123,G43,124:124)-SUMIF(123:123,C43,124:124)+100</f>
        <v>95</v>
      </c>
      <c r="I43" s="399" t="s">
        <v>3435</v>
      </c>
      <c r="J43" s="374">
        <f>SUMIF(123:123,I43,124:124)-SUMIF(123:123,C43,124:124)+100</f>
        <v>95</v>
      </c>
      <c r="K43" s="538">
        <v>5</v>
      </c>
      <c r="L43" s="2490"/>
      <c r="M43" s="2485"/>
      <c r="N43" s="2485"/>
      <c r="O43" s="2485"/>
      <c r="P43" s="3443"/>
      <c r="Q43" s="1263" t="str">
        <f t="shared" si="11"/>
        <v>内部装修</v>
      </c>
      <c r="R43" s="667" t="s">
        <v>14</v>
      </c>
      <c r="S43" s="668">
        <f t="shared" si="12"/>
        <v>95</v>
      </c>
      <c r="T43" s="667" t="s">
        <v>14</v>
      </c>
      <c r="U43" s="668">
        <f t="shared" si="13"/>
        <v>95</v>
      </c>
      <c r="V43" s="667" t="s">
        <v>14</v>
      </c>
      <c r="W43" s="668">
        <f t="shared" si="14"/>
        <v>95</v>
      </c>
      <c r="X43" s="1265"/>
      <c r="Y43" s="3445"/>
      <c r="Z43" s="1264" t="str">
        <f t="shared" si="15"/>
        <v>内部装修</v>
      </c>
      <c r="AA43" s="1264">
        <f t="shared" si="3"/>
        <v>1.0526315789473684</v>
      </c>
      <c r="AB43" s="1264">
        <f t="shared" si="4"/>
        <v>1.0526315789473684</v>
      </c>
      <c r="AC43" s="1812">
        <f t="shared" si="5"/>
        <v>1.0526315789473684</v>
      </c>
    </row>
    <row r="44" spans="1:29" ht="28.8">
      <c r="A44" s="409"/>
      <c r="B44" s="364" t="s">
        <v>1707</v>
      </c>
      <c r="C44" s="399" t="s">
        <v>3428</v>
      </c>
      <c r="D44" s="374">
        <v>100</v>
      </c>
      <c r="E44" s="1760" t="s">
        <v>3428</v>
      </c>
      <c r="F44" s="400">
        <f>SUMIF(125:125,E44,126:126)-SUMIF(125:125,C44,126:126)+100</f>
        <v>100</v>
      </c>
      <c r="G44" s="1760" t="s">
        <v>3428</v>
      </c>
      <c r="H44" s="374">
        <f>SUMIF(125:125,G44,126:126)-SUMIF(125:125,C44,126:126)+100</f>
        <v>100</v>
      </c>
      <c r="I44" s="1760" t="s">
        <v>3428</v>
      </c>
      <c r="J44" s="374">
        <f>SUMIF(125:125,I44,126:126)-SUMIF(125:125,C44,126:126)+100</f>
        <v>100</v>
      </c>
      <c r="K44" s="538">
        <v>2</v>
      </c>
      <c r="L44" s="2490"/>
      <c r="M44" s="2485"/>
      <c r="N44" s="2485"/>
      <c r="O44" s="2485"/>
      <c r="P44" s="3443"/>
      <c r="Q44" s="1263" t="str">
        <f t="shared" si="11"/>
        <v>内部装修维护情况</v>
      </c>
      <c r="R44" s="667" t="s">
        <v>14</v>
      </c>
      <c r="S44" s="668">
        <f t="shared" si="12"/>
        <v>100</v>
      </c>
      <c r="T44" s="667" t="s">
        <v>14</v>
      </c>
      <c r="U44" s="668">
        <f t="shared" si="13"/>
        <v>100</v>
      </c>
      <c r="V44" s="667" t="s">
        <v>14</v>
      </c>
      <c r="W44" s="668">
        <f t="shared" si="14"/>
        <v>100</v>
      </c>
      <c r="X44" s="1265"/>
      <c r="Y44" s="3445"/>
      <c r="Z44" s="1264" t="str">
        <f t="shared" si="15"/>
        <v>内部装修维护情况</v>
      </c>
      <c r="AA44" s="1264">
        <f t="shared" si="3"/>
        <v>1</v>
      </c>
      <c r="AB44" s="1264">
        <f t="shared" si="4"/>
        <v>1</v>
      </c>
      <c r="AC44" s="1812">
        <f t="shared" si="5"/>
        <v>1</v>
      </c>
    </row>
    <row r="45" spans="1:29" s="102" customFormat="1" ht="15">
      <c r="A45" s="410"/>
      <c r="B45" s="3167" t="s">
        <v>3439</v>
      </c>
      <c r="C45" s="3168" t="s">
        <v>3440</v>
      </c>
      <c r="D45" s="119">
        <v>100</v>
      </c>
      <c r="E45" s="3169" t="s">
        <v>3396</v>
      </c>
      <c r="F45" s="364">
        <f>SUMIF(127:127,E45,128:128)-SUMIF(127:127,C45,128:128)+100</f>
        <v>102</v>
      </c>
      <c r="G45" s="3169" t="s">
        <v>3396</v>
      </c>
      <c r="H45" s="119">
        <f>SUMIF(127:127,G45,128:128)-SUMIF(127:127,C45,128:128)+100</f>
        <v>102</v>
      </c>
      <c r="I45" s="3169" t="s">
        <v>3396</v>
      </c>
      <c r="J45" s="119">
        <f>SUMIF(127:127,I45,128:128)-SUMIF(127:127,C45,128:128)+100</f>
        <v>102</v>
      </c>
      <c r="K45" s="539"/>
      <c r="L45" s="2486"/>
      <c r="M45" s="2438"/>
      <c r="N45" s="2438"/>
      <c r="O45" s="2438"/>
      <c r="P45" s="3443"/>
      <c r="Q45" s="530" t="str">
        <f t="shared" si="11"/>
        <v>现状利用</v>
      </c>
      <c r="R45" s="664" t="s">
        <v>14</v>
      </c>
      <c r="S45" s="665">
        <f t="shared" si="12"/>
        <v>102</v>
      </c>
      <c r="T45" s="664" t="s">
        <v>14</v>
      </c>
      <c r="U45" s="665">
        <f t="shared" si="13"/>
        <v>102</v>
      </c>
      <c r="V45" s="664" t="s">
        <v>14</v>
      </c>
      <c r="W45" s="665">
        <f t="shared" si="14"/>
        <v>102</v>
      </c>
      <c r="X45" s="666"/>
      <c r="Y45" s="3445"/>
      <c r="Z45" s="50" t="str">
        <f t="shared" si="15"/>
        <v>现状利用</v>
      </c>
      <c r="AA45" s="50">
        <f t="shared" si="3"/>
        <v>0.98039215686274506</v>
      </c>
      <c r="AB45" s="50">
        <f t="shared" si="4"/>
        <v>0.98039215686274506</v>
      </c>
      <c r="AC45" s="802">
        <f t="shared" si="5"/>
        <v>0.98039215686274506</v>
      </c>
    </row>
    <row r="46" spans="1:29" ht="15">
      <c r="A46" s="409"/>
      <c r="B46" s="3167" t="s">
        <v>3442</v>
      </c>
      <c r="C46" s="3154" t="s">
        <v>3452</v>
      </c>
      <c r="D46" s="374">
        <v>100</v>
      </c>
      <c r="E46" s="3169" t="s">
        <v>3441</v>
      </c>
      <c r="F46" s="400">
        <f>SUMIF(129:129,E46,130:130)-SUMIF(129:129,C46,130:130)+100</f>
        <v>90</v>
      </c>
      <c r="G46" s="3169" t="s">
        <v>3441</v>
      </c>
      <c r="H46" s="374">
        <f>SUMIF(129:129,G46,130:130)-SUMIF(129:129,C46,130:130)+100</f>
        <v>90</v>
      </c>
      <c r="I46" s="3169" t="s">
        <v>3441</v>
      </c>
      <c r="J46" s="374">
        <f>SUMIF(129:129,I46,130:130)-SUMIF(129:129,C46,130:130)+100</f>
        <v>90</v>
      </c>
      <c r="K46" s="539"/>
      <c r="L46" s="2490"/>
      <c r="M46" s="2485"/>
      <c r="N46" s="2485"/>
      <c r="O46" s="2485"/>
      <c r="P46" s="3443"/>
      <c r="Q46" s="1263" t="str">
        <f t="shared" si="11"/>
        <v>是否为独立院落</v>
      </c>
      <c r="R46" s="667" t="s">
        <v>14</v>
      </c>
      <c r="S46" s="668">
        <f t="shared" si="12"/>
        <v>90</v>
      </c>
      <c r="T46" s="667" t="s">
        <v>14</v>
      </c>
      <c r="U46" s="668">
        <f t="shared" si="13"/>
        <v>90</v>
      </c>
      <c r="V46" s="667" t="s">
        <v>14</v>
      </c>
      <c r="W46" s="668">
        <f t="shared" si="14"/>
        <v>90</v>
      </c>
      <c r="X46" s="1265"/>
      <c r="Y46" s="3445"/>
      <c r="Z46" s="1264" t="str">
        <f t="shared" si="15"/>
        <v>是否为独立院落</v>
      </c>
      <c r="AA46" s="1264">
        <f t="shared" si="3"/>
        <v>1.1111111111111112</v>
      </c>
      <c r="AB46" s="1264">
        <f t="shared" si="4"/>
        <v>1.1111111111111112</v>
      </c>
      <c r="AC46" s="1812">
        <f t="shared" si="5"/>
        <v>1.1111111111111112</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44"/>
      <c r="Q47" s="1263">
        <f t="shared" si="11"/>
        <v>111</v>
      </c>
      <c r="R47" s="667" t="s">
        <v>14</v>
      </c>
      <c r="S47" s="668">
        <f t="shared" si="12"/>
        <v>100</v>
      </c>
      <c r="T47" s="667" t="s">
        <v>14</v>
      </c>
      <c r="U47" s="668">
        <f t="shared" si="13"/>
        <v>100</v>
      </c>
      <c r="V47" s="667" t="s">
        <v>14</v>
      </c>
      <c r="W47" s="668">
        <f t="shared" si="14"/>
        <v>100</v>
      </c>
      <c r="X47" s="1265"/>
      <c r="Y47" s="3446"/>
      <c r="Z47" s="1264">
        <f t="shared" si="15"/>
        <v>111</v>
      </c>
      <c r="AA47" s="1264">
        <f t="shared" si="3"/>
        <v>1</v>
      </c>
      <c r="AB47" s="1264">
        <f t="shared" si="4"/>
        <v>1</v>
      </c>
      <c r="AC47" s="1812">
        <f t="shared" si="5"/>
        <v>1</v>
      </c>
    </row>
    <row r="48" spans="1:29" ht="14.4">
      <c r="A48" s="416" t="s">
        <v>1708</v>
      </c>
      <c r="B48" s="417"/>
      <c r="C48" s="1081" t="s">
        <v>0</v>
      </c>
      <c r="D48" s="418"/>
      <c r="E48" s="419" t="e">
        <f>#REF!</f>
        <v>#REF!</v>
      </c>
      <c r="F48" s="420"/>
      <c r="G48" s="421" t="e">
        <f>#REF!</f>
        <v>#REF!</v>
      </c>
      <c r="H48" s="422"/>
      <c r="I48" s="419" t="e">
        <f>#REF!</f>
        <v>#REF!</v>
      </c>
      <c r="J48" s="422"/>
      <c r="K48" s="674"/>
      <c r="L48" s="2492"/>
      <c r="M48" s="2485"/>
      <c r="N48" s="2485"/>
      <c r="O48" s="2485"/>
      <c r="P48" s="3421" t="str">
        <f>A48</f>
        <v>成交单价（元/平方米）</v>
      </c>
      <c r="Q48" s="3439"/>
      <c r="R48" s="3434" t="e">
        <f>E48</f>
        <v>#REF!</v>
      </c>
      <c r="S48" s="3434"/>
      <c r="T48" s="3434" t="e">
        <f>G48</f>
        <v>#REF!</v>
      </c>
      <c r="U48" s="3434"/>
      <c r="V48" s="3434" t="e">
        <f>I48</f>
        <v>#REF!</v>
      </c>
      <c r="W48" s="3434"/>
      <c r="X48" s="385"/>
      <c r="Y48" s="673"/>
      <c r="Z48" s="385"/>
      <c r="AA48" s="385"/>
      <c r="AB48" s="385"/>
      <c r="AC48" s="555"/>
    </row>
    <row r="49" spans="1:29" ht="15" thickBot="1">
      <c r="A49" s="423" t="s">
        <v>1793</v>
      </c>
      <c r="B49" s="424"/>
      <c r="C49" s="1082" t="e">
        <f>R50</f>
        <v>#REF!</v>
      </c>
      <c r="D49" s="2141" t="s">
        <v>2138</v>
      </c>
      <c r="E49" s="1083" t="e">
        <f>R49</f>
        <v>#REF!</v>
      </c>
      <c r="F49" s="2142"/>
      <c r="G49" s="1082" t="e">
        <f>T49</f>
        <v>#REF!</v>
      </c>
      <c r="H49" s="2142"/>
      <c r="I49" s="1083" t="e">
        <f>V49</f>
        <v>#REF!</v>
      </c>
      <c r="J49" s="2142"/>
      <c r="K49" s="2144">
        <f>F49+H49+J49</f>
        <v>0</v>
      </c>
      <c r="L49" s="2492"/>
      <c r="M49" s="2485"/>
      <c r="N49" s="2485"/>
      <c r="O49" s="2485"/>
      <c r="P49" s="3421" t="str">
        <f>A49</f>
        <v>比较价值（元/平方米）</v>
      </c>
      <c r="Q49" s="3439"/>
      <c r="R49" s="3434" t="e">
        <f>IF(F1="售价",ROUND(PRODUCT(R48,AA7:AA47),0),ROUND(PRODUCT(R48,AA7:AA47),1))</f>
        <v>#REF!</v>
      </c>
      <c r="S49" s="3434"/>
      <c r="T49" s="3434" t="e">
        <f>IF(F1="售价",ROUND(PRODUCT(T48,AB7:AB47),0),ROUND(PRODUCT(T48,AB7:AB47),1))</f>
        <v>#REF!</v>
      </c>
      <c r="U49" s="3434"/>
      <c r="V49" s="3434" t="e">
        <f>IF(F1="售价",ROUND(PRODUCT(V48,AC7:AC47),0),ROUND(PRODUCT(V48,AC7:AC47),1))</f>
        <v>#REF!</v>
      </c>
      <c r="W49" s="3434"/>
      <c r="X49" s="385"/>
      <c r="Y49" s="385"/>
      <c r="Z49" s="385"/>
      <c r="AA49" s="385"/>
      <c r="AB49" s="385"/>
      <c r="AC49" s="555"/>
    </row>
    <row r="50" spans="1:29" ht="15" thickBot="1">
      <c r="A50" s="427" t="s">
        <v>1794</v>
      </c>
      <c r="B50" s="428"/>
      <c r="C50" s="351" t="e">
        <f>R50</f>
        <v>#REF!</v>
      </c>
      <c r="D50" s="351"/>
      <c r="E50" s="351"/>
      <c r="F50" s="351"/>
      <c r="G50" s="351"/>
      <c r="H50" s="351"/>
      <c r="I50" s="351"/>
      <c r="J50" s="429"/>
      <c r="K50" s="675"/>
      <c r="L50" s="2492"/>
      <c r="M50" s="2485"/>
      <c r="N50" s="2485"/>
      <c r="O50" s="2485"/>
      <c r="P50" s="3465" t="str">
        <f>A50</f>
        <v>估价对象XX用房的比较价值（楼面单价，元/平方米）</v>
      </c>
      <c r="Q50" s="3466"/>
      <c r="R50" s="3467" t="e">
        <f>IF(F1="售价",ROUND(IF(D49="简单平均",AVERAGE(R49:V49),R49*F49+T49*H49+V49*J49),0),ROUND(IF(D49="简单平均",AVERAGE(R49:V49),R49*F49+T49*H49+V49*J49),1))</f>
        <v>#REF!</v>
      </c>
      <c r="S50" s="3467"/>
      <c r="T50" s="3467"/>
      <c r="U50" s="3467"/>
      <c r="V50" s="3467"/>
      <c r="W50" s="3467"/>
      <c r="X50" s="1798"/>
      <c r="Y50" s="1798"/>
      <c r="Z50" s="1798"/>
      <c r="AA50" s="1798"/>
      <c r="AB50" s="1798"/>
      <c r="AC50" s="1799"/>
    </row>
    <row r="51" spans="1:29" ht="14.4">
      <c r="A51" s="2485"/>
      <c r="B51" s="2485"/>
      <c r="C51" s="3161" t="s">
        <v>3462</v>
      </c>
      <c r="D51" s="3174" t="e">
        <f>ROUND(C50*C34*365,0)</f>
        <v>#REF!</v>
      </c>
      <c r="E51" s="2485"/>
      <c r="F51" s="3161" t="s">
        <v>3463</v>
      </c>
      <c r="G51" s="3175" t="e">
        <f>C50*H51</f>
        <v>#REF!</v>
      </c>
      <c r="H51" s="2485">
        <v>0.9</v>
      </c>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t="e">
        <f>C49*H52</f>
        <v>#REF!</v>
      </c>
      <c r="H52" s="2485">
        <v>1.1000000000000001</v>
      </c>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45" t="s">
        <v>3395</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95</v>
      </c>
      <c r="E78" s="475">
        <f>D78-$K15</f>
        <v>90</v>
      </c>
      <c r="F78" s="475">
        <f>E78-$K15</f>
        <v>85</v>
      </c>
      <c r="G78" s="475">
        <f>F78-$K15</f>
        <v>80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95</v>
      </c>
      <c r="E82" s="475">
        <f>D82-$K19</f>
        <v>90</v>
      </c>
      <c r="F82" s="475">
        <f>E82-$K19</f>
        <v>85</v>
      </c>
      <c r="G82" s="475">
        <f>F82-$K19</f>
        <v>80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47" t="s">
        <v>3398</v>
      </c>
      <c r="D87" s="3147" t="s">
        <v>3399</v>
      </c>
      <c r="E87" s="3147" t="s">
        <v>3400</v>
      </c>
      <c r="F87" s="3147" t="s">
        <v>3401</v>
      </c>
      <c r="G87" s="3147" t="s">
        <v>3402</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47" t="s">
        <v>3403</v>
      </c>
      <c r="D89" s="3147" t="s">
        <v>3404</v>
      </c>
      <c r="E89" s="3147" t="s">
        <v>3405</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48" t="s">
        <v>3449</v>
      </c>
      <c r="D101" s="3148" t="s">
        <v>3444</v>
      </c>
      <c r="E101" s="462" t="s">
        <v>3443</v>
      </c>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1000</v>
      </c>
      <c r="H104" s="6">
        <v>2000</v>
      </c>
      <c r="I104" s="6">
        <v>3000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D105-1</f>
        <v>98</v>
      </c>
      <c r="F105" s="467">
        <f t="shared" ref="F105:I105" si="24">E105-1</f>
        <v>97</v>
      </c>
      <c r="G105" s="467">
        <f t="shared" si="24"/>
        <v>96</v>
      </c>
      <c r="H105" s="467">
        <f t="shared" si="24"/>
        <v>95</v>
      </c>
      <c r="I105" s="467">
        <f t="shared" si="24"/>
        <v>94</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47" t="s">
        <v>3406</v>
      </c>
      <c r="D106" s="3147" t="s">
        <v>3407</v>
      </c>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47"/>
      <c r="D108" s="3147"/>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47" t="s">
        <v>3436</v>
      </c>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47" t="s">
        <v>3409</v>
      </c>
      <c r="D115" s="3147" t="s">
        <v>3446</v>
      </c>
      <c r="E115" s="3149" t="s">
        <v>3447</v>
      </c>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47" t="s">
        <v>3412</v>
      </c>
      <c r="D117" s="3147" t="s">
        <v>3414</v>
      </c>
      <c r="E117" s="3147" t="s">
        <v>3416</v>
      </c>
      <c r="F117" s="3147" t="s">
        <v>3417</v>
      </c>
      <c r="G117" s="3147" t="s">
        <v>3418</v>
      </c>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49" t="s">
        <v>3419</v>
      </c>
      <c r="D119" s="3149" t="s">
        <v>3421</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29.4" thickTop="1">
      <c r="A123" s="409"/>
      <c r="B123" s="469" t="s">
        <v>1744</v>
      </c>
      <c r="C123" s="3147" t="s">
        <v>3422</v>
      </c>
      <c r="D123" s="3147" t="s">
        <v>3423</v>
      </c>
      <c r="E123" s="3147" t="s">
        <v>3424</v>
      </c>
      <c r="F123" s="3149" t="s">
        <v>3425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95</v>
      </c>
      <c r="E124" s="475">
        <f t="shared" si="31"/>
        <v>90</v>
      </c>
      <c r="F124" s="475">
        <f t="shared" si="31"/>
        <v>85</v>
      </c>
      <c r="G124" s="475">
        <f t="shared" si="31"/>
        <v>80</v>
      </c>
      <c r="H124" s="475">
        <f t="shared" si="31"/>
        <v>75</v>
      </c>
      <c r="I124" s="475">
        <f t="shared" si="31"/>
        <v>70</v>
      </c>
      <c r="J124" s="475">
        <f t="shared" si="31"/>
        <v>65</v>
      </c>
      <c r="K124" s="475">
        <f t="shared" si="31"/>
        <v>60</v>
      </c>
      <c r="L124" s="475">
        <f t="shared" si="31"/>
        <v>55</v>
      </c>
      <c r="M124" s="476">
        <f t="shared" si="31"/>
        <v>50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t="str">
        <f>B45</f>
        <v>现状利用</v>
      </c>
      <c r="C127" s="3147" t="s">
        <v>3440</v>
      </c>
      <c r="D127" s="3147" t="s">
        <v>3396</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v>98</v>
      </c>
      <c r="D128" s="467">
        <v>100</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t="str">
        <f>B46</f>
        <v>是否为独立院落</v>
      </c>
      <c r="C129" s="3147" t="s">
        <v>3453</v>
      </c>
      <c r="D129" s="3147" t="s">
        <v>3451</v>
      </c>
      <c r="E129" s="3147" t="s">
        <v>3441</v>
      </c>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v>100</v>
      </c>
      <c r="D130" s="491">
        <v>92</v>
      </c>
      <c r="E130" s="491">
        <v>90</v>
      </c>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1298.9000000000001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2" t="s">
        <v>1770</v>
      </c>
      <c r="D4" s="3423"/>
      <c r="E4" s="3424" t="s">
        <v>1771</v>
      </c>
      <c r="F4" s="3425"/>
      <c r="G4" s="3422" t="s">
        <v>1772</v>
      </c>
      <c r="H4" s="3423"/>
      <c r="I4" s="3422" t="s">
        <v>1773</v>
      </c>
      <c r="J4" s="3423"/>
      <c r="K4" s="537" t="s">
        <v>1774</v>
      </c>
      <c r="L4" s="860"/>
      <c r="M4" s="861"/>
      <c r="N4" s="861"/>
      <c r="O4" s="861"/>
      <c r="P4" s="3426" t="s">
        <v>1775</v>
      </c>
      <c r="Q4" s="3427"/>
      <c r="R4" s="3409" t="s">
        <v>1771</v>
      </c>
      <c r="S4" s="3410"/>
      <c r="T4" s="3409" t="s">
        <v>1772</v>
      </c>
      <c r="U4" s="3410"/>
      <c r="V4" s="3434" t="s">
        <v>1773</v>
      </c>
      <c r="W4" s="3434"/>
      <c r="X4" s="1265"/>
      <c r="Y4" s="3409" t="s">
        <v>1775</v>
      </c>
      <c r="Z4" s="3410"/>
      <c r="AA4" s="3404" t="s">
        <v>1771</v>
      </c>
      <c r="AB4" s="3405" t="s">
        <v>1772</v>
      </c>
      <c r="AC4" s="3404" t="s">
        <v>1773</v>
      </c>
    </row>
    <row r="5" spans="1:29">
      <c r="A5" s="348"/>
      <c r="B5" s="349"/>
      <c r="C5" s="3415" t="s">
        <v>1673</v>
      </c>
      <c r="D5" s="3416"/>
      <c r="E5" s="3413" t="s">
        <v>1674</v>
      </c>
      <c r="F5" s="3414"/>
      <c r="G5" s="3415" t="s">
        <v>1675</v>
      </c>
      <c r="H5" s="3416"/>
      <c r="I5" s="3415" t="s">
        <v>1676</v>
      </c>
      <c r="J5" s="3416"/>
      <c r="K5" s="537"/>
      <c r="L5" s="860"/>
      <c r="M5" s="861"/>
      <c r="N5" s="861"/>
      <c r="O5" s="861"/>
      <c r="P5" s="3428"/>
      <c r="Q5" s="3429"/>
      <c r="R5" s="3411"/>
      <c r="S5" s="3412"/>
      <c r="T5" s="3411"/>
      <c r="U5" s="3412"/>
      <c r="V5" s="3434"/>
      <c r="W5" s="3434"/>
      <c r="X5" s="1265"/>
      <c r="Y5" s="3411"/>
      <c r="Z5" s="3412"/>
      <c r="AA5" s="3405"/>
      <c r="AB5" s="3405"/>
      <c r="AC5" s="3405"/>
    </row>
    <row r="6" spans="1:29" ht="15" thickBot="1">
      <c r="A6" s="350"/>
      <c r="B6" s="351"/>
      <c r="C6" s="3417" t="s">
        <v>1677</v>
      </c>
      <c r="D6" s="3418"/>
      <c r="E6" s="3419" t="s">
        <v>1677</v>
      </c>
      <c r="F6" s="3420"/>
      <c r="G6" s="3417" t="s">
        <v>1677</v>
      </c>
      <c r="H6" s="3418"/>
      <c r="I6" s="3417" t="s">
        <v>1677</v>
      </c>
      <c r="J6" s="3418"/>
      <c r="K6" s="537" t="s">
        <v>1678</v>
      </c>
      <c r="L6" s="860"/>
      <c r="M6" s="861"/>
      <c r="N6" s="861"/>
      <c r="O6" s="861"/>
      <c r="P6" s="3430"/>
      <c r="Q6" s="3431"/>
      <c r="R6" s="3411"/>
      <c r="S6" s="3412"/>
      <c r="T6" s="3432"/>
      <c r="U6" s="3433"/>
      <c r="V6" s="3434"/>
      <c r="W6" s="3434"/>
      <c r="X6" s="1265"/>
      <c r="Y6" s="3432"/>
      <c r="Z6" s="3433"/>
      <c r="AA6" s="3406"/>
      <c r="AB6" s="3406"/>
      <c r="AC6" s="3406"/>
    </row>
    <row r="7" spans="1:29" s="102" customFormat="1" ht="15" thickBot="1">
      <c r="A7" s="352" t="s">
        <v>1679</v>
      </c>
      <c r="B7" s="353"/>
      <c r="C7" s="354">
        <f>'数据-取费表'!B2</f>
        <v>45624</v>
      </c>
      <c r="D7" s="355">
        <v>100</v>
      </c>
      <c r="E7" s="356"/>
      <c r="F7" s="357">
        <f>SUMIF(52:52,YEAR(E7)&amp;"-"&amp;MONTH(E7),53:53)</f>
        <v>0</v>
      </c>
      <c r="G7" s="356"/>
      <c r="H7" s="355">
        <f>SUMIF(52:52,YEAR(G7)&amp;"-"&amp;MONTH(G7),53:53)</f>
        <v>0</v>
      </c>
      <c r="I7" s="356"/>
      <c r="J7" s="355">
        <f>SUMIF(52:52,YEAR(I7)&amp;"-"&amp;MONTH(I7),53:53)</f>
        <v>0</v>
      </c>
      <c r="K7" s="38"/>
      <c r="L7" s="862"/>
      <c r="M7" s="863"/>
      <c r="N7" s="863"/>
      <c r="O7" s="863"/>
      <c r="P7" s="3407"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7" t="s">
        <v>1683</v>
      </c>
      <c r="Q8" s="3408"/>
      <c r="R8" s="664" t="s">
        <v>14</v>
      </c>
      <c r="S8" s="665">
        <f t="shared" si="0"/>
        <v>100</v>
      </c>
      <c r="T8" s="664" t="s">
        <v>14</v>
      </c>
      <c r="U8" s="665">
        <f t="shared" si="1"/>
        <v>100</v>
      </c>
      <c r="V8" s="664" t="s">
        <v>14</v>
      </c>
      <c r="W8" s="665">
        <f t="shared" si="2"/>
        <v>100</v>
      </c>
      <c r="X8" s="666"/>
      <c r="Y8" s="3407" t="s">
        <v>1683</v>
      </c>
      <c r="Z8" s="340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9"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9"/>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9"/>
      <c r="Q11" s="530" t="str">
        <f t="shared" si="6"/>
        <v>容积率</v>
      </c>
      <c r="R11" s="664" t="s">
        <v>14</v>
      </c>
      <c r="S11" s="665">
        <f t="shared" si="0"/>
        <v>100</v>
      </c>
      <c r="T11" s="664" t="s">
        <v>14</v>
      </c>
      <c r="U11" s="665">
        <f t="shared" si="1"/>
        <v>100</v>
      </c>
      <c r="V11" s="664" t="s">
        <v>14</v>
      </c>
      <c r="W11" s="665">
        <f t="shared" si="2"/>
        <v>100</v>
      </c>
      <c r="X11" s="666"/>
      <c r="Y11" s="33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9"/>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9"/>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9"/>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0" t="s">
        <v>1691</v>
      </c>
      <c r="Q15" s="1263" t="str">
        <f t="shared" si="6"/>
        <v>产业集聚程度</v>
      </c>
      <c r="R15" s="667" t="s">
        <v>14</v>
      </c>
      <c r="S15" s="668">
        <f t="shared" si="0"/>
        <v>100</v>
      </c>
      <c r="T15" s="667" t="s">
        <v>14</v>
      </c>
      <c r="U15" s="668">
        <f t="shared" si="1"/>
        <v>100</v>
      </c>
      <c r="V15" s="667" t="s">
        <v>14</v>
      </c>
      <c r="W15" s="668">
        <f t="shared" si="2"/>
        <v>100</v>
      </c>
      <c r="X15" s="1265"/>
      <c r="Y15" s="344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1"/>
      <c r="Q16" s="1263"/>
      <c r="R16" s="667"/>
      <c r="S16" s="668"/>
      <c r="T16" s="667"/>
      <c r="U16" s="668"/>
      <c r="V16" s="667"/>
      <c r="W16" s="668"/>
      <c r="X16" s="1265"/>
      <c r="Y16" s="344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1"/>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1"/>
      <c r="Q18" s="1263"/>
      <c r="R18" s="667"/>
      <c r="S18" s="668"/>
      <c r="T18" s="667"/>
      <c r="U18" s="668"/>
      <c r="V18" s="667"/>
      <c r="W18" s="668"/>
      <c r="X18" s="1265"/>
      <c r="Y18" s="344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1"/>
      <c r="Q19" s="1263" t="str">
        <f>B19</f>
        <v>公共配套设施</v>
      </c>
      <c r="R19" s="667" t="s">
        <v>14</v>
      </c>
      <c r="S19" s="668">
        <f>F19</f>
        <v>100</v>
      </c>
      <c r="T19" s="667" t="s">
        <v>14</v>
      </c>
      <c r="U19" s="668">
        <f>H19</f>
        <v>100</v>
      </c>
      <c r="V19" s="667" t="s">
        <v>14</v>
      </c>
      <c r="W19" s="668">
        <f>J19</f>
        <v>100</v>
      </c>
      <c r="X19" s="1265"/>
      <c r="Y19" s="344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1"/>
      <c r="Q20" s="1263"/>
      <c r="R20" s="667"/>
      <c r="S20" s="668"/>
      <c r="T20" s="667"/>
      <c r="U20" s="668"/>
      <c r="V20" s="667"/>
      <c r="W20" s="668"/>
      <c r="X20" s="1265"/>
      <c r="Y20" s="344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1"/>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1"/>
      <c r="Q22" s="1263"/>
      <c r="R22" s="667"/>
      <c r="S22" s="668"/>
      <c r="T22" s="667"/>
      <c r="U22" s="668"/>
      <c r="V22" s="667"/>
      <c r="W22" s="668"/>
      <c r="X22" s="1265"/>
      <c r="Y22" s="344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1"/>
      <c r="Q23" s="1263" t="str">
        <f>B23</f>
        <v>环境质量</v>
      </c>
      <c r="R23" s="667" t="s">
        <v>14</v>
      </c>
      <c r="S23" s="668">
        <f>F23</f>
        <v>100</v>
      </c>
      <c r="T23" s="667" t="s">
        <v>14</v>
      </c>
      <c r="U23" s="668">
        <f>H23</f>
        <v>100</v>
      </c>
      <c r="V23" s="667" t="s">
        <v>14</v>
      </c>
      <c r="W23" s="668">
        <f>J23</f>
        <v>100</v>
      </c>
      <c r="X23" s="1265"/>
      <c r="Y23" s="344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1"/>
      <c r="Q24" s="1263"/>
      <c r="R24" s="667"/>
      <c r="S24" s="668"/>
      <c r="T24" s="667"/>
      <c r="U24" s="668"/>
      <c r="V24" s="667"/>
      <c r="W24" s="668"/>
      <c r="X24" s="1265"/>
      <c r="Y24" s="344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1"/>
      <c r="Q25" s="1263">
        <f>B25</f>
        <v>111</v>
      </c>
      <c r="R25" s="667" t="s">
        <v>14</v>
      </c>
      <c r="S25" s="668">
        <f>F25</f>
        <v>100</v>
      </c>
      <c r="T25" s="667" t="s">
        <v>14</v>
      </c>
      <c r="U25" s="668">
        <f>H25</f>
        <v>100</v>
      </c>
      <c r="V25" s="667" t="s">
        <v>14</v>
      </c>
      <c r="W25" s="668">
        <f>J25</f>
        <v>100</v>
      </c>
      <c r="X25" s="1265"/>
      <c r="Y25" s="344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1"/>
      <c r="Q26" s="1263">
        <f t="shared" ref="Q26:Q40" si="11">B26</f>
        <v>111</v>
      </c>
      <c r="R26" s="667" t="s">
        <v>14</v>
      </c>
      <c r="S26" s="668">
        <f>F26</f>
        <v>100</v>
      </c>
      <c r="T26" s="667" t="s">
        <v>14</v>
      </c>
      <c r="U26" s="668">
        <f>H26</f>
        <v>100</v>
      </c>
      <c r="V26" s="667" t="s">
        <v>14</v>
      </c>
      <c r="W26" s="668">
        <f>J26</f>
        <v>100</v>
      </c>
      <c r="X26" s="1265"/>
      <c r="Y26" s="344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1"/>
      <c r="Q27" s="530">
        <f t="shared" si="11"/>
        <v>111</v>
      </c>
      <c r="R27" s="664" t="s">
        <v>14</v>
      </c>
      <c r="S27" s="665">
        <f>F27</f>
        <v>100</v>
      </c>
      <c r="T27" s="664" t="s">
        <v>14</v>
      </c>
      <c r="U27" s="665">
        <f>H27</f>
        <v>100</v>
      </c>
      <c r="V27" s="664" t="s">
        <v>14</v>
      </c>
      <c r="W27" s="665">
        <f>J27</f>
        <v>100</v>
      </c>
      <c r="X27" s="666"/>
      <c r="Y27" s="344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1"/>
      <c r="Q28" s="1263">
        <f t="shared" si="11"/>
        <v>111</v>
      </c>
      <c r="R28" s="667" t="s">
        <v>14</v>
      </c>
      <c r="S28" s="668">
        <f t="shared" ref="S28:S40" si="12">F28</f>
        <v>100</v>
      </c>
      <c r="T28" s="667" t="s">
        <v>14</v>
      </c>
      <c r="U28" s="668">
        <f t="shared" ref="U28:U40" si="13">H28</f>
        <v>100</v>
      </c>
      <c r="V28" s="667" t="s">
        <v>14</v>
      </c>
      <c r="W28" s="668">
        <f t="shared" ref="W28:W40" si="14">J28</f>
        <v>100</v>
      </c>
      <c r="X28" s="1265"/>
      <c r="Y28" s="344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44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5"/>
      <c r="Q30" s="531" t="str">
        <f t="shared" si="11"/>
        <v>项目建筑规模</v>
      </c>
      <c r="R30" s="669" t="s">
        <v>14</v>
      </c>
      <c r="S30" s="670" t="e">
        <f t="shared" si="12"/>
        <v>#N/A</v>
      </c>
      <c r="T30" s="669" t="s">
        <v>14</v>
      </c>
      <c r="U30" s="670" t="e">
        <f t="shared" si="13"/>
        <v>#N/A</v>
      </c>
      <c r="V30" s="669" t="s">
        <v>14</v>
      </c>
      <c r="W30" s="670" t="e">
        <f t="shared" si="14"/>
        <v>#N/A</v>
      </c>
      <c r="X30" s="671"/>
      <c r="Y30" s="344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5"/>
      <c r="Q31" s="1263" t="str">
        <f t="shared" si="11"/>
        <v>建筑结构</v>
      </c>
      <c r="R31" s="667" t="s">
        <v>14</v>
      </c>
      <c r="S31" s="668">
        <f t="shared" si="12"/>
        <v>100</v>
      </c>
      <c r="T31" s="667" t="s">
        <v>14</v>
      </c>
      <c r="U31" s="668">
        <f t="shared" si="13"/>
        <v>100</v>
      </c>
      <c r="V31" s="667" t="s">
        <v>14</v>
      </c>
      <c r="W31" s="668">
        <f t="shared" si="14"/>
        <v>100</v>
      </c>
      <c r="X31" s="1265"/>
      <c r="Y31" s="344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5"/>
      <c r="Q32" s="1263" t="str">
        <f t="shared" si="11"/>
        <v>公共部分装修</v>
      </c>
      <c r="R32" s="667" t="s">
        <v>14</v>
      </c>
      <c r="S32" s="668">
        <f t="shared" si="12"/>
        <v>100</v>
      </c>
      <c r="T32" s="667" t="s">
        <v>14</v>
      </c>
      <c r="U32" s="668">
        <f t="shared" si="13"/>
        <v>100</v>
      </c>
      <c r="V32" s="667" t="s">
        <v>14</v>
      </c>
      <c r="W32" s="668">
        <f t="shared" si="14"/>
        <v>100</v>
      </c>
      <c r="X32" s="1265"/>
      <c r="Y32" s="344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5"/>
      <c r="Q33" s="1263" t="str">
        <f t="shared" si="11"/>
        <v>成新度</v>
      </c>
      <c r="R33" s="667" t="s">
        <v>14</v>
      </c>
      <c r="S33" s="668" t="e">
        <f t="shared" si="12"/>
        <v>#N/A</v>
      </c>
      <c r="T33" s="667" t="s">
        <v>14</v>
      </c>
      <c r="U33" s="668" t="e">
        <f t="shared" si="13"/>
        <v>#N/A</v>
      </c>
      <c r="V33" s="667" t="s">
        <v>14</v>
      </c>
      <c r="W33" s="668" t="e">
        <f t="shared" si="14"/>
        <v>#N/A</v>
      </c>
      <c r="X33" s="1265"/>
      <c r="Y33" s="344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5"/>
      <c r="Q34" s="530" t="str">
        <f t="shared" si="11"/>
        <v>物业管理</v>
      </c>
      <c r="R34" s="664" t="s">
        <v>14</v>
      </c>
      <c r="S34" s="665">
        <f t="shared" si="12"/>
        <v>100</v>
      </c>
      <c r="T34" s="664" t="s">
        <v>14</v>
      </c>
      <c r="U34" s="665">
        <f t="shared" si="13"/>
        <v>100</v>
      </c>
      <c r="V34" s="664" t="s">
        <v>14</v>
      </c>
      <c r="W34" s="665">
        <f t="shared" si="14"/>
        <v>100</v>
      </c>
      <c r="X34" s="666"/>
      <c r="Y34" s="344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5" t="s">
        <v>1696</v>
      </c>
      <c r="Q35" s="1263" t="str">
        <f t="shared" si="11"/>
        <v>市政基础设施</v>
      </c>
      <c r="R35" s="667" t="s">
        <v>14</v>
      </c>
      <c r="S35" s="668">
        <f t="shared" si="12"/>
        <v>100</v>
      </c>
      <c r="T35" s="667" t="s">
        <v>14</v>
      </c>
      <c r="U35" s="668">
        <f t="shared" si="13"/>
        <v>100</v>
      </c>
      <c r="V35" s="667" t="s">
        <v>14</v>
      </c>
      <c r="W35" s="668">
        <f t="shared" si="14"/>
        <v>100</v>
      </c>
      <c r="X35" s="1265"/>
      <c r="Y35" s="344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5"/>
      <c r="Q36" s="1263" t="str">
        <f t="shared" si="11"/>
        <v>内部装修</v>
      </c>
      <c r="R36" s="667" t="s">
        <v>14</v>
      </c>
      <c r="S36" s="668">
        <f t="shared" si="12"/>
        <v>100</v>
      </c>
      <c r="T36" s="667" t="s">
        <v>14</v>
      </c>
      <c r="U36" s="668">
        <f t="shared" si="13"/>
        <v>100</v>
      </c>
      <c r="V36" s="667" t="s">
        <v>14</v>
      </c>
      <c r="W36" s="668">
        <f t="shared" si="14"/>
        <v>100</v>
      </c>
      <c r="X36" s="1265"/>
      <c r="Y36" s="344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5"/>
      <c r="Q37" s="1263" t="str">
        <f t="shared" si="11"/>
        <v>内部装修状况</v>
      </c>
      <c r="R37" s="667" t="s">
        <v>14</v>
      </c>
      <c r="S37" s="668">
        <f t="shared" si="12"/>
        <v>100</v>
      </c>
      <c r="T37" s="667" t="s">
        <v>14</v>
      </c>
      <c r="U37" s="668">
        <f t="shared" si="13"/>
        <v>100</v>
      </c>
      <c r="V37" s="667" t="s">
        <v>14</v>
      </c>
      <c r="W37" s="668">
        <f t="shared" si="14"/>
        <v>100</v>
      </c>
      <c r="X37" s="1265"/>
      <c r="Y37" s="344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5"/>
      <c r="Q38" s="531">
        <f t="shared" si="11"/>
        <v>111</v>
      </c>
      <c r="R38" s="669" t="s">
        <v>14</v>
      </c>
      <c r="S38" s="670">
        <f t="shared" si="12"/>
        <v>100</v>
      </c>
      <c r="T38" s="669" t="s">
        <v>14</v>
      </c>
      <c r="U38" s="670">
        <f t="shared" si="13"/>
        <v>100</v>
      </c>
      <c r="V38" s="669" t="s">
        <v>14</v>
      </c>
      <c r="W38" s="670">
        <f t="shared" si="14"/>
        <v>100</v>
      </c>
      <c r="X38" s="671"/>
      <c r="Y38" s="344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5"/>
      <c r="Q39" s="1263">
        <f t="shared" si="11"/>
        <v>111</v>
      </c>
      <c r="R39" s="667" t="s">
        <v>14</v>
      </c>
      <c r="S39" s="668">
        <f t="shared" si="12"/>
        <v>100</v>
      </c>
      <c r="T39" s="667" t="s">
        <v>14</v>
      </c>
      <c r="U39" s="668">
        <f t="shared" si="13"/>
        <v>100</v>
      </c>
      <c r="V39" s="667" t="s">
        <v>14</v>
      </c>
      <c r="W39" s="668">
        <f t="shared" si="14"/>
        <v>100</v>
      </c>
      <c r="X39" s="1265"/>
      <c r="Y39" s="344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6"/>
      <c r="Q40" s="1263">
        <f t="shared" si="11"/>
        <v>111</v>
      </c>
      <c r="R40" s="667" t="s">
        <v>14</v>
      </c>
      <c r="S40" s="668">
        <f t="shared" si="12"/>
        <v>100</v>
      </c>
      <c r="T40" s="667" t="s">
        <v>14</v>
      </c>
      <c r="U40" s="668">
        <f t="shared" si="13"/>
        <v>100</v>
      </c>
      <c r="V40" s="667" t="s">
        <v>14</v>
      </c>
      <c r="W40" s="668">
        <f t="shared" si="14"/>
        <v>100</v>
      </c>
      <c r="X40" s="1265"/>
      <c r="Y40" s="344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9" t="str">
        <f>A41</f>
        <v>成交单价（元/平方米）</v>
      </c>
      <c r="Q41" s="3439"/>
      <c r="R41" s="3434">
        <f>E41</f>
        <v>0</v>
      </c>
      <c r="S41" s="3434"/>
      <c r="T41" s="3434">
        <f>G41</f>
        <v>0</v>
      </c>
      <c r="U41" s="3434"/>
      <c r="V41" s="3434">
        <f>I41</f>
        <v>0</v>
      </c>
      <c r="W41" s="343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9" t="str">
        <f>A42</f>
        <v>比较价值（元/平方米）</v>
      </c>
      <c r="Q42" s="3439"/>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22" t="s">
        <v>1770</v>
      </c>
      <c r="D4" s="3423"/>
      <c r="E4" s="3424" t="s">
        <v>1771</v>
      </c>
      <c r="F4" s="3425"/>
      <c r="G4" s="3422" t="s">
        <v>1772</v>
      </c>
      <c r="H4" s="3423"/>
      <c r="I4" s="3422" t="s">
        <v>1773</v>
      </c>
      <c r="J4" s="3423"/>
      <c r="K4" s="537" t="s">
        <v>1774</v>
      </c>
      <c r="L4" s="2484"/>
      <c r="M4" s="2485"/>
      <c r="N4" s="2485"/>
      <c r="O4" s="2485"/>
      <c r="P4" s="3426" t="s">
        <v>1775</v>
      </c>
      <c r="Q4" s="3427"/>
      <c r="R4" s="3409" t="s">
        <v>1771</v>
      </c>
      <c r="S4" s="3410"/>
      <c r="T4" s="3409" t="s">
        <v>1772</v>
      </c>
      <c r="U4" s="3410"/>
      <c r="V4" s="3434" t="s">
        <v>1773</v>
      </c>
      <c r="W4" s="3434"/>
      <c r="X4" s="1265"/>
      <c r="Y4" s="3409" t="s">
        <v>1775</v>
      </c>
      <c r="Z4" s="3410"/>
      <c r="AA4" s="3404" t="s">
        <v>1771</v>
      </c>
      <c r="AB4" s="3405" t="s">
        <v>1772</v>
      </c>
      <c r="AC4" s="3404" t="s">
        <v>1773</v>
      </c>
    </row>
    <row r="5" spans="1:29">
      <c r="A5" s="348"/>
      <c r="B5" s="349"/>
      <c r="C5" s="3415" t="s">
        <v>1673</v>
      </c>
      <c r="D5" s="3416"/>
      <c r="E5" s="3413" t="s">
        <v>1674</v>
      </c>
      <c r="F5" s="3414"/>
      <c r="G5" s="3415" t="s">
        <v>1675</v>
      </c>
      <c r="H5" s="3416"/>
      <c r="I5" s="3415" t="s">
        <v>1676</v>
      </c>
      <c r="J5" s="3416"/>
      <c r="K5" s="537"/>
      <c r="L5" s="2484"/>
      <c r="M5" s="2485"/>
      <c r="N5" s="2485"/>
      <c r="O5" s="2485"/>
      <c r="P5" s="3428"/>
      <c r="Q5" s="3429"/>
      <c r="R5" s="3411"/>
      <c r="S5" s="3412"/>
      <c r="T5" s="3411"/>
      <c r="U5" s="3412"/>
      <c r="V5" s="3434"/>
      <c r="W5" s="3434"/>
      <c r="X5" s="1265"/>
      <c r="Y5" s="3411"/>
      <c r="Z5" s="3412"/>
      <c r="AA5" s="3405"/>
      <c r="AB5" s="3405"/>
      <c r="AC5" s="3405"/>
    </row>
    <row r="6" spans="1:29" ht="15" thickBot="1">
      <c r="A6" s="350"/>
      <c r="B6" s="351"/>
      <c r="C6" s="3417" t="s">
        <v>1677</v>
      </c>
      <c r="D6" s="3418"/>
      <c r="E6" s="3419" t="s">
        <v>1677</v>
      </c>
      <c r="F6" s="3420"/>
      <c r="G6" s="3417" t="s">
        <v>1677</v>
      </c>
      <c r="H6" s="3418"/>
      <c r="I6" s="3417" t="s">
        <v>1677</v>
      </c>
      <c r="J6" s="3418"/>
      <c r="K6" s="537" t="s">
        <v>1678</v>
      </c>
      <c r="L6" s="2484"/>
      <c r="M6" s="2485"/>
      <c r="N6" s="2485"/>
      <c r="O6" s="2485"/>
      <c r="P6" s="3430"/>
      <c r="Q6" s="3431"/>
      <c r="R6" s="3411"/>
      <c r="S6" s="3412"/>
      <c r="T6" s="3432"/>
      <c r="U6" s="3433"/>
      <c r="V6" s="3434"/>
      <c r="W6" s="3434"/>
      <c r="X6" s="1265"/>
      <c r="Y6" s="3432"/>
      <c r="Z6" s="3433"/>
      <c r="AA6" s="3406"/>
      <c r="AB6" s="3406"/>
      <c r="AC6" s="3406"/>
    </row>
    <row r="7" spans="1:29" s="102" customFormat="1" ht="15" thickBot="1">
      <c r="A7" s="352" t="s">
        <v>1679</v>
      </c>
      <c r="B7" s="353"/>
      <c r="C7" s="354">
        <f>'数据-取费表'!B2</f>
        <v>45624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7" t="s">
        <v>1680</v>
      </c>
      <c r="Q7" s="3435"/>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9" t="s">
        <v>1686</v>
      </c>
      <c r="Q9" s="530" t="str">
        <f t="shared" ref="Q9:Q14" si="6">B9</f>
        <v>用途</v>
      </c>
      <c r="R9" s="664" t="s">
        <v>14</v>
      </c>
      <c r="S9" s="665">
        <f t="shared" si="0"/>
        <v>100</v>
      </c>
      <c r="T9" s="664" t="s">
        <v>14</v>
      </c>
      <c r="U9" s="665">
        <f t="shared" si="1"/>
        <v>100</v>
      </c>
      <c r="V9" s="664" t="s">
        <v>14</v>
      </c>
      <c r="W9" s="665">
        <f t="shared" si="2"/>
        <v>100</v>
      </c>
      <c r="X9" s="666"/>
      <c r="Y9" s="3351"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9"/>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9"/>
      <c r="Q11" s="530">
        <f t="shared" si="6"/>
        <v>111</v>
      </c>
      <c r="R11" s="664" t="s">
        <v>14</v>
      </c>
      <c r="S11" s="665">
        <f t="shared" si="0"/>
        <v>100</v>
      </c>
      <c r="T11" s="664" t="s">
        <v>14</v>
      </c>
      <c r="U11" s="665">
        <f t="shared" si="1"/>
        <v>100</v>
      </c>
      <c r="V11" s="664" t="s">
        <v>14</v>
      </c>
      <c r="W11" s="665">
        <f t="shared" si="2"/>
        <v>100</v>
      </c>
      <c r="X11" s="666"/>
      <c r="Y11" s="33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9"/>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9"/>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38">
      <c r="A14" s="345" t="s">
        <v>1690</v>
      </c>
      <c r="B14" s="554" t="s">
        <v>1833</v>
      </c>
      <c r="C14" s="1819" t="str">
        <f>IF(B1="工业",估价对象房地状况!G4,估价对象房地状况!C6)</f>
        <v>估价对象周边道路状况一般，有836、901、917等多条线路及燕房线经过，公共交通通达情况较好、停车便捷程度较好，综合评价交通便捷度较好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40" t="s">
        <v>1691</v>
      </c>
      <c r="Q14" s="1263" t="str">
        <f t="shared" si="6"/>
        <v>交通便捷度</v>
      </c>
      <c r="R14" s="667" t="s">
        <v>14</v>
      </c>
      <c r="S14" s="668">
        <f t="shared" si="0"/>
        <v>100</v>
      </c>
      <c r="T14" s="667" t="s">
        <v>14</v>
      </c>
      <c r="U14" s="668">
        <f t="shared" si="1"/>
        <v>100</v>
      </c>
      <c r="V14" s="667" t="s">
        <v>14</v>
      </c>
      <c r="W14" s="668">
        <f t="shared" si="2"/>
        <v>100</v>
      </c>
      <c r="X14" s="1265"/>
      <c r="Y14" s="344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41"/>
      <c r="Q15" s="1263"/>
      <c r="R15" s="667"/>
      <c r="S15" s="668"/>
      <c r="T15" s="667"/>
      <c r="U15" s="668"/>
      <c r="V15" s="667"/>
      <c r="W15" s="668"/>
      <c r="X15" s="1265"/>
      <c r="Y15" s="3441"/>
      <c r="Z15" s="1264"/>
      <c r="AA15" s="1264">
        <v>1</v>
      </c>
      <c r="AB15" s="1264">
        <v>1</v>
      </c>
      <c r="AC15" s="1264">
        <v>1</v>
      </c>
    </row>
    <row r="16" spans="1:29" ht="138">
      <c r="A16" s="348"/>
      <c r="B16" s="556" t="s">
        <v>1812</v>
      </c>
      <c r="C16" s="1754" t="str">
        <f>IF(B1="工业",估价对象房地状况!G5,估价对象房地状况!C7)</f>
        <v>商场（华冠天地、房山商业大楼）、医院（房山区中医院、房山区第一医院）、学校（房山中学）、餐饮等，公共配套设施较好。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41"/>
      <c r="Q16" s="1263" t="str">
        <f>B16</f>
        <v>公共配套设施</v>
      </c>
      <c r="R16" s="667" t="s">
        <v>14</v>
      </c>
      <c r="S16" s="668">
        <f>F16</f>
        <v>100</v>
      </c>
      <c r="T16" s="667" t="s">
        <v>14</v>
      </c>
      <c r="U16" s="668">
        <f>H16</f>
        <v>100</v>
      </c>
      <c r="V16" s="667" t="s">
        <v>14</v>
      </c>
      <c r="W16" s="668">
        <f>J16</f>
        <v>100</v>
      </c>
      <c r="X16" s="1265"/>
      <c r="Y16" s="344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41"/>
      <c r="Q17" s="1263"/>
      <c r="R17" s="667"/>
      <c r="S17" s="668"/>
      <c r="T17" s="667"/>
      <c r="U17" s="668"/>
      <c r="V17" s="667"/>
      <c r="W17" s="668"/>
      <c r="X17" s="1265"/>
      <c r="Y17" s="344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41"/>
      <c r="Q18" s="1263" t="str">
        <f>B18</f>
        <v>基础设施水平</v>
      </c>
      <c r="R18" s="667" t="s">
        <v>14</v>
      </c>
      <c r="S18" s="668">
        <f>F18</f>
        <v>100</v>
      </c>
      <c r="T18" s="667" t="s">
        <v>14</v>
      </c>
      <c r="U18" s="668">
        <f>H18</f>
        <v>100</v>
      </c>
      <c r="V18" s="667" t="s">
        <v>14</v>
      </c>
      <c r="W18" s="668">
        <f>J18</f>
        <v>100</v>
      </c>
      <c r="X18" s="1265"/>
      <c r="Y18" s="344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41"/>
      <c r="Q19" s="1263"/>
      <c r="R19" s="667"/>
      <c r="S19" s="668"/>
      <c r="T19" s="667"/>
      <c r="U19" s="668"/>
      <c r="V19" s="667"/>
      <c r="W19" s="668"/>
      <c r="X19" s="1265"/>
      <c r="Y19" s="3441"/>
      <c r="Z19" s="1264"/>
      <c r="AA19" s="1264">
        <v>1</v>
      </c>
      <c r="AB19" s="1264">
        <v>1</v>
      </c>
      <c r="AC19" s="1264">
        <v>1</v>
      </c>
    </row>
    <row r="20" spans="1:29" ht="82.8">
      <c r="A20" s="348"/>
      <c r="B20" s="556" t="s">
        <v>1834</v>
      </c>
      <c r="C20" s="1754" t="str">
        <f>IF(B1="工业",估价对象房地状况!G7,估价对象房地状况!C9)</f>
        <v>区域自然环境：朝曦公园、迎宾公园；人文环境：无；综合评价环境状况一般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41"/>
      <c r="Q20" s="1263" t="str">
        <f>B20</f>
        <v>自然及人文环境</v>
      </c>
      <c r="R20" s="667" t="s">
        <v>14</v>
      </c>
      <c r="S20" s="668">
        <f>F20</f>
        <v>100</v>
      </c>
      <c r="T20" s="667" t="s">
        <v>14</v>
      </c>
      <c r="U20" s="668">
        <f>H20</f>
        <v>100</v>
      </c>
      <c r="V20" s="667" t="s">
        <v>14</v>
      </c>
      <c r="W20" s="668">
        <f>J20</f>
        <v>100</v>
      </c>
      <c r="X20" s="1265"/>
      <c r="Y20" s="344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41"/>
      <c r="Q21" s="1263"/>
      <c r="R21" s="667"/>
      <c r="S21" s="668"/>
      <c r="T21" s="667"/>
      <c r="U21" s="668"/>
      <c r="V21" s="667"/>
      <c r="W21" s="668"/>
      <c r="X21" s="1265"/>
      <c r="Y21" s="344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41"/>
      <c r="Q22" s="1263" t="str">
        <f>B22</f>
        <v>楼层</v>
      </c>
      <c r="R22" s="667" t="s">
        <v>14</v>
      </c>
      <c r="S22" s="668">
        <f>F22</f>
        <v>100</v>
      </c>
      <c r="T22" s="667" t="s">
        <v>14</v>
      </c>
      <c r="U22" s="668">
        <f>H22</f>
        <v>100</v>
      </c>
      <c r="V22" s="667" t="s">
        <v>14</v>
      </c>
      <c r="W22" s="668">
        <f>J22</f>
        <v>100</v>
      </c>
      <c r="X22" s="1265"/>
      <c r="Y22" s="344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41"/>
      <c r="Q23" s="1263">
        <f>B23</f>
        <v>111</v>
      </c>
      <c r="R23" s="667" t="s">
        <v>14</v>
      </c>
      <c r="S23" s="668">
        <f>F23</f>
        <v>100</v>
      </c>
      <c r="T23" s="667" t="s">
        <v>14</v>
      </c>
      <c r="U23" s="668">
        <f>H23</f>
        <v>100</v>
      </c>
      <c r="V23" s="667" t="s">
        <v>14</v>
      </c>
      <c r="W23" s="668">
        <f>J23</f>
        <v>100</v>
      </c>
      <c r="X23" s="1265"/>
      <c r="Y23" s="344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41"/>
      <c r="Q24" s="1263">
        <f t="shared" ref="Q24:Q36" si="11">B24</f>
        <v>111</v>
      </c>
      <c r="R24" s="667" t="s">
        <v>14</v>
      </c>
      <c r="S24" s="668">
        <f>F24</f>
        <v>100</v>
      </c>
      <c r="T24" s="667" t="s">
        <v>14</v>
      </c>
      <c r="U24" s="668">
        <f>H24</f>
        <v>100</v>
      </c>
      <c r="V24" s="667" t="s">
        <v>14</v>
      </c>
      <c r="W24" s="668">
        <f>J24</f>
        <v>100</v>
      </c>
      <c r="X24" s="1265"/>
      <c r="Y24" s="344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41"/>
      <c r="Q25" s="530">
        <f t="shared" si="11"/>
        <v>111</v>
      </c>
      <c r="R25" s="664" t="s">
        <v>14</v>
      </c>
      <c r="S25" s="665">
        <f>F25</f>
        <v>100</v>
      </c>
      <c r="T25" s="664" t="s">
        <v>14</v>
      </c>
      <c r="U25" s="665">
        <f>H25</f>
        <v>100</v>
      </c>
      <c r="V25" s="664" t="s">
        <v>14</v>
      </c>
      <c r="W25" s="665">
        <f>J25</f>
        <v>100</v>
      </c>
      <c r="X25" s="666"/>
      <c r="Y25" s="344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45"/>
      <c r="Q27" s="531" t="str">
        <f t="shared" si="11"/>
        <v>项目停车位配比</v>
      </c>
      <c r="R27" s="669" t="s">
        <v>14</v>
      </c>
      <c r="S27" s="670">
        <f t="shared" si="12"/>
        <v>100</v>
      </c>
      <c r="T27" s="669" t="s">
        <v>14</v>
      </c>
      <c r="U27" s="670">
        <f t="shared" si="13"/>
        <v>100</v>
      </c>
      <c r="V27" s="669" t="s">
        <v>14</v>
      </c>
      <c r="W27" s="670">
        <f t="shared" si="14"/>
        <v>100</v>
      </c>
      <c r="X27" s="671"/>
      <c r="Y27" s="344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45"/>
      <c r="Q28" s="1263" t="str">
        <f t="shared" si="11"/>
        <v>公共部分装修</v>
      </c>
      <c r="R28" s="667" t="s">
        <v>14</v>
      </c>
      <c r="S28" s="668">
        <f t="shared" si="12"/>
        <v>100</v>
      </c>
      <c r="T28" s="667" t="s">
        <v>14</v>
      </c>
      <c r="U28" s="668">
        <f t="shared" si="13"/>
        <v>100</v>
      </c>
      <c r="V28" s="667" t="s">
        <v>14</v>
      </c>
      <c r="W28" s="668">
        <f t="shared" si="14"/>
        <v>100</v>
      </c>
      <c r="X28" s="1265"/>
      <c r="Y28" s="344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45"/>
      <c r="Q29" s="1263" t="str">
        <f t="shared" si="11"/>
        <v>成新率</v>
      </c>
      <c r="R29" s="667" t="s">
        <v>14</v>
      </c>
      <c r="S29" s="668" t="e">
        <f t="shared" si="12"/>
        <v>#N/A</v>
      </c>
      <c r="T29" s="667" t="s">
        <v>14</v>
      </c>
      <c r="U29" s="668" t="e">
        <f t="shared" si="13"/>
        <v>#N/A</v>
      </c>
      <c r="V29" s="667" t="s">
        <v>14</v>
      </c>
      <c r="W29" s="668" t="e">
        <f t="shared" si="14"/>
        <v>#N/A</v>
      </c>
      <c r="X29" s="1265"/>
      <c r="Y29" s="344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45"/>
      <c r="Q30" s="1263" t="str">
        <f t="shared" si="11"/>
        <v>物业等级</v>
      </c>
      <c r="R30" s="667" t="s">
        <v>14</v>
      </c>
      <c r="S30" s="668">
        <f t="shared" si="12"/>
        <v>100</v>
      </c>
      <c r="T30" s="667" t="s">
        <v>14</v>
      </c>
      <c r="U30" s="668">
        <f t="shared" si="13"/>
        <v>100</v>
      </c>
      <c r="V30" s="667" t="s">
        <v>14</v>
      </c>
      <c r="W30" s="668">
        <f t="shared" si="14"/>
        <v>100</v>
      </c>
      <c r="X30" s="1265"/>
      <c r="Y30" s="344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45"/>
      <c r="Q31" s="530" t="str">
        <f t="shared" si="11"/>
        <v>停车位面积</v>
      </c>
      <c r="R31" s="664" t="s">
        <v>14</v>
      </c>
      <c r="S31" s="665" t="e">
        <f t="shared" si="12"/>
        <v>#N/A</v>
      </c>
      <c r="T31" s="664" t="s">
        <v>14</v>
      </c>
      <c r="U31" s="665" t="e">
        <f t="shared" si="13"/>
        <v>#N/A</v>
      </c>
      <c r="V31" s="664" t="s">
        <v>14</v>
      </c>
      <c r="W31" s="665" t="e">
        <f t="shared" si="14"/>
        <v>#N/A</v>
      </c>
      <c r="X31" s="666"/>
      <c r="Y31" s="344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45" t="s">
        <v>1696</v>
      </c>
      <c r="Q32" s="1263" t="str">
        <f t="shared" si="11"/>
        <v>车位类型</v>
      </c>
      <c r="R32" s="667" t="s">
        <v>14</v>
      </c>
      <c r="S32" s="668">
        <f t="shared" si="12"/>
        <v>100</v>
      </c>
      <c r="T32" s="667" t="s">
        <v>14</v>
      </c>
      <c r="U32" s="668">
        <f t="shared" si="13"/>
        <v>100</v>
      </c>
      <c r="V32" s="667" t="s">
        <v>14</v>
      </c>
      <c r="W32" s="668">
        <f t="shared" si="14"/>
        <v>100</v>
      </c>
      <c r="X32" s="1265"/>
      <c r="Y32" s="344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45"/>
      <c r="Q33" s="1263" t="str">
        <f t="shared" si="11"/>
        <v>是否直接入户</v>
      </c>
      <c r="R33" s="667" t="s">
        <v>14</v>
      </c>
      <c r="S33" s="668">
        <f t="shared" si="12"/>
        <v>100</v>
      </c>
      <c r="T33" s="667" t="s">
        <v>14</v>
      </c>
      <c r="U33" s="668">
        <f t="shared" si="13"/>
        <v>100</v>
      </c>
      <c r="V33" s="667" t="s">
        <v>14</v>
      </c>
      <c r="W33" s="668">
        <f t="shared" si="14"/>
        <v>100</v>
      </c>
      <c r="X33" s="1265"/>
      <c r="Y33" s="344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45"/>
      <c r="Q34" s="1263">
        <f t="shared" si="11"/>
        <v>111</v>
      </c>
      <c r="R34" s="667" t="s">
        <v>14</v>
      </c>
      <c r="S34" s="668">
        <f t="shared" si="12"/>
        <v>100</v>
      </c>
      <c r="T34" s="667" t="s">
        <v>14</v>
      </c>
      <c r="U34" s="668">
        <f t="shared" si="13"/>
        <v>100</v>
      </c>
      <c r="V34" s="667" t="s">
        <v>14</v>
      </c>
      <c r="W34" s="668">
        <f t="shared" si="14"/>
        <v>100</v>
      </c>
      <c r="X34" s="1265"/>
      <c r="Y34" s="344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45"/>
      <c r="Q35" s="531">
        <f t="shared" si="11"/>
        <v>111</v>
      </c>
      <c r="R35" s="669" t="s">
        <v>14</v>
      </c>
      <c r="S35" s="670">
        <f t="shared" si="12"/>
        <v>100</v>
      </c>
      <c r="T35" s="669" t="s">
        <v>14</v>
      </c>
      <c r="U35" s="670">
        <f t="shared" si="13"/>
        <v>100</v>
      </c>
      <c r="V35" s="669" t="s">
        <v>14</v>
      </c>
      <c r="W35" s="670">
        <f t="shared" si="14"/>
        <v>100</v>
      </c>
      <c r="X35" s="671"/>
      <c r="Y35" s="344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45"/>
      <c r="Q36" s="1263">
        <f t="shared" si="11"/>
        <v>111</v>
      </c>
      <c r="R36" s="667" t="s">
        <v>14</v>
      </c>
      <c r="S36" s="668">
        <f t="shared" si="12"/>
        <v>100</v>
      </c>
      <c r="T36" s="667" t="s">
        <v>14</v>
      </c>
      <c r="U36" s="668">
        <f t="shared" si="13"/>
        <v>100</v>
      </c>
      <c r="V36" s="667" t="s">
        <v>14</v>
      </c>
      <c r="W36" s="668">
        <f t="shared" si="14"/>
        <v>100</v>
      </c>
      <c r="X36" s="1265"/>
      <c r="Y36" s="3445"/>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439" t="str">
        <f>A37</f>
        <v>成交单价</v>
      </c>
      <c r="Q37" s="3439"/>
      <c r="R37" s="3434">
        <f>E37</f>
        <v>0</v>
      </c>
      <c r="S37" s="3434"/>
      <c r="T37" s="3434">
        <f>G37</f>
        <v>0</v>
      </c>
      <c r="U37" s="3434"/>
      <c r="V37" s="3434">
        <f>I37</f>
        <v>0</v>
      </c>
      <c r="W37" s="343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39" t="str">
        <f>A38</f>
        <v>比较价值（元/平方米）</v>
      </c>
      <c r="Q38" s="3439"/>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6" t="str">
        <f>A39</f>
        <v>估价对象XX用房的比较价值（楼面单价，元/平方米）</v>
      </c>
      <c r="Q39" s="3437"/>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2" t="s">
        <v>1770</v>
      </c>
      <c r="D4" s="3423"/>
      <c r="E4" s="3424" t="s">
        <v>1771</v>
      </c>
      <c r="F4" s="3425"/>
      <c r="G4" s="3422" t="s">
        <v>1772</v>
      </c>
      <c r="H4" s="3423"/>
      <c r="I4" s="3422" t="s">
        <v>1773</v>
      </c>
      <c r="J4" s="3423"/>
      <c r="K4" s="537" t="s">
        <v>1774</v>
      </c>
      <c r="L4" s="2484"/>
      <c r="M4" s="2485"/>
      <c r="N4" s="2485"/>
      <c r="O4" s="2485"/>
      <c r="P4" s="3426" t="s">
        <v>1775</v>
      </c>
      <c r="Q4" s="3427"/>
      <c r="R4" s="3409" t="s">
        <v>1771</v>
      </c>
      <c r="S4" s="3410"/>
      <c r="T4" s="3409" t="s">
        <v>1772</v>
      </c>
      <c r="U4" s="3410"/>
      <c r="V4" s="3434" t="s">
        <v>1773</v>
      </c>
      <c r="W4" s="3434"/>
      <c r="X4" s="1265"/>
      <c r="Y4" s="3409" t="s">
        <v>1775</v>
      </c>
      <c r="Z4" s="3410"/>
      <c r="AA4" s="3404" t="s">
        <v>1771</v>
      </c>
      <c r="AB4" s="3405" t="s">
        <v>1772</v>
      </c>
      <c r="AC4" s="3404" t="s">
        <v>1773</v>
      </c>
    </row>
    <row r="5" spans="1:29">
      <c r="A5" s="348"/>
      <c r="B5" s="349"/>
      <c r="C5" s="3415" t="s">
        <v>1673</v>
      </c>
      <c r="D5" s="3416"/>
      <c r="E5" s="3413" t="s">
        <v>1674</v>
      </c>
      <c r="F5" s="3414"/>
      <c r="G5" s="3415" t="s">
        <v>1675</v>
      </c>
      <c r="H5" s="3416"/>
      <c r="I5" s="3415" t="s">
        <v>1676</v>
      </c>
      <c r="J5" s="3416"/>
      <c r="K5" s="537"/>
      <c r="L5" s="2484"/>
      <c r="M5" s="2485"/>
      <c r="N5" s="2485"/>
      <c r="O5" s="2485"/>
      <c r="P5" s="3428"/>
      <c r="Q5" s="3429"/>
      <c r="R5" s="3411"/>
      <c r="S5" s="3412"/>
      <c r="T5" s="3411"/>
      <c r="U5" s="3412"/>
      <c r="V5" s="3434"/>
      <c r="W5" s="3434"/>
      <c r="X5" s="1265"/>
      <c r="Y5" s="3411"/>
      <c r="Z5" s="3412"/>
      <c r="AA5" s="3405"/>
      <c r="AB5" s="3405"/>
      <c r="AC5" s="3405"/>
    </row>
    <row r="6" spans="1:29" ht="15" thickBot="1">
      <c r="A6" s="350"/>
      <c r="B6" s="351"/>
      <c r="C6" s="3417" t="s">
        <v>1677</v>
      </c>
      <c r="D6" s="3418"/>
      <c r="E6" s="3419" t="s">
        <v>1677</v>
      </c>
      <c r="F6" s="3420"/>
      <c r="G6" s="3417" t="s">
        <v>1677</v>
      </c>
      <c r="H6" s="3418"/>
      <c r="I6" s="3417" t="s">
        <v>1677</v>
      </c>
      <c r="J6" s="3418"/>
      <c r="K6" s="537" t="s">
        <v>1678</v>
      </c>
      <c r="L6" s="2484"/>
      <c r="M6" s="2485"/>
      <c r="N6" s="2485"/>
      <c r="O6" s="2485"/>
      <c r="P6" s="3430"/>
      <c r="Q6" s="3431"/>
      <c r="R6" s="3411"/>
      <c r="S6" s="3412"/>
      <c r="T6" s="3432"/>
      <c r="U6" s="3433"/>
      <c r="V6" s="3434"/>
      <c r="W6" s="3434"/>
      <c r="X6" s="1265"/>
      <c r="Y6" s="3432"/>
      <c r="Z6" s="3433"/>
      <c r="AA6" s="3406"/>
      <c r="AB6" s="3406"/>
      <c r="AC6" s="3406"/>
    </row>
    <row r="7" spans="1:29" s="102" customFormat="1" ht="15" thickBot="1">
      <c r="A7" s="352" t="s">
        <v>1679</v>
      </c>
      <c r="B7" s="353"/>
      <c r="C7" s="354">
        <f>'数据-取费表'!B2</f>
        <v>45624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7"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7" t="s">
        <v>1683</v>
      </c>
      <c r="Q8" s="3408"/>
      <c r="R8" s="664" t="s">
        <v>14</v>
      </c>
      <c r="S8" s="665">
        <f t="shared" si="0"/>
        <v>0</v>
      </c>
      <c r="T8" s="664" t="s">
        <v>14</v>
      </c>
      <c r="U8" s="665">
        <f t="shared" si="1"/>
        <v>0</v>
      </c>
      <c r="V8" s="664" t="s">
        <v>14</v>
      </c>
      <c r="W8" s="665">
        <f t="shared" si="2"/>
        <v>0</v>
      </c>
      <c r="X8" s="666"/>
      <c r="Y8" s="3407" t="s">
        <v>1683</v>
      </c>
      <c r="Z8" s="340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39"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39"/>
      <c r="Q10" s="530" t="str">
        <f t="shared" si="6"/>
        <v>土地使用年限（年）</v>
      </c>
      <c r="R10" s="664" t="s">
        <v>14</v>
      </c>
      <c r="S10" s="665" t="e">
        <f t="shared" si="0"/>
        <v>#DIV/0!</v>
      </c>
      <c r="T10" s="664" t="s">
        <v>14</v>
      </c>
      <c r="U10" s="665" t="e">
        <f t="shared" si="1"/>
        <v>#DIV/0!</v>
      </c>
      <c r="V10" s="664" t="s">
        <v>14</v>
      </c>
      <c r="W10" s="665" t="e">
        <f t="shared" si="2"/>
        <v>#DIV/0!</v>
      </c>
      <c r="X10" s="666"/>
      <c r="Y10" s="335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9"/>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9"/>
      <c r="Q12" s="530" t="str">
        <f t="shared" si="6"/>
        <v>配建</v>
      </c>
      <c r="R12" s="664" t="s">
        <v>14</v>
      </c>
      <c r="S12" s="665">
        <f t="shared" si="0"/>
        <v>100</v>
      </c>
      <c r="T12" s="664" t="s">
        <v>14</v>
      </c>
      <c r="U12" s="665">
        <f t="shared" si="1"/>
        <v>100</v>
      </c>
      <c r="V12" s="664" t="s">
        <v>14</v>
      </c>
      <c r="W12" s="665">
        <f t="shared" si="2"/>
        <v>100</v>
      </c>
      <c r="X12" s="666"/>
      <c r="Y12" s="335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9"/>
      <c r="Q13" s="530">
        <f t="shared" si="6"/>
        <v>111</v>
      </c>
      <c r="R13" s="664" t="s">
        <v>14</v>
      </c>
      <c r="S13" s="665">
        <f t="shared" si="0"/>
        <v>100</v>
      </c>
      <c r="T13" s="664" t="s">
        <v>14</v>
      </c>
      <c r="U13" s="665">
        <f t="shared" si="1"/>
        <v>100</v>
      </c>
      <c r="V13" s="664" t="s">
        <v>14</v>
      </c>
      <c r="W13" s="665">
        <f t="shared" si="2"/>
        <v>100</v>
      </c>
      <c r="X13" s="666"/>
      <c r="Y13" s="335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9"/>
      <c r="Q14" s="530">
        <f t="shared" si="6"/>
        <v>111</v>
      </c>
      <c r="R14" s="664" t="s">
        <v>14</v>
      </c>
      <c r="S14" s="665">
        <f t="shared" si="0"/>
        <v>100</v>
      </c>
      <c r="T14" s="664" t="s">
        <v>14</v>
      </c>
      <c r="U14" s="665">
        <f t="shared" si="1"/>
        <v>100</v>
      </c>
      <c r="V14" s="664" t="s">
        <v>14</v>
      </c>
      <c r="W14" s="665">
        <f t="shared" si="2"/>
        <v>100</v>
      </c>
      <c r="X14" s="666"/>
      <c r="Y14" s="335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40" t="s">
        <v>1691</v>
      </c>
      <c r="Q15" s="1263" t="str">
        <f t="shared" si="6"/>
        <v>居住社区成熟度</v>
      </c>
      <c r="R15" s="667" t="s">
        <v>14</v>
      </c>
      <c r="S15" s="668">
        <f t="shared" si="0"/>
        <v>100</v>
      </c>
      <c r="T15" s="667" t="s">
        <v>14</v>
      </c>
      <c r="U15" s="668">
        <f t="shared" si="1"/>
        <v>100</v>
      </c>
      <c r="V15" s="667" t="s">
        <v>14</v>
      </c>
      <c r="W15" s="668">
        <f t="shared" si="2"/>
        <v>100</v>
      </c>
      <c r="X15" s="1265"/>
      <c r="Y15" s="344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41"/>
      <c r="Q16" s="1263"/>
      <c r="R16" s="667"/>
      <c r="S16" s="668"/>
      <c r="T16" s="667"/>
      <c r="U16" s="668"/>
      <c r="V16" s="667"/>
      <c r="W16" s="668"/>
      <c r="X16" s="1265"/>
      <c r="Y16" s="3441"/>
      <c r="Z16" s="1264"/>
      <c r="AA16" s="1264">
        <v>1</v>
      </c>
      <c r="AB16" s="1264">
        <v>1</v>
      </c>
      <c r="AC16" s="1264">
        <v>1</v>
      </c>
    </row>
    <row r="17" spans="1:29" ht="96.6">
      <c r="A17" s="367"/>
      <c r="B17" s="390" t="s">
        <v>1777</v>
      </c>
      <c r="C17" s="1806" t="str">
        <f>估价对象房地状况!C16</f>
        <v>周边商业氛围较成熟，有华冠天地、房山商业大楼等项目，人流量较大，商业繁华度较好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41"/>
      <c r="Q17" s="1263" t="str">
        <f>B17</f>
        <v>商业繁华度</v>
      </c>
      <c r="R17" s="667" t="s">
        <v>14</v>
      </c>
      <c r="S17" s="668">
        <f>F17</f>
        <v>100</v>
      </c>
      <c r="T17" s="667" t="s">
        <v>14</v>
      </c>
      <c r="U17" s="668">
        <f>H17</f>
        <v>100</v>
      </c>
      <c r="V17" s="667" t="s">
        <v>14</v>
      </c>
      <c r="W17" s="668">
        <f>J17</f>
        <v>100</v>
      </c>
      <c r="X17" s="1265"/>
      <c r="Y17" s="344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41"/>
      <c r="Q18" s="1263"/>
      <c r="R18" s="667"/>
      <c r="S18" s="668"/>
      <c r="T18" s="667"/>
      <c r="U18" s="668"/>
      <c r="V18" s="667"/>
      <c r="W18" s="668"/>
      <c r="X18" s="1265"/>
      <c r="Y18" s="3441"/>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41"/>
      <c r="Q19" s="1263" t="str">
        <f>B19</f>
        <v>办公集聚程度</v>
      </c>
      <c r="R19" s="667" t="s">
        <v>14</v>
      </c>
      <c r="S19" s="668">
        <f>F19</f>
        <v>100</v>
      </c>
      <c r="T19" s="667" t="s">
        <v>14</v>
      </c>
      <c r="U19" s="668">
        <f>H19</f>
        <v>100</v>
      </c>
      <c r="V19" s="667" t="s">
        <v>14</v>
      </c>
      <c r="W19" s="668">
        <f>J19</f>
        <v>100</v>
      </c>
      <c r="X19" s="1265"/>
      <c r="Y19" s="344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41"/>
      <c r="Q20" s="1263"/>
      <c r="R20" s="667"/>
      <c r="S20" s="668"/>
      <c r="T20" s="667"/>
      <c r="U20" s="668"/>
      <c r="V20" s="667"/>
      <c r="W20" s="668"/>
      <c r="X20" s="1265"/>
      <c r="Y20" s="3441"/>
      <c r="Z20" s="1264"/>
      <c r="AA20" s="1264">
        <v>1</v>
      </c>
      <c r="AB20" s="1264">
        <v>1</v>
      </c>
      <c r="AC20" s="1264">
        <v>1</v>
      </c>
    </row>
    <row r="21" spans="1:29" ht="138">
      <c r="A21" s="367"/>
      <c r="B21" s="390" t="s">
        <v>1833</v>
      </c>
      <c r="C21" s="1754" t="str">
        <f>估价对象房地状况!C18</f>
        <v>估价对象周边道路状况一般，有836、901、917等多条线路及燕房线经过，公共交通通达情况较好、停车便捷程度较好，综合评价交通便捷度较好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41"/>
      <c r="Q21" s="1263" t="str">
        <f>B21</f>
        <v>交通便捷度</v>
      </c>
      <c r="R21" s="667" t="s">
        <v>14</v>
      </c>
      <c r="S21" s="668">
        <f>F21</f>
        <v>100</v>
      </c>
      <c r="T21" s="667" t="s">
        <v>14</v>
      </c>
      <c r="U21" s="668">
        <f>H21</f>
        <v>100</v>
      </c>
      <c r="V21" s="667" t="s">
        <v>14</v>
      </c>
      <c r="W21" s="668">
        <f>J21</f>
        <v>100</v>
      </c>
      <c r="X21" s="1265"/>
      <c r="Y21" s="344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41"/>
      <c r="Q22" s="1263"/>
      <c r="R22" s="667"/>
      <c r="S22" s="668"/>
      <c r="T22" s="667"/>
      <c r="U22" s="668"/>
      <c r="V22" s="667"/>
      <c r="W22" s="668"/>
      <c r="X22" s="1265"/>
      <c r="Y22" s="344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41"/>
      <c r="Q23" s="1263" t="str">
        <f t="shared" ref="Q23:Q37" si="8">B23</f>
        <v>区域土地利用方向</v>
      </c>
      <c r="R23" s="667" t="s">
        <v>14</v>
      </c>
      <c r="S23" s="668">
        <f>F23</f>
        <v>100</v>
      </c>
      <c r="T23" s="667" t="s">
        <v>14</v>
      </c>
      <c r="U23" s="668">
        <f>H23</f>
        <v>100</v>
      </c>
      <c r="V23" s="667" t="s">
        <v>14</v>
      </c>
      <c r="W23" s="668">
        <f>J23</f>
        <v>100</v>
      </c>
      <c r="X23" s="1265"/>
      <c r="Y23" s="344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41"/>
      <c r="Q24" s="1263"/>
      <c r="R24" s="667"/>
      <c r="S24" s="668"/>
      <c r="T24" s="667"/>
      <c r="U24" s="668"/>
      <c r="V24" s="667"/>
      <c r="W24" s="668"/>
      <c r="X24" s="1265"/>
      <c r="Y24" s="3441"/>
      <c r="Z24" s="1264"/>
      <c r="AA24" s="1264"/>
      <c r="AB24" s="1264"/>
      <c r="AC24" s="1264"/>
    </row>
    <row r="25" spans="1:29" ht="82.8">
      <c r="A25" s="348"/>
      <c r="B25" s="586" t="s">
        <v>1872</v>
      </c>
      <c r="C25" s="1806" t="str">
        <f>估价对象房地状况!C20</f>
        <v>区域自然环境：朝曦公园、迎宾公园；人文环境：无；综合评价环境状况一般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41"/>
      <c r="Q25" s="1263" t="str">
        <f t="shared" si="8"/>
        <v>自然及人文环境状况</v>
      </c>
      <c r="R25" s="667" t="s">
        <v>14</v>
      </c>
      <c r="S25" s="668">
        <f>F25</f>
        <v>100</v>
      </c>
      <c r="T25" s="667" t="s">
        <v>14</v>
      </c>
      <c r="U25" s="668">
        <f>H25</f>
        <v>100</v>
      </c>
      <c r="V25" s="667" t="s">
        <v>14</v>
      </c>
      <c r="W25" s="668">
        <f>J25</f>
        <v>100</v>
      </c>
      <c r="X25" s="1265"/>
      <c r="Y25" s="344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41"/>
      <c r="Q26" s="1263"/>
      <c r="R26" s="667"/>
      <c r="S26" s="668"/>
      <c r="T26" s="667"/>
      <c r="U26" s="668"/>
      <c r="V26" s="667"/>
      <c r="W26" s="668"/>
      <c r="X26" s="1265"/>
      <c r="Y26" s="3441"/>
      <c r="Z26" s="1264"/>
      <c r="AA26" s="1264">
        <v>1</v>
      </c>
      <c r="AB26" s="1264">
        <v>1</v>
      </c>
      <c r="AC26" s="1264">
        <v>1</v>
      </c>
    </row>
    <row r="27" spans="1:29" s="102" customFormat="1" ht="138">
      <c r="A27" s="443"/>
      <c r="B27" s="586" t="s">
        <v>1778</v>
      </c>
      <c r="C27" s="1754" t="str">
        <f>估价对象房地状况!C21</f>
        <v>商场（华冠天地、房山商业大楼）、医院（房山区中医院、房山区第一医院）、学校（房山中学）、餐饮等，公共配套设施较好。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41"/>
      <c r="Q27" s="530" t="str">
        <f t="shared" si="8"/>
        <v>公共配套设施</v>
      </c>
      <c r="R27" s="664" t="s">
        <v>14</v>
      </c>
      <c r="S27" s="665">
        <f>F27</f>
        <v>100</v>
      </c>
      <c r="T27" s="664" t="s">
        <v>14</v>
      </c>
      <c r="U27" s="665">
        <f>H27</f>
        <v>100</v>
      </c>
      <c r="V27" s="664" t="s">
        <v>14</v>
      </c>
      <c r="W27" s="665">
        <f>J27</f>
        <v>100</v>
      </c>
      <c r="X27" s="666"/>
      <c r="Y27" s="344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41"/>
      <c r="Q28" s="530"/>
      <c r="R28" s="664"/>
      <c r="S28" s="665"/>
      <c r="T28" s="664"/>
      <c r="U28" s="665"/>
      <c r="V28" s="664"/>
      <c r="W28" s="665"/>
      <c r="X28" s="666"/>
      <c r="Y28" s="344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41"/>
      <c r="Q29" s="530" t="str">
        <f t="shared" ref="Q29" si="9">B29</f>
        <v>基础设施水平</v>
      </c>
      <c r="R29" s="664" t="s">
        <v>14</v>
      </c>
      <c r="S29" s="665">
        <f>F29</f>
        <v>100</v>
      </c>
      <c r="T29" s="664" t="s">
        <v>14</v>
      </c>
      <c r="U29" s="665">
        <f>H29</f>
        <v>100</v>
      </c>
      <c r="V29" s="664" t="s">
        <v>14</v>
      </c>
      <c r="W29" s="665">
        <f>J29</f>
        <v>100</v>
      </c>
      <c r="X29" s="666"/>
      <c r="Y29" s="344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41"/>
      <c r="Q30" s="530"/>
      <c r="R30" s="664"/>
      <c r="S30" s="665"/>
      <c r="T30" s="664"/>
      <c r="U30" s="665"/>
      <c r="V30" s="664"/>
      <c r="W30" s="665"/>
      <c r="X30" s="666"/>
      <c r="Y30" s="344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4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41"/>
      <c r="Q32" s="1263" t="str">
        <f t="shared" si="8"/>
        <v>毗邻道路的类型与等级</v>
      </c>
      <c r="R32" s="667" t="s">
        <v>14</v>
      </c>
      <c r="S32" s="668">
        <f t="shared" si="10"/>
        <v>100</v>
      </c>
      <c r="T32" s="667" t="s">
        <v>14</v>
      </c>
      <c r="U32" s="668">
        <f t="shared" si="11"/>
        <v>100</v>
      </c>
      <c r="V32" s="667" t="s">
        <v>14</v>
      </c>
      <c r="W32" s="668">
        <f t="shared" si="12"/>
        <v>100</v>
      </c>
      <c r="X32" s="1265"/>
      <c r="Y32" s="344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41"/>
      <c r="Q33" s="1263"/>
      <c r="R33" s="667"/>
      <c r="S33" s="668"/>
      <c r="T33" s="667"/>
      <c r="U33" s="668"/>
      <c r="V33" s="667"/>
      <c r="W33" s="668"/>
      <c r="X33" s="1265"/>
      <c r="Y33" s="344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41"/>
      <c r="Q34" s="1263" t="str">
        <f t="shared" si="8"/>
        <v>土地级别</v>
      </c>
      <c r="R34" s="667" t="s">
        <v>14</v>
      </c>
      <c r="S34" s="668">
        <f t="shared" si="10"/>
        <v>100</v>
      </c>
      <c r="T34" s="667" t="s">
        <v>14</v>
      </c>
      <c r="U34" s="668">
        <f t="shared" si="11"/>
        <v>100</v>
      </c>
      <c r="V34" s="667" t="s">
        <v>14</v>
      </c>
      <c r="W34" s="668">
        <f t="shared" si="12"/>
        <v>100</v>
      </c>
      <c r="X34" s="1265"/>
      <c r="Y34" s="344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41"/>
      <c r="Q35" s="1263">
        <f t="shared" si="8"/>
        <v>111</v>
      </c>
      <c r="R35" s="667" t="s">
        <v>14</v>
      </c>
      <c r="S35" s="668">
        <f t="shared" si="10"/>
        <v>100</v>
      </c>
      <c r="T35" s="667" t="s">
        <v>14</v>
      </c>
      <c r="U35" s="668">
        <f t="shared" si="11"/>
        <v>100</v>
      </c>
      <c r="V35" s="667" t="s">
        <v>14</v>
      </c>
      <c r="W35" s="668">
        <f t="shared" si="12"/>
        <v>100</v>
      </c>
      <c r="X35" s="1265"/>
      <c r="Y35" s="344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9" t="s">
        <v>1696</v>
      </c>
      <c r="Q36" s="1263">
        <f t="shared" si="8"/>
        <v>111</v>
      </c>
      <c r="R36" s="667" t="s">
        <v>14</v>
      </c>
      <c r="S36" s="668">
        <f t="shared" si="10"/>
        <v>100</v>
      </c>
      <c r="T36" s="667" t="s">
        <v>14</v>
      </c>
      <c r="U36" s="668">
        <f t="shared" si="11"/>
        <v>100</v>
      </c>
      <c r="V36" s="667" t="s">
        <v>14</v>
      </c>
      <c r="W36" s="668">
        <f t="shared" si="12"/>
        <v>100</v>
      </c>
      <c r="X36" s="1265"/>
      <c r="Y36" s="344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45"/>
      <c r="Q37" s="1263">
        <f t="shared" si="8"/>
        <v>111</v>
      </c>
      <c r="R37" s="669" t="s">
        <v>14</v>
      </c>
      <c r="S37" s="670">
        <f t="shared" si="10"/>
        <v>100</v>
      </c>
      <c r="T37" s="669" t="s">
        <v>14</v>
      </c>
      <c r="U37" s="670">
        <f t="shared" si="11"/>
        <v>100</v>
      </c>
      <c r="V37" s="669" t="s">
        <v>14</v>
      </c>
      <c r="W37" s="670">
        <f t="shared" si="12"/>
        <v>100</v>
      </c>
      <c r="X37" s="671"/>
      <c r="Y37" s="344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45"/>
      <c r="Q38" s="1263" t="str">
        <f>B38</f>
        <v>宗地面积</v>
      </c>
      <c r="R38" s="667" t="s">
        <v>14</v>
      </c>
      <c r="S38" s="668" t="e">
        <f t="shared" si="10"/>
        <v>#N/A</v>
      </c>
      <c r="T38" s="667" t="s">
        <v>14</v>
      </c>
      <c r="U38" s="668" t="e">
        <f t="shared" si="11"/>
        <v>#N/A</v>
      </c>
      <c r="V38" s="667" t="s">
        <v>14</v>
      </c>
      <c r="W38" s="668" t="e">
        <f t="shared" si="12"/>
        <v>#N/A</v>
      </c>
      <c r="X38" s="1265"/>
      <c r="Y38" s="344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45"/>
      <c r="Q39" s="1263" t="str">
        <f t="shared" ref="Q39:Q45" si="14">B39</f>
        <v>宗地形状</v>
      </c>
      <c r="R39" s="667" t="s">
        <v>14</v>
      </c>
      <c r="S39" s="668">
        <f t="shared" si="10"/>
        <v>100</v>
      </c>
      <c r="T39" s="667" t="s">
        <v>14</v>
      </c>
      <c r="U39" s="668">
        <f t="shared" si="11"/>
        <v>100</v>
      </c>
      <c r="V39" s="667" t="s">
        <v>14</v>
      </c>
      <c r="W39" s="668">
        <f t="shared" si="12"/>
        <v>100</v>
      </c>
      <c r="X39" s="1265"/>
      <c r="Y39" s="344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45"/>
      <c r="Q40" s="1263" t="str">
        <f t="shared" si="14"/>
        <v>临街宽度及深度</v>
      </c>
      <c r="R40" s="667" t="s">
        <v>14</v>
      </c>
      <c r="S40" s="668">
        <f t="shared" si="10"/>
        <v>100</v>
      </c>
      <c r="T40" s="667" t="s">
        <v>14</v>
      </c>
      <c r="U40" s="668">
        <f t="shared" si="11"/>
        <v>100</v>
      </c>
      <c r="V40" s="667" t="s">
        <v>14</v>
      </c>
      <c r="W40" s="668">
        <f t="shared" si="12"/>
        <v>100</v>
      </c>
      <c r="X40" s="1265"/>
      <c r="Y40" s="344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45"/>
      <c r="Q41" s="1263" t="str">
        <f t="shared" si="14"/>
        <v>宗地开发程度</v>
      </c>
      <c r="R41" s="664" t="s">
        <v>14</v>
      </c>
      <c r="S41" s="665">
        <f t="shared" si="10"/>
        <v>100</v>
      </c>
      <c r="T41" s="664" t="s">
        <v>14</v>
      </c>
      <c r="U41" s="665">
        <f t="shared" si="11"/>
        <v>100</v>
      </c>
      <c r="V41" s="664" t="s">
        <v>14</v>
      </c>
      <c r="W41" s="665">
        <f t="shared" si="12"/>
        <v>100</v>
      </c>
      <c r="X41" s="666"/>
      <c r="Y41" s="344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45" t="s">
        <v>1696</v>
      </c>
      <c r="Q42" s="1263" t="str">
        <f t="shared" si="14"/>
        <v>工程地质条件</v>
      </c>
      <c r="R42" s="667" t="s">
        <v>14</v>
      </c>
      <c r="S42" s="668">
        <f t="shared" si="10"/>
        <v>100</v>
      </c>
      <c r="T42" s="667" t="s">
        <v>14</v>
      </c>
      <c r="U42" s="668">
        <f t="shared" si="11"/>
        <v>100</v>
      </c>
      <c r="V42" s="667" t="s">
        <v>14</v>
      </c>
      <c r="W42" s="668">
        <f t="shared" si="12"/>
        <v>100</v>
      </c>
      <c r="X42" s="1265"/>
      <c r="Y42" s="344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45"/>
      <c r="Q43" s="1263">
        <f t="shared" si="14"/>
        <v>111</v>
      </c>
      <c r="R43" s="667" t="s">
        <v>14</v>
      </c>
      <c r="S43" s="668">
        <f t="shared" si="10"/>
        <v>100</v>
      </c>
      <c r="T43" s="667" t="s">
        <v>14</v>
      </c>
      <c r="U43" s="668">
        <f t="shared" si="11"/>
        <v>100</v>
      </c>
      <c r="V43" s="667" t="s">
        <v>14</v>
      </c>
      <c r="W43" s="668">
        <f t="shared" si="12"/>
        <v>100</v>
      </c>
      <c r="X43" s="1265"/>
      <c r="Y43" s="344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45"/>
      <c r="Q44" s="1263">
        <f t="shared" si="14"/>
        <v>111</v>
      </c>
      <c r="R44" s="667" t="s">
        <v>14</v>
      </c>
      <c r="S44" s="668">
        <f t="shared" si="10"/>
        <v>100</v>
      </c>
      <c r="T44" s="667" t="s">
        <v>14</v>
      </c>
      <c r="U44" s="668">
        <f t="shared" si="11"/>
        <v>100</v>
      </c>
      <c r="V44" s="667" t="s">
        <v>14</v>
      </c>
      <c r="W44" s="668">
        <f t="shared" si="12"/>
        <v>100</v>
      </c>
      <c r="X44" s="1265"/>
      <c r="Y44" s="344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45"/>
      <c r="Q45" s="1263">
        <f t="shared" si="14"/>
        <v>111</v>
      </c>
      <c r="R45" s="669" t="s">
        <v>14</v>
      </c>
      <c r="S45" s="670">
        <f t="shared" si="10"/>
        <v>100</v>
      </c>
      <c r="T45" s="669" t="s">
        <v>14</v>
      </c>
      <c r="U45" s="670">
        <f t="shared" si="11"/>
        <v>100</v>
      </c>
      <c r="V45" s="669" t="s">
        <v>14</v>
      </c>
      <c r="W45" s="670">
        <f t="shared" si="12"/>
        <v>100</v>
      </c>
      <c r="X45" s="671"/>
      <c r="Y45" s="344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39" t="str">
        <f>A46</f>
        <v>成交单价</v>
      </c>
      <c r="Q46" s="3439"/>
      <c r="R46" s="3434">
        <f>E46</f>
        <v>0</v>
      </c>
      <c r="S46" s="3434"/>
      <c r="T46" s="3434">
        <f>G46</f>
        <v>0</v>
      </c>
      <c r="U46" s="3434"/>
      <c r="V46" s="3434">
        <f>I46</f>
        <v>0</v>
      </c>
      <c r="W46" s="343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39" t="str">
        <f>A47</f>
        <v>比较价值（元/平方米）</v>
      </c>
      <c r="Q47" s="3439"/>
      <c r="R47" s="3468" t="e">
        <f>ROUND(PRODUCT(R46,AA7:AA45),0)</f>
        <v>#DIV/0!</v>
      </c>
      <c r="S47" s="3468"/>
      <c r="T47" s="3468" t="e">
        <f>ROUND(PRODUCT(T46,AB7:AB45),0)</f>
        <v>#DIV/0!</v>
      </c>
      <c r="U47" s="3468"/>
      <c r="V47" s="3468" t="e">
        <f>ROUND(PRODUCT(V46,AC7:AC45),0)</f>
        <v>#DIV/0!</v>
      </c>
      <c r="W47" s="346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6" t="str">
        <f>A48</f>
        <v>估价对象XX用房的比较价值（楼面单价，元/平方米）</v>
      </c>
      <c r="Q48" s="3437"/>
      <c r="R48" s="3469" t="e">
        <f>ROUND(IF(D47="简单平均",AVERAGE(R47:W47),R47*F47+T47*H47+V47*J47),0)</f>
        <v>#DIV/0!</v>
      </c>
      <c r="S48" s="3469"/>
      <c r="T48" s="3469"/>
      <c r="U48" s="3469"/>
      <c r="V48" s="3469"/>
      <c r="W48" s="346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22" t="s">
        <v>1887</v>
      </c>
      <c r="H55" s="3470"/>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1298.9000000000001</v>
      </c>
      <c r="F56" s="833" t="e">
        <f t="shared" ref="F56:F64" si="15">ROUND(B56*E56/10000,0)</f>
        <v>#DIV/0!</v>
      </c>
      <c r="G56" s="3421"/>
      <c r="H56" s="3439"/>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1298.9000000000001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2" t="s">
        <v>1770</v>
      </c>
      <c r="D4" s="3423"/>
      <c r="E4" s="3424" t="s">
        <v>1771</v>
      </c>
      <c r="F4" s="3425"/>
      <c r="G4" s="3422" t="s">
        <v>1772</v>
      </c>
      <c r="H4" s="3423"/>
      <c r="I4" s="3422" t="s">
        <v>1773</v>
      </c>
      <c r="J4" s="3423"/>
      <c r="K4" s="537" t="s">
        <v>1774</v>
      </c>
      <c r="L4" s="2484"/>
      <c r="M4" s="2485"/>
      <c r="N4" s="2485"/>
      <c r="O4" s="2485"/>
      <c r="P4" s="3426" t="s">
        <v>1775</v>
      </c>
      <c r="Q4" s="3427"/>
      <c r="R4" s="3409" t="s">
        <v>1771</v>
      </c>
      <c r="S4" s="3410"/>
      <c r="T4" s="3409" t="s">
        <v>1772</v>
      </c>
      <c r="U4" s="3410"/>
      <c r="V4" s="3434" t="s">
        <v>1773</v>
      </c>
      <c r="W4" s="3434"/>
      <c r="X4" s="1265"/>
      <c r="Y4" s="3409" t="s">
        <v>1775</v>
      </c>
      <c r="Z4" s="3410"/>
      <c r="AA4" s="3404" t="s">
        <v>1771</v>
      </c>
      <c r="AB4" s="3405" t="s">
        <v>1772</v>
      </c>
      <c r="AC4" s="3404" t="s">
        <v>1773</v>
      </c>
    </row>
    <row r="5" spans="1:29">
      <c r="A5" s="348"/>
      <c r="B5" s="349"/>
      <c r="C5" s="3415" t="s">
        <v>1673</v>
      </c>
      <c r="D5" s="3416"/>
      <c r="E5" s="3413" t="s">
        <v>1674</v>
      </c>
      <c r="F5" s="3414"/>
      <c r="G5" s="3415" t="s">
        <v>1675</v>
      </c>
      <c r="H5" s="3416"/>
      <c r="I5" s="3415" t="s">
        <v>1676</v>
      </c>
      <c r="J5" s="3416"/>
      <c r="K5" s="537"/>
      <c r="L5" s="2484"/>
      <c r="M5" s="2485"/>
      <c r="N5" s="2485"/>
      <c r="O5" s="2485"/>
      <c r="P5" s="3428"/>
      <c r="Q5" s="3429"/>
      <c r="R5" s="3411"/>
      <c r="S5" s="3412"/>
      <c r="T5" s="3411"/>
      <c r="U5" s="3412"/>
      <c r="V5" s="3434"/>
      <c r="W5" s="3434"/>
      <c r="X5" s="1265"/>
      <c r="Y5" s="3411"/>
      <c r="Z5" s="3412"/>
      <c r="AA5" s="3405"/>
      <c r="AB5" s="3405"/>
      <c r="AC5" s="3405"/>
    </row>
    <row r="6" spans="1:29" ht="15" thickBot="1">
      <c r="A6" s="350"/>
      <c r="B6" s="351"/>
      <c r="C6" s="3471" t="s">
        <v>1919</v>
      </c>
      <c r="D6" s="3472"/>
      <c r="E6" s="3473" t="s">
        <v>1919</v>
      </c>
      <c r="F6" s="3474"/>
      <c r="G6" s="3471" t="s">
        <v>1919</v>
      </c>
      <c r="H6" s="3472"/>
      <c r="I6" s="3471" t="s">
        <v>1919</v>
      </c>
      <c r="J6" s="3472"/>
      <c r="K6" s="537" t="s">
        <v>1678</v>
      </c>
      <c r="L6" s="2484"/>
      <c r="M6" s="2485"/>
      <c r="N6" s="2485"/>
      <c r="O6" s="2485"/>
      <c r="P6" s="3430"/>
      <c r="Q6" s="3431"/>
      <c r="R6" s="3411"/>
      <c r="S6" s="3412"/>
      <c r="T6" s="3432"/>
      <c r="U6" s="3433"/>
      <c r="V6" s="3434"/>
      <c r="W6" s="3434"/>
      <c r="X6" s="1265"/>
      <c r="Y6" s="3432"/>
      <c r="Z6" s="3433"/>
      <c r="AA6" s="3406"/>
      <c r="AB6" s="3406"/>
      <c r="AC6" s="3406"/>
    </row>
    <row r="7" spans="1:29" s="102" customFormat="1" ht="15" thickBot="1">
      <c r="A7" s="352" t="s">
        <v>1679</v>
      </c>
      <c r="B7" s="353"/>
      <c r="C7" s="354">
        <f>'数据-取费表'!B2</f>
        <v>45624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7"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7" t="s">
        <v>1683</v>
      </c>
      <c r="Q8" s="3408"/>
      <c r="R8" s="664" t="s">
        <v>14</v>
      </c>
      <c r="S8" s="665">
        <f t="shared" si="0"/>
        <v>0</v>
      </c>
      <c r="T8" s="664" t="s">
        <v>14</v>
      </c>
      <c r="U8" s="665">
        <f t="shared" si="1"/>
        <v>0</v>
      </c>
      <c r="V8" s="664" t="s">
        <v>14</v>
      </c>
      <c r="W8" s="665">
        <f t="shared" si="2"/>
        <v>0</v>
      </c>
      <c r="X8" s="666"/>
      <c r="Y8" s="3407" t="s">
        <v>1683</v>
      </c>
      <c r="Z8" s="340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9"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39"/>
      <c r="Q10" s="530" t="str">
        <f t="shared" si="6"/>
        <v>土地使用年限（年）</v>
      </c>
      <c r="R10" s="664" t="s">
        <v>14</v>
      </c>
      <c r="S10" s="665" t="e">
        <f t="shared" si="0"/>
        <v>#DIV/0!</v>
      </c>
      <c r="T10" s="664" t="s">
        <v>14</v>
      </c>
      <c r="U10" s="665" t="e">
        <f t="shared" si="1"/>
        <v>#DIV/0!</v>
      </c>
      <c r="V10" s="664" t="s">
        <v>14</v>
      </c>
      <c r="W10" s="665" t="e">
        <f t="shared" si="2"/>
        <v>#DIV/0!</v>
      </c>
      <c r="X10" s="666"/>
      <c r="Y10" s="335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9"/>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9"/>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9"/>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9"/>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40" t="s">
        <v>1691</v>
      </c>
      <c r="Q15" s="1263" t="str">
        <f t="shared" si="6"/>
        <v>产业集聚程度</v>
      </c>
      <c r="R15" s="667" t="s">
        <v>14</v>
      </c>
      <c r="S15" s="668">
        <f t="shared" si="0"/>
        <v>100</v>
      </c>
      <c r="T15" s="667" t="s">
        <v>14</v>
      </c>
      <c r="U15" s="668">
        <f t="shared" si="1"/>
        <v>100</v>
      </c>
      <c r="V15" s="667" t="s">
        <v>14</v>
      </c>
      <c r="W15" s="668">
        <f t="shared" si="2"/>
        <v>100</v>
      </c>
      <c r="X15" s="1265"/>
      <c r="Y15" s="344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41"/>
      <c r="Q16" s="1263"/>
      <c r="R16" s="667"/>
      <c r="S16" s="668"/>
      <c r="T16" s="667"/>
      <c r="U16" s="668"/>
      <c r="V16" s="667"/>
      <c r="W16" s="668"/>
      <c r="X16" s="1265"/>
      <c r="Y16" s="344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41"/>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41"/>
      <c r="Q18" s="1263"/>
      <c r="R18" s="667"/>
      <c r="S18" s="668"/>
      <c r="T18" s="667"/>
      <c r="U18" s="668"/>
      <c r="V18" s="667"/>
      <c r="W18" s="668"/>
      <c r="X18" s="1265"/>
      <c r="Y18" s="344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41"/>
      <c r="Q19" s="1263" t="str">
        <f t="shared" ref="Q19:Q33" si="8">B19</f>
        <v>区域土地利用方向</v>
      </c>
      <c r="R19" s="667" t="s">
        <v>14</v>
      </c>
      <c r="S19" s="668">
        <f>F19</f>
        <v>100</v>
      </c>
      <c r="T19" s="667" t="s">
        <v>14</v>
      </c>
      <c r="U19" s="668">
        <f>H19</f>
        <v>100</v>
      </c>
      <c r="V19" s="667" t="s">
        <v>14</v>
      </c>
      <c r="W19" s="668">
        <f>J19</f>
        <v>100</v>
      </c>
      <c r="X19" s="1265"/>
      <c r="Y19" s="344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41"/>
      <c r="Q20" s="1263"/>
      <c r="R20" s="667"/>
      <c r="S20" s="668"/>
      <c r="T20" s="667"/>
      <c r="U20" s="668"/>
      <c r="V20" s="667"/>
      <c r="W20" s="668"/>
      <c r="X20" s="1265"/>
      <c r="Y20" s="344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41"/>
      <c r="Q21" s="1263" t="str">
        <f t="shared" si="8"/>
        <v>环境状况</v>
      </c>
      <c r="R21" s="667" t="s">
        <v>14</v>
      </c>
      <c r="S21" s="668">
        <f>F21</f>
        <v>100</v>
      </c>
      <c r="T21" s="667" t="s">
        <v>14</v>
      </c>
      <c r="U21" s="668">
        <f>H21</f>
        <v>100</v>
      </c>
      <c r="V21" s="667" t="s">
        <v>14</v>
      </c>
      <c r="W21" s="668">
        <f>J21</f>
        <v>100</v>
      </c>
      <c r="X21" s="1265"/>
      <c r="Y21" s="344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41"/>
      <c r="Q22" s="1263"/>
      <c r="R22" s="667"/>
      <c r="S22" s="668"/>
      <c r="T22" s="667"/>
      <c r="U22" s="668"/>
      <c r="V22" s="667"/>
      <c r="W22" s="668"/>
      <c r="X22" s="1265"/>
      <c r="Y22" s="344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41"/>
      <c r="Q23" s="530" t="str">
        <f t="shared" si="8"/>
        <v>公共配套设施</v>
      </c>
      <c r="R23" s="664" t="s">
        <v>14</v>
      </c>
      <c r="S23" s="665">
        <f>F23</f>
        <v>100</v>
      </c>
      <c r="T23" s="664" t="s">
        <v>14</v>
      </c>
      <c r="U23" s="665">
        <f>H23</f>
        <v>100</v>
      </c>
      <c r="V23" s="664" t="s">
        <v>14</v>
      </c>
      <c r="W23" s="665">
        <f>J23</f>
        <v>100</v>
      </c>
      <c r="X23" s="666"/>
      <c r="Y23" s="344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41"/>
      <c r="Q24" s="530"/>
      <c r="R24" s="664"/>
      <c r="S24" s="665"/>
      <c r="T24" s="664"/>
      <c r="U24" s="665"/>
      <c r="V24" s="664"/>
      <c r="W24" s="665"/>
      <c r="X24" s="666"/>
      <c r="Y24" s="344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41"/>
      <c r="Q25" s="530" t="str">
        <f t="shared" ref="Q25" si="9">B25</f>
        <v>基础设施水平</v>
      </c>
      <c r="R25" s="664" t="s">
        <v>14</v>
      </c>
      <c r="S25" s="665">
        <f>F25</f>
        <v>100</v>
      </c>
      <c r="T25" s="664" t="s">
        <v>14</v>
      </c>
      <c r="U25" s="665">
        <f>H25</f>
        <v>100</v>
      </c>
      <c r="V25" s="664" t="s">
        <v>14</v>
      </c>
      <c r="W25" s="665">
        <f>J25</f>
        <v>100</v>
      </c>
      <c r="X25" s="666"/>
      <c r="Y25" s="344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41"/>
      <c r="Q26" s="530"/>
      <c r="R26" s="664"/>
      <c r="S26" s="665"/>
      <c r="T26" s="664"/>
      <c r="U26" s="665"/>
      <c r="V26" s="664"/>
      <c r="W26" s="665"/>
      <c r="X26" s="666"/>
      <c r="Y26" s="344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4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41"/>
      <c r="Q28" s="1263" t="str">
        <f t="shared" si="8"/>
        <v>毗邻道路的类型与等级</v>
      </c>
      <c r="R28" s="667" t="s">
        <v>14</v>
      </c>
      <c r="S28" s="668">
        <f t="shared" si="10"/>
        <v>100</v>
      </c>
      <c r="T28" s="667" t="s">
        <v>14</v>
      </c>
      <c r="U28" s="668">
        <f t="shared" si="11"/>
        <v>100</v>
      </c>
      <c r="V28" s="667" t="s">
        <v>14</v>
      </c>
      <c r="W28" s="668">
        <f t="shared" si="12"/>
        <v>100</v>
      </c>
      <c r="X28" s="1265"/>
      <c r="Y28" s="344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41"/>
      <c r="Q29" s="1263"/>
      <c r="R29" s="667"/>
      <c r="S29" s="668"/>
      <c r="T29" s="667"/>
      <c r="U29" s="668"/>
      <c r="V29" s="667"/>
      <c r="W29" s="668"/>
      <c r="X29" s="1265"/>
      <c r="Y29" s="344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41"/>
      <c r="Q30" s="1263" t="str">
        <f t="shared" si="8"/>
        <v>土地级别</v>
      </c>
      <c r="R30" s="667" t="s">
        <v>14</v>
      </c>
      <c r="S30" s="668">
        <f t="shared" si="10"/>
        <v>100</v>
      </c>
      <c r="T30" s="667" t="s">
        <v>14</v>
      </c>
      <c r="U30" s="668">
        <f t="shared" si="11"/>
        <v>100</v>
      </c>
      <c r="V30" s="667" t="s">
        <v>14</v>
      </c>
      <c r="W30" s="668">
        <f t="shared" si="12"/>
        <v>100</v>
      </c>
      <c r="X30" s="1265"/>
      <c r="Y30" s="344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41"/>
      <c r="Q31" s="1263">
        <f t="shared" si="8"/>
        <v>111</v>
      </c>
      <c r="R31" s="667" t="s">
        <v>14</v>
      </c>
      <c r="S31" s="668">
        <f t="shared" si="10"/>
        <v>100</v>
      </c>
      <c r="T31" s="667" t="s">
        <v>14</v>
      </c>
      <c r="U31" s="668">
        <f t="shared" si="11"/>
        <v>100</v>
      </c>
      <c r="V31" s="667" t="s">
        <v>14</v>
      </c>
      <c r="W31" s="668">
        <f t="shared" si="12"/>
        <v>100</v>
      </c>
      <c r="X31" s="1265"/>
      <c r="Y31" s="344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9" t="s">
        <v>1696</v>
      </c>
      <c r="Q32" s="1263">
        <f t="shared" si="8"/>
        <v>111</v>
      </c>
      <c r="R32" s="667" t="s">
        <v>14</v>
      </c>
      <c r="S32" s="668">
        <f t="shared" si="10"/>
        <v>100</v>
      </c>
      <c r="T32" s="667" t="s">
        <v>14</v>
      </c>
      <c r="U32" s="668">
        <f t="shared" si="11"/>
        <v>100</v>
      </c>
      <c r="V32" s="667" t="s">
        <v>14</v>
      </c>
      <c r="W32" s="668">
        <f t="shared" si="12"/>
        <v>100</v>
      </c>
      <c r="X32" s="1265"/>
      <c r="Y32" s="344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45"/>
      <c r="Q33" s="1263">
        <f t="shared" si="8"/>
        <v>111</v>
      </c>
      <c r="R33" s="669" t="s">
        <v>14</v>
      </c>
      <c r="S33" s="670">
        <f t="shared" si="10"/>
        <v>100</v>
      </c>
      <c r="T33" s="669" t="s">
        <v>14</v>
      </c>
      <c r="U33" s="670">
        <f t="shared" si="11"/>
        <v>100</v>
      </c>
      <c r="V33" s="669" t="s">
        <v>14</v>
      </c>
      <c r="W33" s="670">
        <f t="shared" si="12"/>
        <v>100</v>
      </c>
      <c r="X33" s="671"/>
      <c r="Y33" s="344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45"/>
      <c r="Q34" s="1263" t="str">
        <f>B34</f>
        <v>宗地面积</v>
      </c>
      <c r="R34" s="667" t="s">
        <v>14</v>
      </c>
      <c r="S34" s="668" t="e">
        <f t="shared" si="10"/>
        <v>#N/A</v>
      </c>
      <c r="T34" s="667" t="s">
        <v>14</v>
      </c>
      <c r="U34" s="668" t="e">
        <f t="shared" si="11"/>
        <v>#N/A</v>
      </c>
      <c r="V34" s="667" t="s">
        <v>14</v>
      </c>
      <c r="W34" s="668" t="e">
        <f t="shared" si="12"/>
        <v>#N/A</v>
      </c>
      <c r="X34" s="1265"/>
      <c r="Y34" s="344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45"/>
      <c r="Q35" s="1263" t="str">
        <f t="shared" ref="Q35:Q40" si="14">B35</f>
        <v>宗地形状</v>
      </c>
      <c r="R35" s="667" t="s">
        <v>14</v>
      </c>
      <c r="S35" s="668">
        <f t="shared" si="10"/>
        <v>100</v>
      </c>
      <c r="T35" s="667" t="s">
        <v>14</v>
      </c>
      <c r="U35" s="668">
        <f t="shared" si="11"/>
        <v>100</v>
      </c>
      <c r="V35" s="667" t="s">
        <v>14</v>
      </c>
      <c r="W35" s="668">
        <f t="shared" si="12"/>
        <v>100</v>
      </c>
      <c r="X35" s="1265"/>
      <c r="Y35" s="344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45"/>
      <c r="Q36" s="1263" t="str">
        <f t="shared" si="14"/>
        <v>宗地开发程度</v>
      </c>
      <c r="R36" s="664" t="s">
        <v>14</v>
      </c>
      <c r="S36" s="665">
        <f t="shared" si="10"/>
        <v>100</v>
      </c>
      <c r="T36" s="664" t="s">
        <v>14</v>
      </c>
      <c r="U36" s="665">
        <f t="shared" si="11"/>
        <v>100</v>
      </c>
      <c r="V36" s="664" t="s">
        <v>14</v>
      </c>
      <c r="W36" s="665">
        <f t="shared" si="12"/>
        <v>100</v>
      </c>
      <c r="X36" s="666"/>
      <c r="Y36" s="344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45" t="s">
        <v>1696</v>
      </c>
      <c r="Q37" s="1263" t="str">
        <f t="shared" si="14"/>
        <v>工程地质条件</v>
      </c>
      <c r="R37" s="667" t="s">
        <v>14</v>
      </c>
      <c r="S37" s="668">
        <f t="shared" si="10"/>
        <v>100</v>
      </c>
      <c r="T37" s="667" t="s">
        <v>14</v>
      </c>
      <c r="U37" s="668">
        <f t="shared" si="11"/>
        <v>100</v>
      </c>
      <c r="V37" s="667" t="s">
        <v>14</v>
      </c>
      <c r="W37" s="668">
        <f t="shared" si="12"/>
        <v>100</v>
      </c>
      <c r="X37" s="1265"/>
      <c r="Y37" s="344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45"/>
      <c r="Q38" s="1263">
        <f t="shared" si="14"/>
        <v>111</v>
      </c>
      <c r="R38" s="667" t="s">
        <v>14</v>
      </c>
      <c r="S38" s="668">
        <f t="shared" si="10"/>
        <v>100</v>
      </c>
      <c r="T38" s="667" t="s">
        <v>14</v>
      </c>
      <c r="U38" s="668">
        <f t="shared" si="11"/>
        <v>100</v>
      </c>
      <c r="V38" s="667" t="s">
        <v>14</v>
      </c>
      <c r="W38" s="668">
        <f t="shared" si="12"/>
        <v>100</v>
      </c>
      <c r="X38" s="1265"/>
      <c r="Y38" s="344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45"/>
      <c r="Q39" s="1263">
        <f t="shared" si="14"/>
        <v>111</v>
      </c>
      <c r="R39" s="667" t="s">
        <v>14</v>
      </c>
      <c r="S39" s="668">
        <f t="shared" si="10"/>
        <v>100</v>
      </c>
      <c r="T39" s="667" t="s">
        <v>14</v>
      </c>
      <c r="U39" s="668">
        <f t="shared" si="11"/>
        <v>100</v>
      </c>
      <c r="V39" s="667" t="s">
        <v>14</v>
      </c>
      <c r="W39" s="668">
        <f t="shared" si="12"/>
        <v>100</v>
      </c>
      <c r="X39" s="1265"/>
      <c r="Y39" s="344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45"/>
      <c r="Q40" s="1263">
        <f t="shared" si="14"/>
        <v>111</v>
      </c>
      <c r="R40" s="669" t="s">
        <v>14</v>
      </c>
      <c r="S40" s="670">
        <f t="shared" si="10"/>
        <v>100</v>
      </c>
      <c r="T40" s="669" t="s">
        <v>14</v>
      </c>
      <c r="U40" s="670">
        <f t="shared" si="11"/>
        <v>100</v>
      </c>
      <c r="V40" s="669" t="s">
        <v>14</v>
      </c>
      <c r="W40" s="670">
        <f t="shared" si="12"/>
        <v>100</v>
      </c>
      <c r="X40" s="671"/>
      <c r="Y40" s="344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39" t="str">
        <f>A41</f>
        <v>成交单价</v>
      </c>
      <c r="Q41" s="3439"/>
      <c r="R41" s="3434">
        <f>E41</f>
        <v>0</v>
      </c>
      <c r="S41" s="3434"/>
      <c r="T41" s="3434">
        <f>G41</f>
        <v>0</v>
      </c>
      <c r="U41" s="3434"/>
      <c r="V41" s="3434">
        <f>I41</f>
        <v>0</v>
      </c>
      <c r="W41" s="343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39" t="str">
        <f>A42</f>
        <v>比较价值（元/平方米）</v>
      </c>
      <c r="Q42" s="3439"/>
      <c r="R42" s="3468" t="e">
        <f>ROUND(PRODUCT(R41,AA7:AA40),0)</f>
        <v>#DIV/0!</v>
      </c>
      <c r="S42" s="3468"/>
      <c r="T42" s="3468" t="e">
        <f>ROUND(PRODUCT(T41,AB7:AB40),0)</f>
        <v>#DIV/0!</v>
      </c>
      <c r="U42" s="3468"/>
      <c r="V42" s="3468" t="e">
        <f>ROUND(PRODUCT(V41,AC7:AC40),0)</f>
        <v>#DIV/0!</v>
      </c>
      <c r="W42" s="346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6" t="str">
        <f>A43</f>
        <v>估价对象XX用房的比较价值（楼面单价，元/平方米）</v>
      </c>
      <c r="Q43" s="3437"/>
      <c r="R43" s="3469" t="e">
        <f>ROUND(IF(D42="简单平均",AVERAGE(R42:W42),R42*F42+T42*H42+V42*J42),0)</f>
        <v>#DIV/0!</v>
      </c>
      <c r="S43" s="3469"/>
      <c r="T43" s="3469"/>
      <c r="U43" s="3469"/>
      <c r="V43" s="3469"/>
      <c r="W43" s="346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22" t="s">
        <v>1887</v>
      </c>
      <c r="H50" s="3470"/>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1298.9000000000001</v>
      </c>
      <c r="F51" s="611" t="e">
        <f t="shared" ref="F51:F60" si="15">ROUND(B51*E51/10000,0)</f>
        <v>#DIV/0!</v>
      </c>
      <c r="G51" s="3421"/>
      <c r="H51" s="343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8" t="s">
        <v>2084</v>
      </c>
      <c r="D1" s="3479"/>
      <c r="E1" s="3479"/>
      <c r="F1" s="3479"/>
      <c r="G1" s="3479"/>
      <c r="H1" s="3479"/>
      <c r="I1" s="3479"/>
      <c r="J1" s="3479"/>
      <c r="K1" s="3479"/>
      <c r="L1" s="3479"/>
      <c r="M1" s="3479"/>
      <c r="N1" s="3479"/>
      <c r="O1" s="3479"/>
      <c r="P1" s="3479"/>
      <c r="Q1" s="3479"/>
      <c r="R1" s="3479"/>
      <c r="S1" s="348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5" t="s">
        <v>27</v>
      </c>
      <c r="D22" s="3476"/>
      <c r="E22" s="3476"/>
      <c r="F22" s="3476"/>
      <c r="G22" s="3476"/>
      <c r="H22" s="3476"/>
      <c r="I22" s="3476"/>
      <c r="J22" s="3476"/>
      <c r="K22" s="3476"/>
      <c r="L22" s="3476"/>
      <c r="M22" s="3476"/>
      <c r="N22" s="3476"/>
      <c r="O22" s="3476"/>
      <c r="P22" s="3476"/>
      <c r="Q22" s="347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488"/>
      <c r="B4" s="3489"/>
      <c r="C4" s="3489"/>
      <c r="D4" s="3490"/>
      <c r="E4" s="3490"/>
      <c r="F4" s="3490"/>
      <c r="G4" s="3490"/>
      <c r="H4" s="3490"/>
      <c r="I4" s="3490"/>
      <c r="J4" s="349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6"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85" t="s">
        <v>1960</v>
      </c>
      <c r="X8" s="348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87"/>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8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3243</v>
      </c>
      <c r="B17" s="3025" t="s">
        <v>3244</v>
      </c>
      <c r="C17" s="3034">
        <f>ROUND(IF(OR(E2="工业",E2="公共服务"),1,IF(AND(E18=0,E19=0),1,IF(AND(E18=J24,E19=G19),0.8,IF(E19=0,1+E17*(-0.2),1+E17*G17*(-0.2))))),4)</f>
        <v>1</v>
      </c>
      <c r="D17" s="3026" t="s">
        <v>3245</v>
      </c>
      <c r="E17" s="3034" t="e">
        <f>ROUND(G18/I18,2)</f>
        <v>#DIV/0!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3246</v>
      </c>
      <c r="E18" s="2355"/>
      <c r="F18" s="3028" t="s">
        <v>3249</v>
      </c>
      <c r="G18" s="3032">
        <f>ROUND(1-(1/(POWER(1+G24,E18))),4)</f>
        <v>0</v>
      </c>
      <c r="H18" s="3028" t="s">
        <v>3251</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92" t="s">
        <v>3252</v>
      </c>
      <c r="B20" s="159" t="s">
        <v>1994</v>
      </c>
      <c r="C20" s="3029" t="e">
        <f>ROUND(IF(F21="与级别开发程度一致",0,(G21-E21)/C21),0)</f>
        <v>#DIV/0!</v>
      </c>
      <c r="D20" s="3044" t="s">
        <v>1998</v>
      </c>
      <c r="E20" s="3045"/>
      <c r="F20" s="3498" t="s">
        <v>1995</v>
      </c>
      <c r="G20" s="3499"/>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4.4" thickBot="1">
      <c r="A21" s="349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45624</v>
      </c>
      <c r="H23" s="3046" t="s">
        <v>3254</v>
      </c>
      <c r="I23" s="3047" t="str">
        <f>IF(H23="季度增幅（自定义）",SUMIF(N25:N28,E2,O25:O28),"")</f>
        <v/>
      </c>
      <c r="J23" s="3138" t="s">
        <v>3253</v>
      </c>
      <c r="K23" s="1061"/>
      <c r="L23" s="1897" t="s">
        <v>2004</v>
      </c>
      <c r="M23" s="1241">
        <f>ROUND(SUMIF(地价!B2:G2,E2,地价!B16:G16),0)</f>
        <v>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39">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3264</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7"/>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2.8">
      <c r="A50" s="1970" t="s">
        <v>2052</v>
      </c>
      <c r="B50" s="1973" t="str">
        <f>估价对象房地状况!C4</f>
        <v>周边商业氛围较成熟，有华冠天地、房山商业大楼等项目，人流量较大，商业繁华度较好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79.2">
      <c r="A51" s="1970" t="s">
        <v>2053</v>
      </c>
      <c r="B51" s="1262" t="str">
        <f>估价对象房地状况!C18</f>
        <v>估价对象周边道路状况一般，有836、901、917等多条线路及燕房线经过，公共交通通达情况较好、停车便捷程度较好，综合评价交通便捷度较好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次干道-房山北大街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79.2">
      <c r="A56" s="1976" t="s">
        <v>2059</v>
      </c>
      <c r="B56" s="1240" t="str">
        <f>估价对象房地状况!C21</f>
        <v>商场（华冠天地、房山商业大楼）、医院（房山区中医院、房山区第一医院）、学校（房山中学）、餐饮等，公共配套设施较好。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区域自然环境：朝曦公园、迎宾公园；人文环境：无；综合评价环境状况一般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9.2">
      <c r="A62" s="1970" t="s">
        <v>2053</v>
      </c>
      <c r="B62" s="1262" t="str">
        <f>估价对象房地状况!C18</f>
        <v>估价对象周边道路状况一般，有836、901、917等多条线路及燕房线经过，公共交通通达情况较好、停车便捷程度较好，综合评价交通便捷度较好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次干道-房山北大街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商场（华冠天地、房山商业大楼）、医院（房山区中医院、房山区第一医院）、学校（房山中学）、餐饮等，公共配套设施较好。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区域自然环境：朝曦公园、迎宾公园；人文环境：无；综合评价环境状况一般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9.2">
      <c r="A73" s="1970" t="s">
        <v>2053</v>
      </c>
      <c r="B73" s="1262" t="str">
        <f>估价对象房地状况!C18</f>
        <v>估价对象周边道路状况一般，有836、901、917等多条线路及燕房线经过，公共交通通达情况较好、停车便捷程度较好，综合评价交通便捷度较好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次干道-房山北大街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商场（华冠天地、房山商业大楼）、医院（房山区中医院、房山区第一医院）、学校（房山中学）、餐饮等，公共配套设施较好。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区域自然环境：朝曦公园、迎宾公园；人文环境：无；综合评价环境状况一般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2610</v>
      </c>
      <c r="B91" s="3077">
        <f>1+E93</f>
        <v>1</v>
      </c>
      <c r="C91" s="3070"/>
      <c r="D91" s="3071"/>
      <c r="E91" s="1675"/>
      <c r="F91" s="1675"/>
      <c r="G91" s="3072"/>
      <c r="H91" s="3073"/>
      <c r="I91" s="3074"/>
      <c r="J91" s="3075"/>
      <c r="K91" s="3075"/>
      <c r="L91" s="3075"/>
      <c r="M91" s="3075"/>
      <c r="N91" s="3075"/>
    </row>
    <row r="92" spans="1:37" ht="25.2">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79.2">
      <c r="A94" s="3078" t="s">
        <v>3271</v>
      </c>
      <c r="B94" s="3069" t="str">
        <f>估价对象房地状况!C18</f>
        <v>估价对象周边道路状况一般，有836、901、917等多条线路及燕房线经过，公共交通通达情况较好、停车便捷程度较好，综合评价交通便捷度较好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次干道-房山北大街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79.2">
      <c r="A99" s="3078" t="s">
        <v>3275</v>
      </c>
      <c r="B99" s="3069" t="str">
        <f>估价对象房地状况!C21</f>
        <v>商场（华冠天地、房山商业大楼）、医院（房山区中医院、房山区第一医院）、学校（房山中学）、餐饮等，公共配套设施较好。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53.4" thickBot="1">
      <c r="A101" s="3079" t="s">
        <v>3277</v>
      </c>
      <c r="B101" s="3086" t="str">
        <f>估价对象房地状况!C20</f>
        <v>区域自然环境：朝曦公园、迎宾公园；人文环境：无；综合评价环境状况一般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94" t="s">
        <v>3292</v>
      </c>
      <c r="B103" s="3494"/>
      <c r="C103" s="3494"/>
      <c r="D103" s="3494"/>
      <c r="E103" s="3494"/>
      <c r="F103" s="3494"/>
      <c r="G103" s="3494"/>
      <c r="H103" s="3494"/>
      <c r="I103" s="3494"/>
      <c r="J103" s="3494"/>
      <c r="K103" s="1667"/>
      <c r="L103" s="1667"/>
      <c r="M103" s="1667"/>
      <c r="N103" s="1667"/>
    </row>
    <row r="104" spans="1:14">
      <c r="A104" s="3495" t="s">
        <v>3293</v>
      </c>
      <c r="B104" s="3495" t="s">
        <v>3294</v>
      </c>
      <c r="C104" s="3088" t="s">
        <v>3295</v>
      </c>
      <c r="D104" s="3089"/>
      <c r="E104" s="3089"/>
      <c r="F104" s="3089"/>
      <c r="G104" s="3089"/>
      <c r="H104" s="3089"/>
      <c r="I104" s="3089"/>
      <c r="J104" s="3090"/>
      <c r="K104" s="3091"/>
      <c r="L104" s="3091"/>
      <c r="M104" s="3091"/>
      <c r="N104" s="3091"/>
    </row>
    <row r="105" spans="1:14">
      <c r="A105" s="3495"/>
      <c r="B105" s="3495"/>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81"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2"/>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4" t="s">
        <v>3309</v>
      </c>
      <c r="B113" s="3484"/>
      <c r="C113" s="3484"/>
      <c r="D113" s="3484"/>
      <c r="E113" s="3484"/>
      <c r="F113" s="3484"/>
      <c r="G113" s="3484"/>
      <c r="H113" s="3484"/>
      <c r="I113" s="3484"/>
      <c r="J113" s="348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3310</v>
      </c>
      <c r="B116" s="3112">
        <f>G3</f>
        <v>0</v>
      </c>
      <c r="C116" s="3097" t="s">
        <v>3311</v>
      </c>
      <c r="D116" s="3098">
        <f>SUMPRODUCT((A118:A122=F116)*(B117:M117=H116)*B118:M122)</f>
        <v>0</v>
      </c>
      <c r="E116" s="162" t="s">
        <v>3312</v>
      </c>
      <c r="F116" s="3099">
        <f>E2</f>
        <v>0</v>
      </c>
      <c r="G116" s="162" t="s">
        <v>3313</v>
      </c>
      <c r="H116" s="3099">
        <f>G2</f>
        <v>0</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07" t="s">
        <v>2605</v>
      </c>
      <c r="B20" s="3500" t="s">
        <v>2626</v>
      </c>
      <c r="C20" s="2840" t="s">
        <v>2437</v>
      </c>
      <c r="D20" s="2841"/>
      <c r="E20" s="2842">
        <v>1</v>
      </c>
      <c r="F20" s="2843" t="s">
        <v>2438</v>
      </c>
      <c r="G20" s="2843"/>
    </row>
    <row r="21" spans="1:13" ht="19.5" customHeight="1">
      <c r="A21" s="3508"/>
      <c r="B21" s="3501"/>
      <c r="C21" s="2844" t="s">
        <v>2439</v>
      </c>
      <c r="D21" s="2845"/>
      <c r="E21" s="2846">
        <v>1</v>
      </c>
      <c r="F21" s="2843" t="s">
        <v>2440</v>
      </c>
      <c r="G21" s="2843"/>
    </row>
    <row r="22" spans="1:13" ht="19.5" customHeight="1">
      <c r="A22" s="3508"/>
      <c r="B22" s="3501"/>
      <c r="C22" s="2844" t="s">
        <v>2441</v>
      </c>
      <c r="D22" s="2845"/>
      <c r="E22" s="2846">
        <v>0.9</v>
      </c>
      <c r="F22" s="2843" t="s">
        <v>2442</v>
      </c>
      <c r="G22" s="2843"/>
    </row>
    <row r="23" spans="1:13" ht="19.5" customHeight="1">
      <c r="A23" s="3508"/>
      <c r="B23" s="3501"/>
      <c r="C23" s="2844" t="s">
        <v>2443</v>
      </c>
      <c r="D23" s="2845"/>
      <c r="E23" s="2846">
        <v>0.9</v>
      </c>
      <c r="F23" s="2843" t="s">
        <v>2444</v>
      </c>
      <c r="G23" s="2843"/>
    </row>
    <row r="24" spans="1:13" ht="19.5" customHeight="1">
      <c r="A24" s="3508"/>
      <c r="B24" s="3501"/>
      <c r="C24" s="2844" t="s">
        <v>2445</v>
      </c>
      <c r="D24" s="2845"/>
      <c r="E24" s="2846">
        <v>0.8</v>
      </c>
      <c r="F24" s="2843" t="s">
        <v>2446</v>
      </c>
      <c r="G24" s="2843"/>
    </row>
    <row r="25" spans="1:13" ht="19.5" customHeight="1" thickBot="1">
      <c r="A25" s="3509"/>
      <c r="B25" s="3502"/>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503" t="s">
        <v>2629</v>
      </c>
      <c r="B27" s="3500" t="s">
        <v>2610</v>
      </c>
      <c r="C27" s="2840" t="s">
        <v>2450</v>
      </c>
      <c r="D27" s="2841"/>
      <c r="E27" s="2842">
        <v>1</v>
      </c>
      <c r="F27" s="2843" t="s">
        <v>2451</v>
      </c>
      <c r="G27" s="2843"/>
    </row>
    <row r="28" spans="1:13" ht="19.5" customHeight="1">
      <c r="A28" s="3504"/>
      <c r="B28" s="3501"/>
      <c r="C28" s="2844" t="s">
        <v>2452</v>
      </c>
      <c r="D28" s="2845"/>
      <c r="E28" s="2846">
        <v>1</v>
      </c>
      <c r="F28" s="2843" t="s">
        <v>2453</v>
      </c>
      <c r="G28" s="2843"/>
    </row>
    <row r="29" spans="1:13" ht="19.5" customHeight="1">
      <c r="A29" s="3504"/>
      <c r="B29" s="3501"/>
      <c r="C29" s="2844" t="s">
        <v>2454</v>
      </c>
      <c r="D29" s="2845"/>
      <c r="E29" s="2846">
        <v>0.8</v>
      </c>
      <c r="F29" s="2843" t="s">
        <v>2455</v>
      </c>
      <c r="G29" s="2843"/>
    </row>
    <row r="30" spans="1:13" ht="19.5" customHeight="1">
      <c r="A30" s="3504"/>
      <c r="B30" s="3501"/>
      <c r="C30" s="2844" t="s">
        <v>2456</v>
      </c>
      <c r="D30" s="2845"/>
      <c r="E30" s="2846">
        <v>0.8</v>
      </c>
      <c r="F30" s="2843" t="s">
        <v>2457</v>
      </c>
      <c r="G30" s="2843"/>
    </row>
    <row r="31" spans="1:13" ht="19.5" customHeight="1">
      <c r="A31" s="3504"/>
      <c r="B31" s="3501"/>
      <c r="C31" s="2844" t="s">
        <v>2458</v>
      </c>
      <c r="D31" s="2845"/>
      <c r="E31" s="2846">
        <v>0.8</v>
      </c>
      <c r="F31" s="2843" t="s">
        <v>2459</v>
      </c>
      <c r="G31" s="2843"/>
    </row>
    <row r="32" spans="1:13" ht="19.5" customHeight="1">
      <c r="A32" s="3504"/>
      <c r="B32" s="3501"/>
      <c r="C32" s="2844" t="s">
        <v>2460</v>
      </c>
      <c r="D32" s="2845"/>
      <c r="E32" s="2846">
        <v>0.7</v>
      </c>
      <c r="F32" s="2843" t="s">
        <v>2461</v>
      </c>
      <c r="G32" s="2843"/>
    </row>
    <row r="33" spans="1:7" ht="19.5" customHeight="1">
      <c r="A33" s="3504"/>
      <c r="B33" s="3501"/>
      <c r="C33" s="2844" t="s">
        <v>2462</v>
      </c>
      <c r="D33" s="2845"/>
      <c r="E33" s="2846">
        <v>0.8</v>
      </c>
      <c r="F33" s="2843" t="s">
        <v>2463</v>
      </c>
      <c r="G33" s="2843"/>
    </row>
    <row r="34" spans="1:7" ht="19.5" customHeight="1">
      <c r="A34" s="3504"/>
      <c r="B34" s="3501"/>
      <c r="C34" s="2844" t="s">
        <v>2464</v>
      </c>
      <c r="D34" s="2845"/>
      <c r="E34" s="2846">
        <v>0.6</v>
      </c>
      <c r="F34" s="2843" t="s">
        <v>2465</v>
      </c>
      <c r="G34" s="2843"/>
    </row>
    <row r="35" spans="1:7" ht="19.5" customHeight="1">
      <c r="A35" s="3504"/>
      <c r="B35" s="3501"/>
      <c r="C35" s="2844" t="s">
        <v>2466</v>
      </c>
      <c r="D35" s="2845"/>
      <c r="E35" s="2846">
        <v>0.2</v>
      </c>
      <c r="F35" s="2843" t="s">
        <v>2467</v>
      </c>
      <c r="G35" s="2843"/>
    </row>
    <row r="36" spans="1:7" ht="19.5" customHeight="1">
      <c r="A36" s="3504"/>
      <c r="B36" s="3501"/>
      <c r="C36" s="2844" t="s">
        <v>2468</v>
      </c>
      <c r="D36" s="2845"/>
      <c r="E36" s="2846">
        <v>0.2</v>
      </c>
      <c r="F36" s="2843" t="s">
        <v>2469</v>
      </c>
      <c r="G36" s="2843"/>
    </row>
    <row r="37" spans="1:7" ht="19.5" customHeight="1">
      <c r="A37" s="3504"/>
      <c r="B37" s="3506" t="s">
        <v>2630</v>
      </c>
      <c r="C37" s="2844" t="s">
        <v>2470</v>
      </c>
      <c r="D37" s="2845"/>
      <c r="E37" s="2846">
        <v>0.6</v>
      </c>
      <c r="F37" s="2843" t="s">
        <v>2471</v>
      </c>
      <c r="G37" s="2843"/>
    </row>
    <row r="38" spans="1:7" ht="19.5" customHeight="1">
      <c r="A38" s="3504"/>
      <c r="B38" s="3501"/>
      <c r="C38" s="2844" t="s">
        <v>2472</v>
      </c>
      <c r="D38" s="2845"/>
      <c r="E38" s="2846">
        <v>0.6</v>
      </c>
      <c r="F38" s="2843" t="s">
        <v>2473</v>
      </c>
      <c r="G38" s="2843"/>
    </row>
    <row r="39" spans="1:7" ht="19.5" customHeight="1" thickBot="1">
      <c r="A39" s="3505"/>
      <c r="B39" s="3502"/>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507" t="s">
        <v>2608</v>
      </c>
      <c r="B41" s="3500" t="s">
        <v>2632</v>
      </c>
      <c r="C41" s="2840" t="s">
        <v>2477</v>
      </c>
      <c r="D41" s="2841"/>
      <c r="E41" s="2842">
        <v>1</v>
      </c>
      <c r="F41" s="2843" t="s">
        <v>2478</v>
      </c>
      <c r="G41" s="2843"/>
    </row>
    <row r="42" spans="1:7" ht="19.5" customHeight="1">
      <c r="A42" s="3508"/>
      <c r="B42" s="3501"/>
      <c r="C42" s="2844" t="s">
        <v>2479</v>
      </c>
      <c r="D42" s="2845"/>
      <c r="E42" s="2846">
        <v>1</v>
      </c>
      <c r="F42" s="2843" t="s">
        <v>2480</v>
      </c>
      <c r="G42" s="2843"/>
    </row>
    <row r="43" spans="1:7" ht="19.5" customHeight="1">
      <c r="A43" s="3508"/>
      <c r="B43" s="3510"/>
      <c r="C43" s="2844" t="s">
        <v>2481</v>
      </c>
      <c r="D43" s="2845"/>
      <c r="E43" s="2846">
        <v>1.5</v>
      </c>
      <c r="F43" s="2843" t="s">
        <v>2482</v>
      </c>
      <c r="G43" s="2843"/>
    </row>
    <row r="44" spans="1:7" ht="19.5" customHeight="1">
      <c r="A44" s="3508"/>
      <c r="B44" s="2855" t="s">
        <v>2633</v>
      </c>
      <c r="C44" s="2844" t="s">
        <v>2634</v>
      </c>
      <c r="D44" s="2845"/>
      <c r="E44" s="2846">
        <v>2</v>
      </c>
      <c r="F44" s="2843" t="s">
        <v>2483</v>
      </c>
      <c r="G44" s="2843"/>
    </row>
    <row r="45" spans="1:7" ht="19.5" customHeight="1">
      <c r="A45" s="3508"/>
      <c r="B45" s="3506" t="s">
        <v>2635</v>
      </c>
      <c r="C45" s="2844" t="s">
        <v>2484</v>
      </c>
      <c r="D45" s="2845"/>
      <c r="E45" s="2846">
        <v>1</v>
      </c>
      <c r="F45" s="2843" t="s">
        <v>2485</v>
      </c>
      <c r="G45" s="2843"/>
    </row>
    <row r="46" spans="1:7" ht="19.5" customHeight="1">
      <c r="A46" s="3508"/>
      <c r="B46" s="3501"/>
      <c r="C46" s="2844" t="s">
        <v>2486</v>
      </c>
      <c r="D46" s="2845"/>
      <c r="E46" s="2846">
        <v>1</v>
      </c>
      <c r="F46" s="2843" t="s">
        <v>2487</v>
      </c>
      <c r="G46" s="2843"/>
    </row>
    <row r="47" spans="1:7" ht="19.5" customHeight="1">
      <c r="A47" s="3508"/>
      <c r="B47" s="3501"/>
      <c r="C47" s="2844" t="s">
        <v>2488</v>
      </c>
      <c r="D47" s="2845"/>
      <c r="E47" s="2846">
        <v>1</v>
      </c>
      <c r="F47" s="2843" t="s">
        <v>2489</v>
      </c>
      <c r="G47" s="2843"/>
    </row>
    <row r="48" spans="1:7" ht="19.5" customHeight="1">
      <c r="A48" s="3508"/>
      <c r="B48" s="3501"/>
      <c r="C48" s="2844" t="s">
        <v>2490</v>
      </c>
      <c r="D48" s="2845"/>
      <c r="E48" s="2846">
        <v>1</v>
      </c>
      <c r="F48" s="2843" t="s">
        <v>2491</v>
      </c>
      <c r="G48" s="2843"/>
    </row>
    <row r="49" spans="1:7" ht="19.5" customHeight="1">
      <c r="A49" s="3508"/>
      <c r="B49" s="3501"/>
      <c r="C49" s="2844" t="s">
        <v>2492</v>
      </c>
      <c r="D49" s="2845"/>
      <c r="E49" s="2846">
        <v>1</v>
      </c>
      <c r="F49" s="2843" t="s">
        <v>2493</v>
      </c>
      <c r="G49" s="2843"/>
    </row>
    <row r="50" spans="1:7" ht="19.5" customHeight="1">
      <c r="A50" s="3508"/>
      <c r="B50" s="3501"/>
      <c r="C50" s="2844" t="s">
        <v>2494</v>
      </c>
      <c r="D50" s="2845"/>
      <c r="E50" s="2846">
        <v>1</v>
      </c>
      <c r="F50" s="2843" t="s">
        <v>2495</v>
      </c>
      <c r="G50" s="2843"/>
    </row>
    <row r="51" spans="1:7" ht="19.5" customHeight="1" thickBot="1">
      <c r="A51" s="3509"/>
      <c r="B51" s="3502"/>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4.4">
      <c r="A72" s="2855"/>
      <c r="B72" s="2855"/>
      <c r="C72" s="2855" t="s">
        <v>2648</v>
      </c>
      <c r="D72" s="2855"/>
      <c r="E72" s="2855" t="s">
        <v>2619</v>
      </c>
      <c r="F72" s="2855" t="s">
        <v>2619</v>
      </c>
    </row>
    <row r="73" spans="1:7" ht="14.4">
      <c r="A73" s="2855">
        <v>1</v>
      </c>
      <c r="B73" s="3506" t="s">
        <v>2649</v>
      </c>
      <c r="C73" s="2829" t="s">
        <v>2650</v>
      </c>
      <c r="D73" s="2829" t="s">
        <v>2651</v>
      </c>
      <c r="E73" s="2855">
        <v>0.2</v>
      </c>
      <c r="F73" s="2855">
        <v>25</v>
      </c>
    </row>
    <row r="74" spans="1:7" ht="24">
      <c r="A74" s="2855">
        <v>2</v>
      </c>
      <c r="B74" s="3501"/>
      <c r="C74" s="2829" t="s">
        <v>2652</v>
      </c>
      <c r="D74" s="2829" t="s">
        <v>2653</v>
      </c>
      <c r="E74" s="2855">
        <v>0.2</v>
      </c>
      <c r="F74" s="2855">
        <v>25</v>
      </c>
    </row>
    <row r="75" spans="1:7" ht="24">
      <c r="A75" s="2855">
        <v>3</v>
      </c>
      <c r="B75" s="3501"/>
      <c r="C75" s="2829" t="s">
        <v>2654</v>
      </c>
      <c r="D75" s="2829" t="s">
        <v>2655</v>
      </c>
      <c r="E75" s="2855">
        <v>0.2</v>
      </c>
      <c r="F75" s="2855">
        <v>25</v>
      </c>
    </row>
    <row r="76" spans="1:7" ht="14.4">
      <c r="A76" s="2855">
        <v>4</v>
      </c>
      <c r="B76" s="3501"/>
      <c r="C76" s="2829" t="s">
        <v>2656</v>
      </c>
      <c r="D76" s="2829" t="s">
        <v>2657</v>
      </c>
      <c r="E76" s="2855">
        <v>0.15</v>
      </c>
      <c r="F76" s="2855">
        <v>20</v>
      </c>
    </row>
    <row r="77" spans="1:7" ht="24">
      <c r="A77" s="2855">
        <v>5</v>
      </c>
      <c r="B77" s="3501"/>
      <c r="C77" s="2829" t="s">
        <v>2658</v>
      </c>
      <c r="D77" s="2829" t="s">
        <v>2659</v>
      </c>
      <c r="E77" s="2855">
        <v>0.15</v>
      </c>
      <c r="F77" s="2855">
        <v>20</v>
      </c>
    </row>
    <row r="78" spans="1:7" ht="24">
      <c r="A78" s="2855">
        <v>6</v>
      </c>
      <c r="B78" s="3501"/>
      <c r="C78" s="2829" t="s">
        <v>2660</v>
      </c>
      <c r="D78" s="2829" t="s">
        <v>2661</v>
      </c>
      <c r="E78" s="2855">
        <v>0.15</v>
      </c>
      <c r="F78" s="2855">
        <v>20</v>
      </c>
    </row>
    <row r="79" spans="1:7" ht="24">
      <c r="A79" s="2855">
        <v>7</v>
      </c>
      <c r="B79" s="3501"/>
      <c r="C79" s="2829" t="s">
        <v>2662</v>
      </c>
      <c r="D79" s="2829" t="s">
        <v>2663</v>
      </c>
      <c r="E79" s="2855">
        <v>0.15</v>
      </c>
      <c r="F79" s="2855">
        <v>20</v>
      </c>
    </row>
    <row r="80" spans="1:7" ht="24">
      <c r="A80" s="2855">
        <v>8</v>
      </c>
      <c r="B80" s="3501"/>
      <c r="C80" s="2829" t="s">
        <v>2664</v>
      </c>
      <c r="D80" s="2829" t="s">
        <v>2665</v>
      </c>
      <c r="E80" s="2855">
        <v>0.1</v>
      </c>
      <c r="F80" s="2855">
        <v>15</v>
      </c>
    </row>
    <row r="81" spans="1:6" ht="24">
      <c r="A81" s="2855">
        <v>9</v>
      </c>
      <c r="B81" s="3501"/>
      <c r="C81" s="2829" t="s">
        <v>2666</v>
      </c>
      <c r="D81" s="2829" t="s">
        <v>2667</v>
      </c>
      <c r="E81" s="2855">
        <v>0.1</v>
      </c>
      <c r="F81" s="2855">
        <v>15</v>
      </c>
    </row>
    <row r="82" spans="1:6" ht="24">
      <c r="A82" s="2855">
        <v>10</v>
      </c>
      <c r="B82" s="3501"/>
      <c r="C82" s="2829" t="s">
        <v>2668</v>
      </c>
      <c r="D82" s="2829" t="s">
        <v>2669</v>
      </c>
      <c r="E82" s="2855">
        <v>0.1</v>
      </c>
      <c r="F82" s="2855">
        <v>15</v>
      </c>
    </row>
    <row r="83" spans="1:6" ht="24">
      <c r="A83" s="2855">
        <v>11</v>
      </c>
      <c r="B83" s="3501"/>
      <c r="C83" s="2829" t="s">
        <v>2670</v>
      </c>
      <c r="D83" s="2829" t="s">
        <v>2671</v>
      </c>
      <c r="E83" s="2855">
        <v>0.1</v>
      </c>
      <c r="F83" s="2855">
        <v>15</v>
      </c>
    </row>
    <row r="84" spans="1:6" ht="24">
      <c r="A84" s="2855">
        <v>12</v>
      </c>
      <c r="B84" s="3501"/>
      <c r="C84" s="2829" t="s">
        <v>2672</v>
      </c>
      <c r="D84" s="2829" t="s">
        <v>2673</v>
      </c>
      <c r="E84" s="2855">
        <v>0.1</v>
      </c>
      <c r="F84" s="2855">
        <v>15</v>
      </c>
    </row>
    <row r="85" spans="1:6" ht="24">
      <c r="A85" s="2855">
        <v>13</v>
      </c>
      <c r="B85" s="3501"/>
      <c r="C85" s="2829" t="s">
        <v>2674</v>
      </c>
      <c r="D85" s="2829" t="s">
        <v>2675</v>
      </c>
      <c r="E85" s="2855">
        <v>0.1</v>
      </c>
      <c r="F85" s="2855">
        <v>15</v>
      </c>
    </row>
    <row r="86" spans="1:6" ht="24">
      <c r="A86" s="2855">
        <v>14</v>
      </c>
      <c r="B86" s="3501"/>
      <c r="C86" s="2829" t="s">
        <v>2676</v>
      </c>
      <c r="D86" s="2829" t="s">
        <v>2677</v>
      </c>
      <c r="E86" s="2855">
        <v>0.1</v>
      </c>
      <c r="F86" s="2855">
        <v>15</v>
      </c>
    </row>
    <row r="87" spans="1:6" ht="24">
      <c r="A87" s="2855">
        <v>15</v>
      </c>
      <c r="B87" s="3501"/>
      <c r="C87" s="2829" t="s">
        <v>2678</v>
      </c>
      <c r="D87" s="2829" t="s">
        <v>2679</v>
      </c>
      <c r="E87" s="2855">
        <v>0.1</v>
      </c>
      <c r="F87" s="2855">
        <v>15</v>
      </c>
    </row>
    <row r="88" spans="1:6" ht="24">
      <c r="A88" s="2855">
        <v>16</v>
      </c>
      <c r="B88" s="3501"/>
      <c r="C88" s="2829" t="s">
        <v>2680</v>
      </c>
      <c r="D88" s="2829" t="s">
        <v>2681</v>
      </c>
      <c r="E88" s="2855">
        <v>0.1</v>
      </c>
      <c r="F88" s="2855">
        <v>15</v>
      </c>
    </row>
    <row r="89" spans="1:6" ht="24">
      <c r="A89" s="2855">
        <v>17</v>
      </c>
      <c r="B89" s="3510"/>
      <c r="C89" s="2829" t="s">
        <v>2682</v>
      </c>
      <c r="D89" s="2829" t="s">
        <v>2683</v>
      </c>
      <c r="E89" s="2855">
        <v>0.1</v>
      </c>
      <c r="F89" s="2855">
        <v>15</v>
      </c>
    </row>
    <row r="90" spans="1:6" ht="14.4">
      <c r="A90" s="2855">
        <v>18</v>
      </c>
      <c r="B90" s="3506" t="s">
        <v>2684</v>
      </c>
      <c r="C90" s="2829" t="s">
        <v>2685</v>
      </c>
      <c r="D90" s="2829" t="s">
        <v>2686</v>
      </c>
      <c r="E90" s="2855">
        <v>0.2</v>
      </c>
      <c r="F90" s="2855">
        <v>25</v>
      </c>
    </row>
    <row r="91" spans="1:6" ht="24">
      <c r="A91" s="2855">
        <v>19</v>
      </c>
      <c r="B91" s="3501"/>
      <c r="C91" s="2829" t="s">
        <v>2687</v>
      </c>
      <c r="D91" s="2829" t="s">
        <v>2688</v>
      </c>
      <c r="E91" s="2855">
        <v>0.2</v>
      </c>
      <c r="F91" s="2855">
        <v>25</v>
      </c>
    </row>
    <row r="92" spans="1:6" ht="14.4">
      <c r="A92" s="2855">
        <v>20</v>
      </c>
      <c r="B92" s="3501"/>
      <c r="C92" s="2829" t="s">
        <v>2689</v>
      </c>
      <c r="D92" s="2829" t="s">
        <v>2690</v>
      </c>
      <c r="E92" s="2855">
        <v>0.15</v>
      </c>
      <c r="F92" s="2855">
        <v>20</v>
      </c>
    </row>
    <row r="93" spans="1:6" ht="24">
      <c r="A93" s="2855">
        <v>21</v>
      </c>
      <c r="B93" s="3501"/>
      <c r="C93" s="2829" t="s">
        <v>2691</v>
      </c>
      <c r="D93" s="2829" t="s">
        <v>2692</v>
      </c>
      <c r="E93" s="2855">
        <v>0.15</v>
      </c>
      <c r="F93" s="2855">
        <v>20</v>
      </c>
    </row>
    <row r="94" spans="1:6" ht="24">
      <c r="A94" s="2855">
        <v>22</v>
      </c>
      <c r="B94" s="3501"/>
      <c r="C94" s="2829" t="s">
        <v>2693</v>
      </c>
      <c r="D94" s="2829" t="s">
        <v>2694</v>
      </c>
      <c r="E94" s="2855">
        <v>0.15</v>
      </c>
      <c r="F94" s="2855">
        <v>20</v>
      </c>
    </row>
    <row r="95" spans="1:6" ht="36">
      <c r="A95" s="2855">
        <v>23</v>
      </c>
      <c r="B95" s="3501"/>
      <c r="C95" s="2829" t="s">
        <v>2695</v>
      </c>
      <c r="D95" s="2829" t="s">
        <v>2696</v>
      </c>
      <c r="E95" s="2855">
        <v>0.15</v>
      </c>
      <c r="F95" s="2855">
        <v>20</v>
      </c>
    </row>
    <row r="96" spans="1:6" ht="24">
      <c r="A96" s="2855">
        <v>24</v>
      </c>
      <c r="B96" s="3501"/>
      <c r="C96" s="2829" t="s">
        <v>2697</v>
      </c>
      <c r="D96" s="2829" t="s">
        <v>2698</v>
      </c>
      <c r="E96" s="2855">
        <v>0.1</v>
      </c>
      <c r="F96" s="2855">
        <v>15</v>
      </c>
    </row>
    <row r="97" spans="1:6" ht="24">
      <c r="A97" s="2855">
        <v>25</v>
      </c>
      <c r="B97" s="3501"/>
      <c r="C97" s="2829" t="s">
        <v>2699</v>
      </c>
      <c r="D97" s="2829" t="s">
        <v>2700</v>
      </c>
      <c r="E97" s="2855">
        <v>0.1</v>
      </c>
      <c r="F97" s="2855">
        <v>15</v>
      </c>
    </row>
    <row r="98" spans="1:6" ht="24">
      <c r="A98" s="2855">
        <v>26</v>
      </c>
      <c r="B98" s="3501"/>
      <c r="C98" s="2829" t="s">
        <v>2701</v>
      </c>
      <c r="D98" s="2829" t="s">
        <v>2702</v>
      </c>
      <c r="E98" s="2855">
        <v>0.1</v>
      </c>
      <c r="F98" s="2855">
        <v>15</v>
      </c>
    </row>
    <row r="99" spans="1:6" ht="24">
      <c r="A99" s="2855">
        <v>27</v>
      </c>
      <c r="B99" s="3501"/>
      <c r="C99" s="2829" t="s">
        <v>2703</v>
      </c>
      <c r="D99" s="2829" t="s">
        <v>2704</v>
      </c>
      <c r="E99" s="2855">
        <v>0.1</v>
      </c>
      <c r="F99" s="2855">
        <v>15</v>
      </c>
    </row>
    <row r="100" spans="1:6" ht="24">
      <c r="A100" s="2855">
        <v>28</v>
      </c>
      <c r="B100" s="3501"/>
      <c r="C100" s="2829" t="s">
        <v>2705</v>
      </c>
      <c r="D100" s="2829" t="s">
        <v>2706</v>
      </c>
      <c r="E100" s="2855">
        <v>0.1</v>
      </c>
      <c r="F100" s="2855">
        <v>15</v>
      </c>
    </row>
    <row r="101" spans="1:6" ht="24">
      <c r="A101" s="2855">
        <v>29</v>
      </c>
      <c r="B101" s="3501"/>
      <c r="C101" s="2829" t="s">
        <v>2707</v>
      </c>
      <c r="D101" s="2829" t="s">
        <v>2708</v>
      </c>
      <c r="E101" s="2855">
        <v>0.1</v>
      </c>
      <c r="F101" s="2855">
        <v>15</v>
      </c>
    </row>
    <row r="102" spans="1:6" ht="24">
      <c r="A102" s="2855">
        <v>30</v>
      </c>
      <c r="B102" s="3501"/>
      <c r="C102" s="2829" t="s">
        <v>2709</v>
      </c>
      <c r="D102" s="2829" t="s">
        <v>2710</v>
      </c>
      <c r="E102" s="2855">
        <v>0.1</v>
      </c>
      <c r="F102" s="2855">
        <v>15</v>
      </c>
    </row>
    <row r="103" spans="1:6" ht="24">
      <c r="A103" s="2855">
        <v>31</v>
      </c>
      <c r="B103" s="3501"/>
      <c r="C103" s="2829" t="s">
        <v>2711</v>
      </c>
      <c r="D103" s="2829" t="s">
        <v>2712</v>
      </c>
      <c r="E103" s="2855">
        <v>0.1</v>
      </c>
      <c r="F103" s="2855">
        <v>15</v>
      </c>
    </row>
    <row r="104" spans="1:6" ht="24">
      <c r="A104" s="2855">
        <v>32</v>
      </c>
      <c r="B104" s="3501"/>
      <c r="C104" s="2829" t="s">
        <v>2713</v>
      </c>
      <c r="D104" s="2829" t="s">
        <v>2714</v>
      </c>
      <c r="E104" s="2855">
        <v>0.1</v>
      </c>
      <c r="F104" s="2855">
        <v>15</v>
      </c>
    </row>
    <row r="105" spans="1:6" ht="24">
      <c r="A105" s="2855">
        <v>33</v>
      </c>
      <c r="B105" s="3501"/>
      <c r="C105" s="2829" t="s">
        <v>2715</v>
      </c>
      <c r="D105" s="2829" t="s">
        <v>2716</v>
      </c>
      <c r="E105" s="2855">
        <v>0.1</v>
      </c>
      <c r="F105" s="2855">
        <v>15</v>
      </c>
    </row>
    <row r="106" spans="1:6" ht="24">
      <c r="A106" s="2855">
        <v>34</v>
      </c>
      <c r="B106" s="3510"/>
      <c r="C106" s="2829" t="s">
        <v>2717</v>
      </c>
      <c r="D106" s="2829" t="s">
        <v>2718</v>
      </c>
      <c r="E106" s="2855">
        <v>0.1</v>
      </c>
      <c r="F106" s="2855">
        <v>15</v>
      </c>
    </row>
    <row r="107" spans="1:6" ht="36">
      <c r="A107" s="2855">
        <v>35</v>
      </c>
      <c r="B107" s="3506" t="s">
        <v>2719</v>
      </c>
      <c r="C107" s="2855" t="s">
        <v>2720</v>
      </c>
      <c r="D107" s="2829" t="s">
        <v>2721</v>
      </c>
      <c r="E107" s="2855">
        <v>0.15</v>
      </c>
      <c r="F107" s="2855">
        <v>20</v>
      </c>
    </row>
    <row r="108" spans="1:6" ht="24">
      <c r="A108" s="2855">
        <v>36</v>
      </c>
      <c r="B108" s="3501"/>
      <c r="C108" s="2855" t="s">
        <v>2722</v>
      </c>
      <c r="D108" s="2829" t="s">
        <v>2723</v>
      </c>
      <c r="E108" s="2855">
        <v>0.15</v>
      </c>
      <c r="F108" s="2855">
        <v>20</v>
      </c>
    </row>
    <row r="109" spans="1:6" ht="24">
      <c r="A109" s="2855">
        <v>37</v>
      </c>
      <c r="B109" s="3501"/>
      <c r="C109" s="2855" t="s">
        <v>2724</v>
      </c>
      <c r="D109" s="2829" t="s">
        <v>2725</v>
      </c>
      <c r="E109" s="2855">
        <v>0.15</v>
      </c>
      <c r="F109" s="2855">
        <v>20</v>
      </c>
    </row>
    <row r="110" spans="1:6" ht="24">
      <c r="A110" s="2855">
        <v>38</v>
      </c>
      <c r="B110" s="3501"/>
      <c r="C110" s="2855" t="s">
        <v>2726</v>
      </c>
      <c r="D110" s="2829" t="s">
        <v>2727</v>
      </c>
      <c r="E110" s="2855">
        <v>0.1</v>
      </c>
      <c r="F110" s="2855">
        <v>15</v>
      </c>
    </row>
    <row r="111" spans="1:6" ht="24">
      <c r="A111" s="2855">
        <v>39</v>
      </c>
      <c r="B111" s="3501"/>
      <c r="C111" s="2855" t="s">
        <v>2728</v>
      </c>
      <c r="D111" s="2829" t="s">
        <v>2729</v>
      </c>
      <c r="E111" s="2855">
        <v>0.1</v>
      </c>
      <c r="F111" s="2855">
        <v>15</v>
      </c>
    </row>
    <row r="112" spans="1:6" ht="24">
      <c r="A112" s="2855">
        <v>40</v>
      </c>
      <c r="B112" s="3510"/>
      <c r="C112" s="2855" t="s">
        <v>2730</v>
      </c>
      <c r="D112" s="2829" t="s">
        <v>2731</v>
      </c>
      <c r="E112" s="2855">
        <v>0.1</v>
      </c>
      <c r="F112" s="2855">
        <v>15</v>
      </c>
    </row>
    <row r="113" spans="1:6" ht="24">
      <c r="A113" s="2855">
        <v>41</v>
      </c>
      <c r="B113" s="3511" t="s">
        <v>2732</v>
      </c>
      <c r="C113" s="2855" t="s">
        <v>2733</v>
      </c>
      <c r="D113" s="2829" t="s">
        <v>2734</v>
      </c>
      <c r="E113" s="2855">
        <v>0.1</v>
      </c>
      <c r="F113" s="2855">
        <v>15</v>
      </c>
    </row>
    <row r="114" spans="1:6" ht="24">
      <c r="A114" s="2855">
        <v>42</v>
      </c>
      <c r="B114" s="3511"/>
      <c r="C114" s="2855" t="s">
        <v>2735</v>
      </c>
      <c r="D114" s="2829" t="s">
        <v>2736</v>
      </c>
      <c r="E114" s="2855">
        <v>0.1</v>
      </c>
      <c r="F114" s="2855">
        <v>15</v>
      </c>
    </row>
    <row r="115" spans="1:6" ht="24">
      <c r="A115" s="2855">
        <v>43</v>
      </c>
      <c r="B115" s="3511"/>
      <c r="C115" s="2855" t="s">
        <v>2737</v>
      </c>
      <c r="D115" s="2829" t="s">
        <v>2738</v>
      </c>
      <c r="E115" s="2855">
        <v>0.1</v>
      </c>
      <c r="F115" s="2855">
        <v>15</v>
      </c>
    </row>
    <row r="116" spans="1:6" ht="24">
      <c r="A116" s="2855">
        <v>44</v>
      </c>
      <c r="B116" s="3506" t="s">
        <v>2739</v>
      </c>
      <c r="C116" s="2855" t="s">
        <v>2740</v>
      </c>
      <c r="D116" s="2829" t="s">
        <v>2741</v>
      </c>
      <c r="E116" s="2855">
        <v>0.1</v>
      </c>
      <c r="F116" s="2855">
        <v>15</v>
      </c>
    </row>
    <row r="117" spans="1:6" ht="24">
      <c r="A117" s="2855">
        <v>45</v>
      </c>
      <c r="B117" s="3510"/>
      <c r="C117" s="2829" t="s">
        <v>2742</v>
      </c>
      <c r="D117" s="2829" t="s">
        <v>2743</v>
      </c>
      <c r="E117" s="2855">
        <v>0.1</v>
      </c>
      <c r="F117" s="2855">
        <v>15</v>
      </c>
    </row>
    <row r="118" spans="1:6" ht="24">
      <c r="A118" s="2855">
        <v>46</v>
      </c>
      <c r="B118" s="3506" t="s">
        <v>2744</v>
      </c>
      <c r="C118" s="2855" t="s">
        <v>2745</v>
      </c>
      <c r="D118" s="2829" t="s">
        <v>2746</v>
      </c>
      <c r="E118" s="2855">
        <v>0.1</v>
      </c>
      <c r="F118" s="2855">
        <v>15</v>
      </c>
    </row>
    <row r="119" spans="1:6" ht="24">
      <c r="A119" s="2855">
        <v>47</v>
      </c>
      <c r="B119" s="3510"/>
      <c r="C119" s="2855" t="s">
        <v>2747</v>
      </c>
      <c r="D119" s="2829" t="s">
        <v>2748</v>
      </c>
      <c r="E119" s="2855">
        <v>0.1</v>
      </c>
      <c r="F119" s="2855">
        <v>15</v>
      </c>
    </row>
    <row r="120" spans="1:6" ht="24">
      <c r="A120" s="2855">
        <v>48</v>
      </c>
      <c r="B120" s="3506" t="s">
        <v>2749</v>
      </c>
      <c r="C120" s="2855" t="s">
        <v>2750</v>
      </c>
      <c r="D120" s="2829" t="s">
        <v>2751</v>
      </c>
      <c r="E120" s="2855">
        <v>0.1</v>
      </c>
      <c r="F120" s="2855">
        <v>15</v>
      </c>
    </row>
    <row r="121" spans="1:6" ht="24">
      <c r="A121" s="2855">
        <v>49</v>
      </c>
      <c r="B121" s="3510"/>
      <c r="C121" s="2855" t="s">
        <v>2752</v>
      </c>
      <c r="D121" s="2829" t="s">
        <v>2753</v>
      </c>
      <c r="E121" s="2855">
        <v>0.1</v>
      </c>
      <c r="F121" s="2855">
        <v>15</v>
      </c>
    </row>
    <row r="122" spans="1:6" ht="24">
      <c r="A122" s="2855">
        <v>50</v>
      </c>
      <c r="B122" s="3511" t="s">
        <v>2754</v>
      </c>
      <c r="C122" s="2855" t="s">
        <v>2755</v>
      </c>
      <c r="D122" s="2829" t="s">
        <v>2756</v>
      </c>
      <c r="E122" s="2855">
        <v>0.1</v>
      </c>
      <c r="F122" s="2855">
        <v>15</v>
      </c>
    </row>
    <row r="123" spans="1:6" ht="24">
      <c r="A123" s="2855">
        <v>51</v>
      </c>
      <c r="B123" s="3511"/>
      <c r="C123" s="2855" t="s">
        <v>2757</v>
      </c>
      <c r="D123" s="2829" t="s">
        <v>2758</v>
      </c>
      <c r="E123" s="2855">
        <v>0.1</v>
      </c>
      <c r="F123" s="2855">
        <v>15</v>
      </c>
    </row>
    <row r="124" spans="1:6" ht="24">
      <c r="A124" s="2855">
        <v>52</v>
      </c>
      <c r="B124" s="3511" t="s">
        <v>2759</v>
      </c>
      <c r="C124" s="2855" t="s">
        <v>2760</v>
      </c>
      <c r="D124" s="2829" t="s">
        <v>2761</v>
      </c>
      <c r="E124" s="2855">
        <v>0.1</v>
      </c>
      <c r="F124" s="2855">
        <v>15</v>
      </c>
    </row>
    <row r="125" spans="1:6" ht="24">
      <c r="A125" s="2855">
        <v>53</v>
      </c>
      <c r="B125" s="3511"/>
      <c r="C125" s="2855" t="s">
        <v>2762</v>
      </c>
      <c r="D125" s="2829" t="s">
        <v>2763</v>
      </c>
      <c r="E125" s="2855">
        <v>0.1</v>
      </c>
      <c r="F125" s="2855">
        <v>15</v>
      </c>
    </row>
    <row r="126" spans="1:6" ht="24">
      <c r="A126" s="2855">
        <v>54</v>
      </c>
      <c r="B126" s="2855" t="s">
        <v>2764</v>
      </c>
      <c r="C126" s="2855" t="s">
        <v>2765</v>
      </c>
      <c r="D126" s="2829" t="s">
        <v>2766</v>
      </c>
      <c r="E126" s="2855">
        <v>0.1</v>
      </c>
      <c r="F126" s="2855">
        <v>15</v>
      </c>
    </row>
    <row r="127" spans="1:6" ht="24">
      <c r="A127" s="2855">
        <v>55</v>
      </c>
      <c r="B127" s="3511" t="s">
        <v>2767</v>
      </c>
      <c r="C127" s="2855" t="s">
        <v>2768</v>
      </c>
      <c r="D127" s="2829" t="s">
        <v>2769</v>
      </c>
      <c r="E127" s="2855">
        <v>0.1</v>
      </c>
      <c r="F127" s="2855">
        <v>15</v>
      </c>
    </row>
    <row r="128" spans="1:6" ht="24">
      <c r="A128" s="2855">
        <v>56</v>
      </c>
      <c r="B128" s="3511"/>
      <c r="C128" s="2855" t="s">
        <v>2770</v>
      </c>
      <c r="D128" s="2829" t="s">
        <v>2771</v>
      </c>
      <c r="E128" s="2855">
        <v>0.1</v>
      </c>
      <c r="F128" s="2855">
        <v>15</v>
      </c>
    </row>
    <row r="129" spans="1:6" ht="24">
      <c r="A129" s="2855">
        <v>57</v>
      </c>
      <c r="B129" s="3511"/>
      <c r="C129" s="2855" t="s">
        <v>2772</v>
      </c>
      <c r="D129" s="2829" t="s">
        <v>2773</v>
      </c>
      <c r="E129" s="2855">
        <v>0.1</v>
      </c>
      <c r="F129" s="2855">
        <v>15</v>
      </c>
    </row>
    <row r="130" spans="1:6" ht="24">
      <c r="A130" s="2855">
        <v>58</v>
      </c>
      <c r="B130" s="3511" t="s">
        <v>2774</v>
      </c>
      <c r="C130" s="2855" t="s">
        <v>2775</v>
      </c>
      <c r="D130" s="2829" t="s">
        <v>2776</v>
      </c>
      <c r="E130" s="2855">
        <v>0.1</v>
      </c>
      <c r="F130" s="2855">
        <v>15</v>
      </c>
    </row>
    <row r="131" spans="1:6" ht="24">
      <c r="A131" s="2855">
        <v>59</v>
      </c>
      <c r="B131" s="3511"/>
      <c r="C131" s="2855" t="s">
        <v>2777</v>
      </c>
      <c r="D131" s="2829" t="s">
        <v>2778</v>
      </c>
      <c r="E131" s="2855">
        <v>0.1</v>
      </c>
      <c r="F131" s="2855">
        <v>15</v>
      </c>
    </row>
    <row r="132" spans="1:6" ht="24">
      <c r="A132" s="2855">
        <v>60</v>
      </c>
      <c r="B132" s="3506" t="s">
        <v>2779</v>
      </c>
      <c r="C132" s="2855" t="s">
        <v>2780</v>
      </c>
      <c r="D132" s="2829" t="s">
        <v>2781</v>
      </c>
      <c r="E132" s="2855">
        <v>0.1</v>
      </c>
      <c r="F132" s="2855">
        <v>15</v>
      </c>
    </row>
    <row r="133" spans="1:6" ht="24">
      <c r="A133" s="2855">
        <v>61</v>
      </c>
      <c r="B133" s="3510"/>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24">
      <c r="A135" s="2855">
        <v>63</v>
      </c>
      <c r="B135" s="3511" t="s">
        <v>2787</v>
      </c>
      <c r="C135" s="2855" t="s">
        <v>2788</v>
      </c>
      <c r="D135" s="2829" t="s">
        <v>2789</v>
      </c>
      <c r="E135" s="2855">
        <v>0.1</v>
      </c>
      <c r="F135" s="2855">
        <v>15</v>
      </c>
    </row>
    <row r="136" spans="1:6" ht="24">
      <c r="A136" s="2855">
        <v>64</v>
      </c>
      <c r="B136" s="3511"/>
      <c r="C136" s="2855" t="s">
        <v>2790</v>
      </c>
      <c r="D136" s="2829" t="s">
        <v>2791</v>
      </c>
      <c r="E136" s="2855">
        <v>0.1</v>
      </c>
      <c r="F136" s="2855">
        <v>15</v>
      </c>
    </row>
    <row r="137" spans="1:6" ht="24">
      <c r="A137" s="2855">
        <v>65</v>
      </c>
      <c r="B137" s="2855" t="s">
        <v>2792</v>
      </c>
      <c r="C137" s="2855" t="s">
        <v>2793</v>
      </c>
      <c r="D137" s="2829" t="s">
        <v>2794</v>
      </c>
      <c r="E137" s="2855">
        <v>0.1</v>
      </c>
      <c r="F137" s="2855">
        <v>15</v>
      </c>
    </row>
    <row r="138" spans="1:6" ht="14.4">
      <c r="A138" s="2855"/>
      <c r="B138" s="2855"/>
      <c r="C138" s="2855"/>
      <c r="D138" s="2855"/>
      <c r="E138" s="2855" t="s">
        <v>2795</v>
      </c>
      <c r="F138" s="285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7.399999999999999">
      <c r="A3" s="3199" t="str">
        <f>IF(项目基本情况!B9="房地产市场价值","估价结果一览表（市场价值不需“结果表-1”）","估价结果一览表")</f>
        <v>估价结果一览表</v>
      </c>
      <c r="B3" s="3199"/>
      <c r="C3" s="3199"/>
      <c r="D3" s="3199"/>
      <c r="E3" s="3199"/>
    </row>
    <row r="4" spans="1:5" ht="18" thickBot="1">
      <c r="A4" s="1391"/>
      <c r="B4" s="3197" t="s">
        <v>917</v>
      </c>
      <c r="C4" s="3197"/>
      <c r="D4" s="3197"/>
      <c r="E4" s="1391"/>
    </row>
    <row r="5" spans="1:5" ht="16.2" thickTop="1">
      <c r="B5" s="3195" t="s">
        <v>909</v>
      </c>
      <c r="C5" s="1392" t="s">
        <v>910</v>
      </c>
      <c r="D5" s="797" t="e">
        <f ca="1">结果表!H101</f>
        <v>#REF!</v>
      </c>
    </row>
    <row r="6" spans="1:5" ht="15.6">
      <c r="B6" s="3195"/>
      <c r="C6" s="1392" t="s">
        <v>911</v>
      </c>
      <c r="D6" s="797" t="e">
        <f ca="1">NUMBERSTRING(INT(D5*10000),2)&amp;"元整"</f>
        <v>#REF!</v>
      </c>
    </row>
    <row r="7" spans="1:5" ht="15.6">
      <c r="B7" s="3200"/>
      <c r="C7" s="1393" t="s">
        <v>912</v>
      </c>
      <c r="D7" s="798" t="e">
        <f ca="1">结果表!H102</f>
        <v>#REF!</v>
      </c>
    </row>
    <row r="8" spans="1:5" ht="15.6">
      <c r="B8" s="3201" t="str">
        <f>结果表!E103</f>
        <v>2.估价师知悉的法定优先受偿款</v>
      </c>
      <c r="C8" s="1394" t="s">
        <v>913</v>
      </c>
      <c r="D8" s="798">
        <f>结果表!H103</f>
        <v>0</v>
      </c>
    </row>
    <row r="9" spans="1:5" ht="15.6">
      <c r="B9" s="320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94" t="str">
        <f>结果表!E107</f>
        <v>3.房地产抵押价值</v>
      </c>
      <c r="C13" s="1397" t="s">
        <v>910</v>
      </c>
      <c r="D13" s="800" t="e">
        <f ca="1">结果表!H107</f>
        <v>#REF!</v>
      </c>
    </row>
    <row r="14" spans="1:5" ht="15.6">
      <c r="B14" s="3195"/>
      <c r="C14" s="1392" t="s">
        <v>911</v>
      </c>
      <c r="D14" s="797" t="e">
        <f ca="1">NUMBERSTRING(INT(D13*10000),2)&amp;"元整"</f>
        <v>#REF!</v>
      </c>
    </row>
    <row r="15" spans="1:5" ht="15.6">
      <c r="B15" s="3200"/>
      <c r="C15" s="1393" t="s">
        <v>921</v>
      </c>
      <c r="D15" s="806" t="e">
        <f ca="1">结果表!H108</f>
        <v>#REF!</v>
      </c>
    </row>
    <row r="16" spans="1:5" ht="15.6">
      <c r="B16" s="3201" t="str">
        <f>结果表!E109</f>
        <v>——</v>
      </c>
      <c r="C16" s="1397" t="s">
        <v>922</v>
      </c>
      <c r="D16" s="1398" t="str">
        <f>结果表!H109</f>
        <v>——</v>
      </c>
    </row>
    <row r="17" spans="1:5" ht="15.6">
      <c r="B17" s="3202"/>
      <c r="C17" s="1392" t="s">
        <v>923</v>
      </c>
      <c r="D17" s="797" t="e">
        <f>NUMBERSTRING(INT(D16*10000),2)&amp;"元整"</f>
        <v>#VALUE!</v>
      </c>
    </row>
    <row r="18" spans="1:5" ht="15.6">
      <c r="B18" s="3203"/>
      <c r="C18" s="1393" t="s">
        <v>912</v>
      </c>
      <c r="D18" s="806" t="str">
        <f>结果表!H110</f>
        <v>——</v>
      </c>
    </row>
    <row r="19" spans="1:5" ht="15.6">
      <c r="B19" s="3194" t="str">
        <f>结果表!E111</f>
        <v>——</v>
      </c>
      <c r="C19" s="1397" t="s">
        <v>910</v>
      </c>
      <c r="D19" s="798" t="str">
        <f>结果表!H111</f>
        <v>——</v>
      </c>
    </row>
    <row r="20" spans="1:5" ht="15.6">
      <c r="B20" s="3195"/>
      <c r="C20" s="1392" t="s">
        <v>923</v>
      </c>
      <c r="D20" s="797" t="e">
        <f>NUMBERSTRING(INT(D19*10000),2)&amp;"元整"</f>
        <v>#VALUE!</v>
      </c>
    </row>
    <row r="21" spans="1:5" ht="16.2" thickBot="1">
      <c r="B21" s="319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26097</v>
      </c>
      <c r="C2" s="2" t="s">
        <v>106</v>
      </c>
      <c r="D2" s="191"/>
      <c r="E2" s="191"/>
      <c r="F2" s="191"/>
      <c r="G2" s="191"/>
    </row>
    <row r="3" spans="1:7" s="192" customFormat="1" ht="18" customHeight="1" thickBot="1">
      <c r="A3" s="195" t="s">
        <v>58</v>
      </c>
      <c r="B3" s="196">
        <f ca="1">ROUND(B2*10000/'数据-汇总表'!E3,0)</f>
        <v>200916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26</v>
      </c>
      <c r="D10" s="795">
        <f>'数据-汇总表'!E6</f>
        <v>1298.9000000000001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26</v>
      </c>
      <c r="D19" s="204">
        <f>'数据-汇总表'!E3</f>
        <v>1298.9000000000001</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2105</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2105</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25721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390</v>
      </c>
      <c r="D34" s="209"/>
      <c r="E34" s="212"/>
      <c r="F34" s="249">
        <f>IF('数据-取费表'!B24=0,1,'数据-取费表'!N16)</f>
        <v>1</v>
      </c>
      <c r="G34" s="211" t="s">
        <v>89</v>
      </c>
    </row>
    <row r="35" spans="1:7" ht="13.5" customHeight="1">
      <c r="A35" s="734" t="s">
        <v>351</v>
      </c>
      <c r="B35" s="207" t="s">
        <v>33</v>
      </c>
      <c r="C35" s="212">
        <f>ROUND(C34*F35,0)</f>
        <v>12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26</v>
      </c>
      <c r="D37" s="209">
        <f>'数据-汇总表'!E3</f>
        <v>1298.9000000000001</v>
      </c>
      <c r="E37" s="241">
        <f>'数据-取费表'!B35</f>
        <v>200</v>
      </c>
      <c r="F37" s="251"/>
      <c r="G37" s="253" t="s">
        <v>92</v>
      </c>
    </row>
    <row r="38" spans="1:7" ht="13.5" customHeight="1">
      <c r="A38" s="734" t="s">
        <v>354</v>
      </c>
      <c r="B38" s="207" t="s">
        <v>36</v>
      </c>
      <c r="C38" s="212">
        <f>ROUND(C34*F38,0)</f>
        <v>8</v>
      </c>
      <c r="D38" s="212"/>
      <c r="E38" s="212"/>
      <c r="F38" s="251">
        <f>'数据-取费表'!B36</f>
        <v>0.02</v>
      </c>
      <c r="G38" s="211" t="s">
        <v>90</v>
      </c>
    </row>
    <row r="39" spans="1:7" s="206" customFormat="1" ht="13.5" customHeight="1">
      <c r="A39" s="731" t="s">
        <v>338</v>
      </c>
      <c r="B39" s="202" t="s">
        <v>77</v>
      </c>
      <c r="C39" s="224">
        <f>ROUND(C33*F20,0)</f>
        <v>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7</v>
      </c>
      <c r="D42" s="230"/>
      <c r="E42" s="230"/>
      <c r="F42" s="231"/>
      <c r="G42" s="3375" t="s">
        <v>94</v>
      </c>
    </row>
    <row r="43" spans="1:7" ht="13.5" customHeight="1">
      <c r="A43" s="734" t="s">
        <v>347</v>
      </c>
      <c r="B43" s="207" t="s">
        <v>426</v>
      </c>
      <c r="C43" s="230">
        <f ca="1">ROUND(IF('数据-取费表'!B22&lt;=1,C39*F22*'数据-取费表'!B21/2,C39*(POWER((1+F22),'数据-取费表'!B21/2)-1)),0)</f>
        <v>0</v>
      </c>
      <c r="D43" s="230"/>
      <c r="E43" s="230"/>
      <c r="F43" s="231"/>
      <c r="G43" s="3376"/>
    </row>
    <row r="44" spans="1:7" ht="13.5" customHeight="1">
      <c r="A44" s="734" t="s">
        <v>348</v>
      </c>
      <c r="B44" s="207" t="s">
        <v>428</v>
      </c>
      <c r="C44" s="230">
        <f ca="1">ROUND(IF('数据-取费表'!B22&lt;=1,C40*F22*'数据-取费表'!B21/2,C40*(POWER((1+F22),'数据-取费表'!B21/2)-1)),4)</f>
        <v>2.9999999999999997E-4</v>
      </c>
      <c r="D44" s="230"/>
      <c r="E44" s="230"/>
      <c r="F44" s="231"/>
      <c r="G44" s="3377"/>
    </row>
    <row r="45" spans="1:7" s="206" customFormat="1" ht="13.5" customHeight="1">
      <c r="A45" s="731" t="s">
        <v>341</v>
      </c>
      <c r="B45" s="236" t="s">
        <v>85</v>
      </c>
      <c r="C45" s="237">
        <f>C46</f>
        <v>45</v>
      </c>
      <c r="D45" s="227">
        <f>C47</f>
        <v>2E-3</v>
      </c>
      <c r="E45" s="228" t="s">
        <v>102</v>
      </c>
      <c r="F45" s="238"/>
      <c r="G45" s="239" t="s">
        <v>434</v>
      </c>
    </row>
    <row r="46" spans="1:7" s="206" customFormat="1" ht="13.5" customHeight="1">
      <c r="A46" s="734" t="s">
        <v>349</v>
      </c>
      <c r="B46" s="240" t="s">
        <v>427</v>
      </c>
      <c r="C46" s="241">
        <f>ROUND((C33+C39)*F27,0)</f>
        <v>45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537</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376</v>
      </c>
      <c r="D51" s="224"/>
      <c r="E51" s="224"/>
      <c r="F51" s="256"/>
      <c r="G51" s="226" t="s">
        <v>37</v>
      </c>
    </row>
    <row r="52" spans="1:7" s="200" customFormat="1" ht="16.8" thickBot="1">
      <c r="A52" s="257" t="s">
        <v>38</v>
      </c>
      <c r="B52" s="258"/>
      <c r="C52" s="259">
        <f ca="1">C31+C51</f>
        <v>26097</v>
      </c>
      <c r="D52" s="258"/>
      <c r="E52" s="258"/>
      <c r="F52" s="258"/>
      <c r="G52" s="260"/>
    </row>
    <row r="55" spans="1:7" ht="15">
      <c r="B55" s="262" t="s">
        <v>39</v>
      </c>
      <c r="C55" s="263"/>
    </row>
    <row r="56" spans="1:7">
      <c r="B56" s="265" t="s">
        <v>40</v>
      </c>
      <c r="C56" s="266">
        <f ca="1">ROUND(C51/C52,3)</f>
        <v>1.4E-2</v>
      </c>
    </row>
    <row r="57" spans="1:7">
      <c r="B57" s="265" t="s">
        <v>41</v>
      </c>
      <c r="C57" s="267">
        <f ca="1">1-C56</f>
        <v>0.98599999999999999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M35" sqref="M35"/>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4" t="s">
        <v>2837</v>
      </c>
      <c r="B1" s="3514"/>
      <c r="C1" s="3514"/>
      <c r="D1" s="3514"/>
      <c r="E1" s="3514"/>
      <c r="F1" s="3514"/>
      <c r="G1" s="3515"/>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1.4"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12"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1.4" thickBot="1">
      <c r="A4" s="3513"/>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1.4"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1.4"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1.4"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1.4"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6" t="s">
        <v>3179</v>
      </c>
      <c r="B1" s="3516"/>
    </row>
    <row r="2" spans="1:7" ht="15" thickBot="1">
      <c r="A2" s="2966"/>
      <c r="B2" s="2966"/>
    </row>
    <row r="3" spans="1:7" ht="15" thickBot="1">
      <c r="A3" s="2966"/>
      <c r="B3" s="2966"/>
      <c r="C3" s="2967" t="s">
        <v>2809</v>
      </c>
      <c r="D3" s="2967" t="s">
        <v>2865</v>
      </c>
      <c r="E3" s="2967" t="s">
        <v>2811</v>
      </c>
      <c r="F3" s="2967" t="s">
        <v>2866</v>
      </c>
      <c r="G3" s="2967" t="s">
        <v>2629</v>
      </c>
    </row>
    <row r="4" spans="1:7" ht="1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1"/>
  </cols>
  <sheetData>
    <row r="1" spans="1:6">
      <c r="A1" s="3517" t="s">
        <v>3230</v>
      </c>
      <c r="B1" s="3517"/>
      <c r="C1" s="3517"/>
      <c r="D1" s="3517"/>
      <c r="E1" s="3517"/>
      <c r="F1" s="3518"/>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45624</v>
      </c>
      <c r="B1" s="2927" t="s">
        <v>3380</v>
      </c>
      <c r="C1" s="2928"/>
      <c r="D1" s="2928"/>
      <c r="E1" s="2928"/>
      <c r="F1" s="2928"/>
      <c r="G1" s="2928"/>
      <c r="H1" s="2928"/>
      <c r="I1" s="2928"/>
      <c r="J1" s="2894"/>
      <c r="K1" s="2928" t="s">
        <v>454</v>
      </c>
      <c r="L1" s="2928"/>
      <c r="M1" s="2928"/>
      <c r="N1" s="2928"/>
      <c r="O1" s="2928"/>
      <c r="P1" s="2928"/>
      <c r="Q1" s="2894"/>
      <c r="R1" s="3519" t="s">
        <v>456</v>
      </c>
      <c r="S1" s="3520"/>
      <c r="T1" s="3520"/>
      <c r="U1" s="3520"/>
      <c r="V1" s="3520"/>
      <c r="W1" s="3520"/>
      <c r="X1" s="2894"/>
      <c r="Y1" s="3519" t="s">
        <v>457</v>
      </c>
      <c r="Z1" s="3520"/>
      <c r="AA1" s="3520"/>
      <c r="AB1" s="3520"/>
      <c r="AC1" s="3520"/>
      <c r="AD1" s="3520"/>
    </row>
    <row r="2" spans="1:30" s="2010" customFormat="1" ht="1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3.2">
      <c r="A3" s="2882" t="s">
        <v>2817</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3376</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3385</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3377</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3373</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3369</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3368</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3366</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3365</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3364</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0" t="s">
        <v>3383</v>
      </c>
    </row>
    <row r="24" spans="1:30">
      <c r="I24" s="1405" t="s">
        <v>2823</v>
      </c>
    </row>
    <row r="26" spans="1:30" s="2009" customFormat="1" ht="13.2">
      <c r="B26" s="2927" t="s">
        <v>3381</v>
      </c>
      <c r="C26" s="2928"/>
      <c r="D26" s="2928"/>
      <c r="E26" s="2928"/>
      <c r="F26" s="2928"/>
      <c r="G26" s="2928"/>
      <c r="H26" s="2928"/>
      <c r="I26" s="2928"/>
      <c r="J26" s="2894"/>
      <c r="K26" s="2928" t="s">
        <v>2824</v>
      </c>
      <c r="L26" s="2928"/>
      <c r="M26" s="2928"/>
      <c r="N26" s="2928"/>
      <c r="O26" s="2928"/>
      <c r="P26" s="2928"/>
      <c r="Q26" s="2894"/>
      <c r="R26" s="3519" t="s">
        <v>2825</v>
      </c>
      <c r="S26" s="3520"/>
      <c r="T26" s="3520"/>
      <c r="U26" s="3520"/>
      <c r="V26" s="3520"/>
      <c r="W26" s="3520"/>
      <c r="X26" s="2894"/>
      <c r="Y26" s="3519" t="s">
        <v>2826</v>
      </c>
      <c r="Z26" s="3520"/>
      <c r="AA26" s="3520"/>
      <c r="AB26" s="3520"/>
      <c r="AC26" s="3520"/>
      <c r="AD26" s="3520"/>
    </row>
    <row r="27" spans="1:30" s="2010" customFormat="1" ht="1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3.2">
      <c r="A28" s="2882" t="s">
        <v>2832</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3376</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3378</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3.2">
      <c r="A32" s="2040" t="s">
        <v>3371</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3379</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3372</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3370</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3368</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3367</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3365</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3364</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0"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4" t="s">
        <v>452</v>
      </c>
      <c r="C1" s="3524"/>
      <c r="D1" s="3524"/>
      <c r="E1" s="3524"/>
      <c r="F1" s="3524"/>
      <c r="G1" s="3520" t="s">
        <v>453</v>
      </c>
      <c r="H1" s="3520"/>
      <c r="I1" s="3520"/>
      <c r="J1" s="3520"/>
      <c r="K1" s="3520"/>
      <c r="L1" s="3520"/>
      <c r="N1" s="3520" t="s">
        <v>454</v>
      </c>
      <c r="O1" s="3520"/>
      <c r="P1" s="3520"/>
      <c r="Q1" s="3520"/>
      <c r="S1" s="3520" t="s">
        <v>455</v>
      </c>
      <c r="T1" s="3520"/>
      <c r="U1" s="3520"/>
      <c r="V1" s="3520"/>
      <c r="X1" s="3519" t="s">
        <v>456</v>
      </c>
      <c r="Y1" s="3520"/>
      <c r="Z1" s="3520"/>
      <c r="AA1" s="3520"/>
      <c r="AB1" s="3520"/>
      <c r="AD1" s="3519" t="s">
        <v>457</v>
      </c>
      <c r="AE1" s="3520"/>
      <c r="AF1" s="3520"/>
      <c r="AG1" s="3520"/>
      <c r="AH1" s="352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2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2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2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2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45624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2307</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4" t="str">
        <f>IF(项目基本情况!B9="房地产市场价值","估价结果一览表","结果表-2")</f>
        <v>结果表-2</v>
      </c>
      <c r="B1" s="3204"/>
      <c r="C1" s="3204"/>
      <c r="D1" s="3204"/>
      <c r="E1" s="3204"/>
      <c r="F1" s="3204"/>
      <c r="G1" s="3204"/>
      <c r="H1" s="3204"/>
      <c r="I1" s="3204"/>
    </row>
    <row r="2" spans="1:9" ht="30" customHeight="1" thickTop="1">
      <c r="A2" s="3205" t="s">
        <v>928</v>
      </c>
      <c r="B2" s="3205" t="s">
        <v>929</v>
      </c>
      <c r="C2" s="3205" t="s">
        <v>930</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6">
      <c r="A3" s="3206"/>
      <c r="B3" s="3206"/>
      <c r="C3" s="3206"/>
      <c r="D3" s="801" t="s">
        <v>925</v>
      </c>
      <c r="E3" s="801" t="s">
        <v>931</v>
      </c>
      <c r="F3" s="801" t="s">
        <v>925</v>
      </c>
      <c r="G3" s="801" t="s">
        <v>926</v>
      </c>
      <c r="H3" s="801" t="s">
        <v>925</v>
      </c>
      <c r="I3" s="801" t="s">
        <v>926</v>
      </c>
    </row>
    <row r="4" spans="1:9" ht="30">
      <c r="A4" s="1403" t="str">
        <f>项目基本情况!S2</f>
        <v>北京市昌平区沙河镇展思门路29号房地产</v>
      </c>
      <c r="B4" s="801">
        <f>项目基本情况!C17</f>
        <v>1298.9000000000001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6" t="s">
        <v>927</v>
      </c>
      <c r="B5" s="3206"/>
      <c r="C5" s="3206"/>
      <c r="D5" s="3206" t="e">
        <f ca="1">结果表!D119</f>
        <v>#REF!</v>
      </c>
      <c r="E5" s="3206"/>
      <c r="F5" s="3206" t="e">
        <f ca="1">结果表!F119</f>
        <v>#REF!</v>
      </c>
      <c r="G5" s="3206"/>
      <c r="H5" s="3206" t="e">
        <f ca="1">结果表!H119</f>
        <v>#REF!</v>
      </c>
      <c r="I5" s="3206"/>
    </row>
    <row r="6" spans="1:9" ht="15.6">
      <c r="A6" s="3207" t="str">
        <f>结果表!A120</f>
        <v>估价师知悉的法定优先受偿款</v>
      </c>
      <c r="B6" s="3207"/>
      <c r="C6" s="3207"/>
      <c r="D6" s="3207">
        <f>结果表!D120</f>
        <v>0</v>
      </c>
      <c r="E6" s="3207"/>
      <c r="F6" s="3207"/>
      <c r="G6" s="3207"/>
      <c r="H6" s="3207"/>
      <c r="I6" s="3207"/>
    </row>
    <row r="7" spans="1:9" ht="15">
      <c r="A7" s="3206" t="s">
        <v>927</v>
      </c>
      <c r="B7" s="3206"/>
      <c r="C7" s="3206"/>
      <c r="D7" s="3208" t="str">
        <f>结果表!D121</f>
        <v>零元整</v>
      </c>
      <c r="E7" s="3209"/>
      <c r="F7" s="3209"/>
      <c r="G7" s="3209"/>
      <c r="H7" s="3209"/>
      <c r="I7" s="3210"/>
    </row>
    <row r="8" spans="1:9" ht="15.6">
      <c r="A8" s="3207" t="str">
        <f>结果表!A122</f>
        <v>房地产抵押价值</v>
      </c>
      <c r="B8" s="3207"/>
      <c r="C8" s="3207"/>
      <c r="D8" s="3207" t="e">
        <f ca="1">结果表!D122</f>
        <v>#REF!</v>
      </c>
      <c r="E8" s="3207"/>
      <c r="F8" s="3207"/>
      <c r="G8" s="3207"/>
      <c r="H8" s="3207"/>
      <c r="I8" s="3207"/>
    </row>
    <row r="9" spans="1:9" ht="15">
      <c r="A9" s="3206" t="s">
        <v>927</v>
      </c>
      <c r="B9" s="3206"/>
      <c r="C9" s="3206"/>
      <c r="D9" s="3206" t="e">
        <f ca="1">结果表!D123</f>
        <v>#REF!</v>
      </c>
      <c r="E9" s="3206"/>
      <c r="F9" s="3206"/>
      <c r="G9" s="3206"/>
      <c r="H9" s="3206"/>
      <c r="I9" s="3206"/>
    </row>
    <row r="10" spans="1:9" ht="15.6">
      <c r="A10" s="3207" t="str">
        <f>结果表!A124</f>
        <v/>
      </c>
      <c r="B10" s="3207"/>
      <c r="C10" s="3207"/>
      <c r="D10" s="3207" t="str">
        <f>结果表!D124</f>
        <v>——</v>
      </c>
      <c r="E10" s="3207"/>
      <c r="F10" s="3207"/>
      <c r="G10" s="3207"/>
      <c r="H10" s="3207"/>
      <c r="I10" s="3207"/>
    </row>
    <row r="11" spans="1:9" ht="15">
      <c r="A11" s="3206" t="s">
        <v>927</v>
      </c>
      <c r="B11" s="3206"/>
      <c r="C11" s="3206"/>
      <c r="D11" s="3206" t="e">
        <f>结果表!D125</f>
        <v>#VALUE!</v>
      </c>
      <c r="E11" s="3206"/>
      <c r="F11" s="3206"/>
      <c r="G11" s="3206"/>
      <c r="H11" s="3206"/>
      <c r="I11" s="3206"/>
    </row>
    <row r="12" spans="1:9" ht="15.6">
      <c r="A12" s="3207" t="str">
        <f>结果表!A126</f>
        <v/>
      </c>
      <c r="B12" s="3207"/>
      <c r="C12" s="3207"/>
      <c r="D12" s="3207" t="str">
        <f>结果表!D126</f>
        <v>——</v>
      </c>
      <c r="E12" s="3207"/>
      <c r="F12" s="3207"/>
      <c r="G12" s="3207"/>
      <c r="H12" s="3207"/>
      <c r="I12" s="3207"/>
    </row>
    <row r="13" spans="1:9" ht="15.6" thickBot="1">
      <c r="A13" s="3211" t="s">
        <v>927</v>
      </c>
      <c r="B13" s="3211"/>
      <c r="C13" s="3211"/>
      <c r="D13" s="3211" t="e">
        <f>结果表!D127</f>
        <v>#VALUE!</v>
      </c>
      <c r="E13" s="3211"/>
      <c r="F13" s="3211"/>
      <c r="G13" s="3211"/>
      <c r="H13" s="3211"/>
      <c r="I13" s="3211"/>
    </row>
    <row r="14" spans="1:9" ht="14.4" thickTop="1">
      <c r="A14" s="3212" t="s">
        <v>932</v>
      </c>
      <c r="B14" s="3212"/>
      <c r="C14" s="3212"/>
      <c r="D14" s="3212"/>
      <c r="E14" s="3212"/>
      <c r="F14" s="3212"/>
      <c r="G14" s="3212"/>
      <c r="H14" s="3212"/>
      <c r="I14" s="321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3" t="s">
        <v>949</v>
      </c>
      <c r="B1" s="3213"/>
      <c r="C1" s="3213"/>
      <c r="D1" s="3213"/>
    </row>
    <row r="2" spans="1:4" ht="17.399999999999999">
      <c r="A2" s="3214" t="s">
        <v>933</v>
      </c>
      <c r="B2" s="3214"/>
      <c r="C2" s="3214"/>
      <c r="D2" s="3214"/>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214" t="s">
        <v>939</v>
      </c>
      <c r="B6" s="3214"/>
      <c r="C6" s="3214"/>
      <c r="D6" s="321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5" t="s">
        <v>942</v>
      </c>
      <c r="B11" s="3216"/>
      <c r="C11" s="3216"/>
      <c r="D11" s="3216"/>
    </row>
    <row r="12" spans="1:4" ht="15.6">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7"/>
      <c r="C12" s="3217"/>
      <c r="D12" s="3217"/>
    </row>
    <row r="13" spans="1:4" ht="30" customHeight="1">
      <c r="A13" s="3216" t="str">
        <f>IF(项目基本情况!B8="抵押","3.抵押双方在办理抵押登记手续时，应使用本公司出具的正式《房地产评估报告》，特提醒报告使用者注意。","——")</f>
        <v>——</v>
      </c>
      <c r="B13" s="3217"/>
      <c r="C13" s="3217"/>
      <c r="D13" s="3217"/>
    </row>
    <row r="14" spans="1:4" ht="15.75" customHeight="1">
      <c r="A14" s="3216" t="str">
        <f>IF(项目基本情况!B8="抵押","4.本次评估估价师所知悉的法定优先受偿款情况说明如下：","——")</f>
        <v>——</v>
      </c>
      <c r="B14" s="3217"/>
      <c r="C14" s="3217"/>
      <c r="D14" s="3217"/>
    </row>
    <row r="15" spans="1:4" ht="42" customHeight="1">
      <c r="A15" s="3216" t="str">
        <f>IF(项目基本情况!B8="抵押","（1）"&amp;CONCATENATE(项目基本情况!L20,项目基本情况!L21,项目基本情况!L22),"——")</f>
        <v>——</v>
      </c>
      <c r="B15" s="3216"/>
      <c r="C15" s="3216"/>
      <c r="D15" s="3216"/>
    </row>
    <row r="16" spans="1:4" ht="30" customHeight="1">
      <c r="A16" s="3219" t="s">
        <v>943</v>
      </c>
      <c r="B16" s="3219"/>
      <c r="C16" s="3219"/>
      <c r="D16" s="3219"/>
    </row>
    <row r="17" spans="1:4" ht="144" customHeight="1">
      <c r="A17" s="3219" t="s">
        <v>944</v>
      </c>
      <c r="B17" s="3219"/>
      <c r="C17" s="3219"/>
      <c r="D17" s="3219"/>
    </row>
    <row r="18" spans="1:4" ht="15.75" customHeight="1">
      <c r="A18" s="3216" t="str">
        <f>IF(项目基本情况!B8="抵押",结果表!K120,"——")</f>
        <v>——</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6"/>
      <c r="C20" s="3216"/>
      <c r="D20" s="3216"/>
    </row>
    <row r="21" spans="1:4" ht="57.75" customHeight="1">
      <c r="A21" s="32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0"/>
      <c r="C21" s="3220"/>
      <c r="D21" s="3220"/>
    </row>
    <row r="22" spans="1:4" ht="18.75" customHeight="1">
      <c r="A22" s="3221" t="s">
        <v>945</v>
      </c>
      <c r="B22" s="3221"/>
      <c r="C22" s="3221"/>
      <c r="D22" s="322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8">
        <v>42551</v>
      </c>
      <c r="D31" s="32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7" t="s">
        <v>956</v>
      </c>
      <c r="B15" s="3222" t="s">
        <v>109</v>
      </c>
      <c r="C15" s="3223"/>
    </row>
    <row r="16" spans="1:7" ht="14.4">
      <c r="A16" s="3228"/>
      <c r="B16" s="3222" t="s">
        <v>42</v>
      </c>
      <c r="C16" s="3223"/>
    </row>
    <row r="17" spans="1:3" ht="14.4">
      <c r="A17" s="3228"/>
      <c r="B17" s="3225" t="s">
        <v>957</v>
      </c>
      <c r="C17" s="1429" t="s">
        <v>956</v>
      </c>
    </row>
    <row r="18" spans="1:3" ht="14.4">
      <c r="A18" s="3228"/>
      <c r="B18" s="3225"/>
      <c r="C18" s="1429" t="s">
        <v>958</v>
      </c>
    </row>
    <row r="19" spans="1:3" ht="14.4">
      <c r="A19" s="3228"/>
      <c r="B19" s="3225"/>
      <c r="C19" s="1429" t="s">
        <v>959</v>
      </c>
    </row>
    <row r="20" spans="1:3" ht="14.4">
      <c r="A20" s="3229"/>
      <c r="B20" s="3224" t="s">
        <v>960</v>
      </c>
      <c r="C20" s="3223"/>
    </row>
    <row r="21" spans="1:3" ht="14.4">
      <c r="A21" s="1430" t="s">
        <v>961</v>
      </c>
      <c r="B21" s="1431"/>
      <c r="C21" s="1432"/>
    </row>
    <row r="22" spans="1:3" ht="14.4">
      <c r="A22" s="3226" t="s">
        <v>962</v>
      </c>
      <c r="B22" s="3224" t="s">
        <v>963</v>
      </c>
      <c r="C22" s="3223"/>
    </row>
    <row r="23" spans="1:3" ht="14.4">
      <c r="A23" s="3226"/>
      <c r="B23" s="3224" t="s">
        <v>964</v>
      </c>
      <c r="C23" s="3223"/>
    </row>
    <row r="24" spans="1:3" ht="14.4">
      <c r="A24" s="3226"/>
      <c r="B24" s="3224" t="s">
        <v>965</v>
      </c>
      <c r="C24" s="3223"/>
    </row>
    <row r="25" spans="1:3" ht="14.4">
      <c r="A25" s="3226"/>
      <c r="B25" s="3225" t="s">
        <v>966</v>
      </c>
      <c r="C25" s="1429" t="s">
        <v>967</v>
      </c>
    </row>
    <row r="26" spans="1:3" ht="14.4">
      <c r="A26" s="3226"/>
      <c r="B26" s="3225"/>
      <c r="C26" s="1429" t="s">
        <v>968</v>
      </c>
    </row>
    <row r="27" spans="1:3" ht="14.4">
      <c r="A27" s="3226"/>
      <c r="B27" s="3225"/>
      <c r="C27" s="1429" t="s">
        <v>969</v>
      </c>
    </row>
    <row r="28" spans="1:3" ht="14.4">
      <c r="A28" s="3226"/>
      <c r="B28" s="3225"/>
      <c r="C28" s="1429" t="s">
        <v>970</v>
      </c>
    </row>
    <row r="29" spans="1:3" ht="14.4">
      <c r="A29" s="3226"/>
      <c r="B29" s="3225"/>
      <c r="C29" s="1429" t="s">
        <v>971</v>
      </c>
    </row>
    <row r="30" spans="1:3" ht="14.4">
      <c r="A30" s="3226"/>
      <c r="B30" s="3225"/>
      <c r="C30" s="1429" t="s">
        <v>972</v>
      </c>
    </row>
    <row r="31" spans="1:3" ht="14.4">
      <c r="A31" s="3226"/>
      <c r="B31" s="3225"/>
      <c r="C31" s="1429" t="s">
        <v>973</v>
      </c>
    </row>
    <row r="32" spans="1:3" ht="14.4">
      <c r="A32" s="3226"/>
      <c r="B32" s="3225"/>
      <c r="C32" s="1429" t="s">
        <v>974</v>
      </c>
    </row>
    <row r="33" spans="1:3" ht="14.4">
      <c r="A33" s="3226"/>
      <c r="B33" s="322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45712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0" t="s">
        <v>2160</v>
      </c>
      <c r="B17" s="3230"/>
      <c r="C17" s="3230"/>
      <c r="D17" s="3230"/>
      <c r="E17" s="3230"/>
      <c r="F17" s="3230"/>
      <c r="G17" s="3230"/>
      <c r="H17" s="3230"/>
    </row>
    <row r="18" spans="1:8" ht="24" customHeight="1">
      <c r="A18" s="3231" t="s">
        <v>2161</v>
      </c>
      <c r="B18" s="3231"/>
      <c r="C18" s="3231"/>
      <c r="D18" s="2160"/>
      <c r="E18" s="3232" t="s">
        <v>2162</v>
      </c>
      <c r="F18" s="3231"/>
      <c r="G18" s="323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比较法-仓储</vt:lpstr>
      <vt:lpstr>比较法-办公展思门路</vt:lpstr>
      <vt:lpstr>比较法-工业</vt:lpstr>
      <vt:lpstr>比较法-车位</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'比较法-办公展思门路'!Print_Area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2025-02-24T09:00:29Z</dcterms:modified>
</cp:coreProperties>
</file>