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144-城关租金\"/>
    </mc:Choice>
  </mc:AlternateContent>
  <xr:revisionPtr revIDLastSave="0" documentId="13_ncr:1_{D13D9CC2-A254-4BFA-88C3-76A6779D8AD3}" xr6:coauthVersionLast="47" xr6:coauthVersionMax="47" xr10:uidLastSave="{00000000-0000-0000-0000-000000000000}"/>
  <bookViews>
    <workbookView xWindow="-108" yWindow="-108" windowWidth="23256" windowHeight="12576"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state="hidden" r:id="rId29"/>
    <sheet name="比较法-办公" sheetId="34" r:id="rId30"/>
    <sheet name="案例" sheetId="83" r:id="rId31"/>
    <sheet name="比较法-工业" sheetId="37" state="hidden" r:id="rId32"/>
    <sheet name="比较法-车位" sheetId="35"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28"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'比较法-办公'!$A$1:$K$132</definedName>
    <definedName name="_xlnm.Print_Area" localSheetId="28">'比较法-仓储'!$A$1:$K$42,'比较法-仓储'!$A$45:$M$96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c r="G105" i="34"/>
  <c r="H105" i="34" s="1"/>
  <c r="I105" i="34" s="1"/>
  <c r="D105" i="34"/>
  <c r="H24" i="82" l="1"/>
  <c r="F24" i="82"/>
  <c r="E88" i="36"/>
  <c r="F88" i="36" s="1"/>
  <c r="G88" i="36" s="1"/>
  <c r="H88" i="36" s="1"/>
  <c r="D88" i="36"/>
  <c r="I13" i="3"/>
  <c r="C30" i="36"/>
  <c r="E94" i="36"/>
  <c r="F94" i="36" s="1"/>
  <c r="G94" i="36" s="1"/>
  <c r="D94" i="36"/>
  <c r="E92" i="36"/>
  <c r="D92" i="36"/>
  <c r="E20" i="82"/>
  <c r="K17" i="82" s="1"/>
  <c r="N19" i="82"/>
  <c r="O19" i="82" s="1"/>
  <c r="K18" i="82"/>
  <c r="K16" i="82"/>
  <c r="K15" i="82"/>
  <c r="K14" i="82"/>
  <c r="K12" i="82"/>
  <c r="K11" i="82"/>
  <c r="K10" i="82"/>
  <c r="J9" i="82"/>
  <c r="K8" i="82"/>
  <c r="E2" i="82"/>
  <c r="D3" i="4"/>
  <c r="E21" i="82" l="1"/>
  <c r="K9" i="82"/>
  <c r="K19" i="82" s="1"/>
  <c r="K13" i="82"/>
  <c r="K20" i="82" l="1"/>
  <c r="J21" i="82"/>
  <c r="I21" i="82"/>
  <c r="H39" i="6"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7" i="73"/>
  <c r="F5" i="73"/>
  <c r="L48" i="15"/>
  <c r="C19" i="9"/>
  <c r="F4" i="73"/>
  <c r="B12" i="76"/>
  <c r="J15" i="15"/>
  <c r="E10" i="76"/>
  <c r="D19" i="9"/>
  <c r="F43" i="15"/>
  <c r="F13" i="15"/>
  <c r="C76" i="15"/>
  <c r="M6" i="15"/>
  <c r="F38" i="15"/>
  <c r="F26" i="15"/>
  <c r="B7" i="76"/>
  <c r="F16" i="15"/>
  <c r="E9" i="76"/>
  <c r="M22" i="67"/>
  <c r="E12" i="76"/>
  <c r="F16" i="67"/>
  <c r="E7" i="76"/>
  <c r="F8" i="15"/>
  <c r="B8" i="76"/>
  <c r="E11" i="76"/>
  <c r="AO13" i="1"/>
  <c r="B9" i="76"/>
  <c r="E2" i="69"/>
  <c r="D6" i="73"/>
  <c r="D20" i="9"/>
  <c r="E8" i="76"/>
  <c r="M8" i="67"/>
  <c r="F40" i="15"/>
  <c r="M24" i="15"/>
  <c r="M8" i="15"/>
  <c r="M28" i="15"/>
  <c r="E13" i="76"/>
  <c r="E2" i="68"/>
  <c r="B13" i="76"/>
  <c r="F6" i="15"/>
  <c r="M23" i="15"/>
  <c r="F7" i="15"/>
  <c r="D34" i="9"/>
  <c r="F9" i="15"/>
  <c r="L47" i="15"/>
  <c r="F38" i="67"/>
  <c r="D35" i="9"/>
  <c r="F20" i="31"/>
  <c r="C76" i="67"/>
  <c r="B11" i="76"/>
  <c r="M22" i="15"/>
  <c r="F42" i="67"/>
  <c r="F37" i="15"/>
  <c r="F6" i="73"/>
  <c r="B10" i="76"/>
  <c r="C20" i="9"/>
  <c r="S8" i="34" l="1"/>
  <c r="AC17" i="34"/>
  <c r="J45" i="34"/>
  <c r="W45" i="34" s="1"/>
  <c r="AB8" i="34"/>
  <c r="W8" i="34"/>
  <c r="F34" i="36"/>
  <c r="S34" i="36" s="1"/>
  <c r="G64" i="36"/>
  <c r="H16" i="36"/>
  <c r="AB16" i="36" s="1"/>
  <c r="S16" i="36"/>
  <c r="W29" i="36"/>
  <c r="U29" i="36"/>
  <c r="F78" i="36"/>
  <c r="F26" i="36"/>
  <c r="S26" i="36" s="1"/>
  <c r="H26" i="36"/>
  <c r="AB26" i="36" s="1"/>
  <c r="AB33" i="36"/>
  <c r="H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s="1"/>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H37" i="34" s="1"/>
  <c r="U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AC40" i="34"/>
  <c r="W44" i="34"/>
  <c r="W41" i="34"/>
  <c r="AB41" i="34"/>
  <c r="AB40" i="34"/>
  <c r="AC35" i="34"/>
  <c r="H23" i="34"/>
  <c r="U23" i="34" s="1"/>
  <c r="F23" i="34"/>
  <c r="AA23" i="34" s="1"/>
  <c r="F84" i="34"/>
  <c r="G84" i="34" s="1"/>
  <c r="J21" i="34"/>
  <c r="W21" i="34" s="1"/>
  <c r="H21" i="34"/>
  <c r="AB21" i="34" s="1"/>
  <c r="S17" i="34"/>
  <c r="S43" i="34"/>
  <c r="AA40" i="34"/>
  <c r="AB36" i="34"/>
  <c r="AB35" i="34"/>
  <c r="U27" i="34"/>
  <c r="U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M9" i="15"/>
  <c r="D3" i="73"/>
  <c r="M24" i="67"/>
  <c r="L48" i="67"/>
  <c r="M29" i="15"/>
  <c r="D4" i="73"/>
  <c r="M28" i="67"/>
  <c r="D7" i="73"/>
  <c r="M6" i="67"/>
  <c r="M9" i="67"/>
  <c r="M23" i="67"/>
  <c r="F42" i="15"/>
  <c r="C16" i="15"/>
  <c r="J15" i="67"/>
  <c r="F40" i="67"/>
  <c r="M26" i="15"/>
  <c r="F13" i="67"/>
  <c r="F36" i="67"/>
  <c r="F9" i="67"/>
  <c r="F37" i="67"/>
  <c r="D5" i="73"/>
  <c r="F8" i="67"/>
  <c r="F36" i="15"/>
  <c r="M26" i="67"/>
  <c r="L47" i="67"/>
  <c r="F26" i="67"/>
  <c r="AB37" i="34" l="1"/>
  <c r="F37" i="34"/>
  <c r="AB45" i="34"/>
  <c r="S9" i="34"/>
  <c r="W43" i="34"/>
  <c r="S23" i="34"/>
  <c r="W33" i="34"/>
  <c r="AA25" i="34"/>
  <c r="W25" i="34"/>
  <c r="AC45" i="34"/>
  <c r="AB33" i="34"/>
  <c r="AA34" i="36"/>
  <c r="AA26" i="36"/>
  <c r="U16" i="36"/>
  <c r="U26" i="36"/>
  <c r="G78" i="36"/>
  <c r="H78" i="36" s="1"/>
  <c r="I78" i="36" s="1"/>
  <c r="J78" i="36" s="1"/>
  <c r="K78" i="36" s="1"/>
  <c r="L78" i="36" s="1"/>
  <c r="M78" i="36" s="1"/>
  <c r="J26" i="36"/>
  <c r="W33" i="36"/>
  <c r="AB34" i="36"/>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AA37" i="34" l="1"/>
  <c r="S37" i="34"/>
  <c r="T36" i="36"/>
  <c r="G36" i="36" s="1"/>
  <c r="G40" i="36" s="1"/>
  <c r="H40" i="36" s="1"/>
  <c r="E217" i="3"/>
  <c r="W26" i="36"/>
  <c r="AC26" i="36"/>
  <c r="V36" i="36" s="1"/>
  <c r="I36" i="36" s="1"/>
  <c r="I40" i="36" s="1"/>
  <c r="J40" i="36" s="1"/>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7"/>
  <c r="C39" i="43"/>
  <c r="C42" i="43"/>
  <c r="E42" i="43" s="1"/>
  <c r="C38" i="43"/>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53" i="15"/>
  <c r="C48" i="15" s="1"/>
  <c r="C66" i="15" s="1"/>
  <c r="C10" i="15"/>
  <c r="C5" i="15" s="1"/>
  <c r="C38" i="15" s="1"/>
  <c r="C35" i="9"/>
  <c r="AE6" i="1"/>
  <c r="M27" i="67"/>
  <c r="M27" i="15"/>
  <c r="F41" i="15"/>
  <c r="D19" i="11" l="1"/>
  <c r="C19" i="11" s="1"/>
  <c r="D3" i="34"/>
  <c r="D3" i="36"/>
  <c r="D37" i="11"/>
  <c r="G41" i="36"/>
  <c r="H41" i="36" s="1"/>
  <c r="R37" i="36"/>
  <c r="E6" i="6"/>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F7" i="67"/>
  <c r="C17" i="15"/>
  <c r="F41" i="67"/>
  <c r="F43" i="67"/>
  <c r="M29" i="67"/>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16" i="67"/>
  <c r="E6" i="76"/>
  <c r="C14" i="15"/>
  <c r="B6" i="76"/>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U34" i="34"/>
  <c r="S6" i="1"/>
  <c r="M19" i="6"/>
  <c r="K27" i="6"/>
  <c r="S8" i="1"/>
  <c r="M21" i="6"/>
  <c r="I21" i="6" s="1"/>
  <c r="S26" i="6"/>
  <c r="H26" i="6"/>
  <c r="R26" i="6" s="1"/>
  <c r="AC34" i="34"/>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67"/>
  <c r="C17" i="67"/>
  <c r="V49" i="34" l="1"/>
  <c r="I49" i="34" s="1"/>
  <c r="I53" i="34" s="1"/>
  <c r="J53" i="34" s="1"/>
  <c r="T49" i="34"/>
  <c r="C18" i="67"/>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I19" i="6"/>
  <c r="M27" i="6"/>
  <c r="AC10" i="40"/>
  <c r="W10" i="40"/>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R50" i="34" l="1"/>
  <c r="C50" i="34" s="1"/>
  <c r="L50" i="34" s="1"/>
  <c r="G49" i="34"/>
  <c r="C23" i="67"/>
  <c r="C29" i="67" s="1"/>
  <c r="J59" i="67" s="1"/>
  <c r="J60" i="67" s="1"/>
  <c r="Q48" i="67" s="1"/>
  <c r="C8" i="68"/>
  <c r="C5" i="68" s="1"/>
  <c r="C18" i="12"/>
  <c r="C31" i="11"/>
  <c r="C38" i="11"/>
  <c r="C33" i="11" s="1"/>
  <c r="C39" i="11" s="1"/>
  <c r="E54" i="34"/>
  <c r="F54" i="34" s="1"/>
  <c r="E53" i="34"/>
  <c r="F53" i="34" s="1"/>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M21" i="15"/>
  <c r="F35" i="15"/>
  <c r="C49" i="34" l="1"/>
  <c r="E10" i="74" s="1"/>
  <c r="G53" i="34"/>
  <c r="H53" i="34" s="1"/>
  <c r="G54" i="34"/>
  <c r="H54" i="34" s="1"/>
  <c r="M50" i="34"/>
  <c r="C57" i="67"/>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D14" i="74" s="1"/>
  <c r="E14" i="74" s="1"/>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F35" i="67"/>
  <c r="F6" i="67"/>
  <c r="M21" i="67"/>
  <c r="D2" i="21"/>
  <c r="C31" i="68" l="1"/>
  <c r="C6" i="67"/>
  <c r="C49" i="68"/>
  <c r="C51"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8" l="1"/>
  <c r="B2" i="68" s="1"/>
  <c r="B3" i="68" s="1"/>
  <c r="C32" i="67"/>
  <c r="C10" i="67"/>
  <c r="C5" i="67" s="1"/>
  <c r="C38" i="67" s="1"/>
  <c r="C33" i="67"/>
  <c r="C12" i="71"/>
  <c r="D13" i="71"/>
  <c r="B2" i="33"/>
  <c r="B3" i="33" s="1"/>
  <c r="C80" i="15"/>
  <c r="C79" i="15" s="1"/>
  <c r="C40" i="15"/>
  <c r="C46" i="15" s="1"/>
  <c r="H7" i="39"/>
  <c r="J7" i="39"/>
  <c r="S7" i="39"/>
  <c r="AA7" i="39"/>
  <c r="R47" i="39" s="1"/>
  <c r="O63" i="40"/>
  <c r="O65" i="40" s="1"/>
  <c r="N65" i="40"/>
  <c r="L51" i="15"/>
  <c r="D2" i="36"/>
  <c r="D2" i="37"/>
  <c r="D2" i="35"/>
  <c r="D2" i="34"/>
  <c r="C57" i="68" l="1"/>
  <c r="C56" i="68" s="1"/>
  <c r="C31" i="67"/>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9" i="1"/>
  <c r="AO7" i="1"/>
  <c r="AO12" i="1"/>
  <c r="Q57" i="67" l="1"/>
  <c r="C80" i="67"/>
  <c r="C79" i="67" s="1"/>
  <c r="Q69" i="67"/>
  <c r="Q68" i="67" s="1"/>
  <c r="Q66" i="67"/>
  <c r="C40" i="67"/>
  <c r="C83" i="67" s="1"/>
  <c r="C82" i="67" s="1"/>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67"/>
  <c r="Q67" i="67" l="1"/>
  <c r="C43" i="67"/>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B32" i="72"/>
  <c r="D14" i="53"/>
  <c r="B31" i="72"/>
  <c r="D15" i="53"/>
  <c r="B49" i="72"/>
  <c r="D5" i="52"/>
  <c r="D119" i="9"/>
  <c r="C73" i="9"/>
  <c r="C78" i="9"/>
  <c r="H5" i="52"/>
  <c r="H119" i="9"/>
  <c r="C86" i="9"/>
  <c r="C93" i="9"/>
  <c r="D8" i="52"/>
  <c r="B47" i="72"/>
  <c r="D118" i="9"/>
  <c r="D4" i="52"/>
  <c r="C80" i="9"/>
  <c r="E80" i="9"/>
  <c r="E81" i="9"/>
  <c r="C97" i="9"/>
  <c r="D58" i="9"/>
  <c r="D56" i="9"/>
  <c r="M54" i="9"/>
  <c r="B53" i="72"/>
  <c r="F5" i="52"/>
  <c r="F119" i="9"/>
  <c r="C5" i="74"/>
  <c r="D54" i="9"/>
  <c r="C68" i="9"/>
  <c r="D122" i="9"/>
  <c r="D123" i="9"/>
  <c r="D9" i="52"/>
  <c r="H108" i="9"/>
  <c r="C6" i="74"/>
  <c r="B51" i="72"/>
  <c r="F4" i="52"/>
  <c r="B52" i="72"/>
  <c r="F118" i="9"/>
  <c r="G118" i="9"/>
  <c r="G4" i="52"/>
  <c r="M55" i="9"/>
  <c r="C64" i="9"/>
  <c r="C63" i="9"/>
  <c r="C67" i="9"/>
  <c r="D59" i="9"/>
  <c r="C85" i="9"/>
  <c r="C95" i="9"/>
  <c r="C96" i="9"/>
  <c r="E96" i="9"/>
  <c r="E97" i="9"/>
  <c r="B22" i="72"/>
  <c r="D6" i="53"/>
  <c r="I4" i="52"/>
  <c r="C105" i="9"/>
  <c r="D5" i="53"/>
  <c r="B20" i="72"/>
  <c r="N61" i="9"/>
  <c r="N59" i="9"/>
  <c r="N60" i="9"/>
  <c r="M48" i="9"/>
  <c r="H107" i="9"/>
  <c r="D13" i="53"/>
  <c r="B30" i="72"/>
  <c r="H102" i="9"/>
  <c r="D7" i="53"/>
  <c r="B21" i="72"/>
  <c r="E118" i="9"/>
  <c r="E4" i="52"/>
  <c r="B48" i="72"/>
  <c r="P57" i="9"/>
  <c r="D55" i="9"/>
  <c r="M53" i="9"/>
  <c r="N57" i="9"/>
  <c r="N58" i="9"/>
  <c r="C72" i="9"/>
  <c r="C79" i="9"/>
  <c r="C81" i="9"/>
  <c r="H4" i="52"/>
  <c r="C104"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<sst xmlns="http://schemas.openxmlformats.org/spreadsheetml/2006/main" count="8038" uniqueCount="3531">
  <si>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</si>
  <si>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</si>
  <si>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</si>
  <si>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</si>
  <si>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</si>
  <si>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</si>
  <si>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</si>
  <si>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</si>
  <si>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</si>
  <si>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</si>
  <si>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</si>
  <si>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</si>
  <si>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</si>
  <si>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</si>
  <si>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</si>
  <si>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</si>
  <si>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</si>
  <si>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</si>
  <si>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</si>
  <si>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</si>
  <si>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</si>
  <si>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</si>
  <si>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</si>
  <si>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</si>
  <si>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</si>
  <si>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</si>
  <si>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</si>
  <si>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</si>
  <si>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</si>
  <si>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</si>
  <si>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</si>
  <si>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</si>
  <si>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</si>
  <si>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</si>
  <si>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</si>
  <si>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</si>
  <si>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</si>
  <si>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</si>
  <si>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</si>
  <si>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</si>
  <si>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</si>
  <si>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</si>
  <si>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</si>
  <si>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</si>
  <si>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</si>
  <si>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</si>
  <si>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</si>
  <si>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</si>
  <si>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</si>
  <si>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</si>
  <si>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</si>
  <si>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</si>
  <si>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</si>
  <si>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</si>
  <si>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</si>
  <si>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</si>
  <si>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</si>
  <si>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</si>
  <si>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</si>
  <si>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</si>
  <si>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</si>
  <si>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</si>
  <si>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</si>
  <si>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</si>
  <si>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</si>
  <si>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</si>
  <si>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</si>
  <si>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</si>
  <si>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</si>
  <si>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</si>
  <si>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</si>
  <si>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</si>
  <si>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</si>
  <si>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</si>
  <si>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</si>
  <si>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</si>
  <si>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</si>
  <si>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</si>
  <si>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</si>
  <si>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</si>
  <si>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</si>
  <si>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</si>
  <si>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</si>
  <si>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</si>
  <si>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</si>
  <si>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</si>
  <si>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</si>
  <si>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</si>
  <si>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</si>
  <si>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</si>
  <si>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</si>
  <si>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</si>
  <si>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</si>
  <si>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</si>
  <si>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</si>
  <si>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</si>
  <si>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</si>
  <si>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</si>
  <si>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</si>
  <si>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</si>
  <si>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</si>
  <si>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</si>
  <si>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</si>
  <si>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</si>
  <si>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</si>
  <si>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</si>
  <si>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</si>
  <si>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</si>
  <si>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</si>
  <si>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</si>
  <si>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</si>
  <si>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</si>
  <si>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</si>
  <si>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</si>
  <si>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</si>
  <si>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</si>
  <si>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</si>
  <si>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</si>
  <si>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</si>
  <si>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</si>
  <si>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</si>
  <si>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</si>
  <si>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</si>
  <si>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</si>
  <si>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</si>
  <si>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</si>
  <si>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</si>
  <si>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</si>
  <si>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</si>
  <si>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</si>
  <si>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</si>
  <si>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</si>
  <si>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</si>
  <si>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</si>
  <si>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</si>
  <si>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</si>
  <si>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</si>
  <si>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</si>
  <si>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</si>
  <si>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</si>
  <si>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</si>
  <si>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</si>
  <si>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</si>
  <si>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</si>
  <si>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</si>
  <si>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</si>
  <si>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</si>
  <si>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</si>
  <si>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</si>
  <si>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</si>
  <si>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</si>
  <si>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</si>
  <si>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</si>
  <si>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</si>
  <si>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</si>
  <si>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</si>
  <si>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</si>
  <si>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</si>
  <si>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</si>
  <si>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</si>
  <si>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</si>
  <si>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</si>
  <si>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</si>
  <si>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</si>
  <si>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</si>
  <si>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</si>
  <si>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</si>
  <si>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</si>
  <si>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</si>
  <si>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</si>
  <si>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</si>
  <si>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</si>
  <si>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</si>
  <si>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</si>
  <si>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</si>
  <si>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</si>
  <si>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</si>
  <si>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</si>
  <si>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</si>
  <si>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</si>
  <si>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</si>
  <si>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</si>
  <si>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</si>
  <si>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</si>
  <si>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</si>
  <si>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</si>
  <si>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</si>
  <si>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</si>
  <si>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</si>
  <si>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</si>
  <si>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</si>
  <si>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</si>
  <si>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</si>
  <si>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</si>
  <si>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</si>
  <si>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</si>
  <si>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</si>
  <si>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</si>
  <si>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</si>
  <si>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</si>
  <si>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</si>
  <si>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</si>
  <si>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</si>
  <si>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</si>
  <si>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</si>
  <si>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</si>
  <si>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</si>
  <si>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</si>
  <si>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</si>
  <si>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</si>
  <si>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</si>
  <si>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</si>
  <si>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</si>
  <si>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</si>
  <si>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</si>
  <si>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</si>
  <si>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</si>
  <si>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</si>
  <si>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</si>
  <si>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</si>
  <si>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</si>
  <si>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</si>
  <si>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</si>
  <si>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</si>
  <si>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</si>
  <si>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</si>
  <si>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</si>
  <si>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</si>
  <si>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</si>
  <si>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</si>
  <si>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</si>
  <si>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</si>
  <si>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</si>
  <si>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</si>
  <si>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</si>
  <si>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</si>
  <si>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</si>
  <si>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</si>
  <si>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</si>
  <si>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</si>
  <si>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</si>
  <si>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</si>
  <si>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</si>
  <si>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</si>
  <si>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</si>
  <si>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</si>
  <si>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</si>
  <si>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</si>
  <si>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</si>
  <si>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</si>
  <si>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</si>
  <si>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</si>
  <si>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</si>
  <si>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</si>
  <si>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</si>
  <si>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</si>
  <si>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</si>
  <si>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</si>
  <si>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</si>
  <si>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</si>
  <si>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</si>
  <si>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</si>
  <si>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</si>
  <si>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</si>
  <si>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</si>
  <si>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</si>
  <si>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</si>
  <si>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</si>
  <si>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</si>
  <si>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</si>
  <si>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</si>
  <si>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</si>
  <si>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</si>
  <si>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</si>
  <si>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</si>
  <si>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</si>
  <si>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</si>
  <si>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</si>
  <si>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</si>
  <si>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</si>
  <si>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</si>
  <si>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</si>
  <si>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</si>
  <si>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</si>
  <si>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</si>
  <si>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</si>
  <si>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</si>
  <si>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</si>
  <si>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</si>
  <si>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</si>
  <si>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</si>
  <si>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</si>
  <si>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</si>
  <si>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</si>
  <si>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</si>
  <si>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</si>
  <si>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</si>
  <si>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</si>
  <si>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</si>
  <si>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</si>
  <si>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</si>
  <si>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</si>
  <si>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</si>
  <si>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</si>
  <si>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</si>
  <si>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</si>
  <si>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</si>
  <si>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</si>
  <si>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</si>
  <si>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</si>
  <si>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</si>
  <si>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</si>
  <si>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</si>
  <si>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</si>
  <si>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</si>
  <si>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</si>
  <si>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</si>
  <si>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</si>
  <si>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</si>
  <si>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</si>
  <si>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</si>
  <si>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</si>
  <si>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</si>
  <si>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</si>
  <si>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</si>
  <si>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</si>
  <si>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</si>
  <si>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</si>
  <si>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</si>
  <si>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</si>
  <si>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</si>
  <si>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</si>
  <si>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</si>
  <si>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</si>
  <si>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</si>
  <si>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</si>
  <si>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</si>
  <si>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</si>
  <si>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</si>
  <si>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</si>
  <si>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</si>
  <si>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</si>
  <si>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</si>
  <si>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</si>
  <si>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</si>
  <si>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</si>
  <si>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</si>
  <si>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</si>
  <si>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</si>
  <si>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</si>
  <si>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</si>
  <si>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</si>
  <si>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</si>
  <si>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</si>
  <si>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</si>
  <si>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</si>
  <si>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</si>
  <si>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</si>
  <si>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</si>
  <si>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</si>
  <si>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</si>
  <si>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</si>
  <si>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</si>
  <si>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</si>
  <si>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</si>
  <si>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</si>
  <si>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</si>
  <si>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</si>
  <si>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</si>
  <si>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</si>
  <si>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</si>
  <si>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</si>
  <si>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</si>
  <si>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</si>
  <si>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</si>
  <si>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</si>
  <si>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</si>
  <si>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</si>
  <si>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</si>
  <si>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</si>
  <si>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</si>
  <si>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</si>
  <si>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</si>
  <si>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</si>
  <si>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</si>
  <si>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</si>
  <si>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</si>
  <si>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</si>
  <si>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</si>
  <si>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</si>
  <si>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</si>
  <si>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</si>
  <si>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</si>
  <si>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</si>
  <si>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</si>
  <si>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</si>
  <si>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</si>
  <si>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</si>
  <si>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</si>
  <si>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</si>
  <si>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</si>
  <si>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</si>
  <si>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</si>
  <si>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</si>
  <si>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</si>
  <si>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</si>
  <si>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</si>
  <si>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</si>
  <si>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</si>
  <si>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</si>
  <si>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</si>
  <si>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</si>
  <si>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</si>
  <si>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</si>
  <si>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</si>
  <si>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</si>
  <si>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</si>
  <si>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</si>
  <si>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</si>
  <si>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</si>
  <si>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</si>
  <si>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</si>
  <si>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</si>
  <si>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</si>
  <si>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</si>
  <si>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</si>
  <si>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</si>
  <si>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</si>
  <si>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</si>
  <si>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</si>
  <si>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</si>
  <si>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</si>
  <si>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</si>
  <si>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</si>
  <si>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</si>
  <si>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</si>
  <si>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</si>
  <si>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</si>
  <si>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</si>
  <si>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</si>
  <si>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</si>
  <si>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</si>
  <si>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</si>
  <si>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</si>
  <si>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</si>
  <si>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</si>
  <si>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</si>
  <si>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</si>
  <si>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</si>
  <si>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</si>
  <si>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</si>
  <si>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</si>
  <si>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</si>
  <si>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</si>
  <si>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</si>
  <si>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</si>
  <si>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</si>
  <si>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</si>
  <si>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</si>
  <si>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</si>
  <si>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</si>
  <si>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</si>
  <si>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</si>
  <si>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</si>
  <si>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</si>
  <si>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</si>
  <si>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</si>
  <si>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</si>
  <si>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</si>
  <si>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</si>
  <si>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</si>
  <si>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</si>
  <si>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</si>
  <si>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</si>
  <si>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</si>
  <si>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</si>
  <si>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</si>
  <si>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</si>
  <si>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</si>
  <si>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</si>
  <si>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</si>
  <si>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</si>
  <si>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</si>
  <si>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</si>
  <si>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</si>
  <si>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</si>
  <si>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</si>
  <si>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</si>
  <si>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</si>
  <si>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</si>
  <si>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</si>
  <si>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</si>
  <si>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</si>
  <si>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</si>
  <si>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</si>
  <si>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</si>
  <si>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</si>
  <si>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</si>
  <si>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</si>
  <si>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</si>
  <si>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</si>
  <si>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</si>
  <si>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</si>
  <si>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</si>
  <si>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</si>
  <si>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</si>
  <si>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</si>
  <si>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</si>
  <si>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</si>
  <si>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</si>
  <si>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</si>
  <si>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</si>
  <si>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</si>
  <si>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</si>
  <si>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</si>
  <si>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</si>
  <si>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</si>
  <si>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</si>
  <si>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</si>
  <si>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</si>
  <si>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</si>
  <si>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</si>
  <si>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</si>
  <si>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</si>
  <si>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</si>
  <si>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</si>
  <si>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</si>
  <si>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</si>
  <si>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</si>
  <si>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</si>
  <si>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</si>
  <si>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</si>
  <si>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</si>
  <si>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</si>
  <si>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</si>
  <si>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</si>
  <si>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</si>
  <si>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</si>
  <si>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</si>
  <si>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</si>
  <si>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</si>
  <si>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</si>
  <si>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</si>
  <si>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</si>
  <si>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</si>
  <si>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</si>
  <si>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</si>
  <si>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</si>
  <si>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</si>
  <si>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</si>
  <si>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</si>
  <si>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</si>
  <si>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</si>
  <si>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</si>
  <si>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</si>
  <si>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</si>
  <si>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</si>
  <si>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</si>
  <si>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</si>
  <si>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</si>
  <si>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</si>
  <si>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</si>
  <si>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</si>
  <si>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</si>
  <si>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</si>
  <si>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</si>
  <si>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</si>
  <si>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</si>
  <si>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</si>
  <si>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</si>
  <si>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</si>
  <si>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</si>
  <si>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</si>
  <si>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</si>
  <si>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</si>
  <si>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</si>
  <si>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</si>
  <si>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</si>
  <si>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</si>
  <si>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</si>
  <si>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</si>
  <si>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</si>
  <si>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</si>
  <si>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</si>
  <si>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</si>
  <si>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</si>
  <si>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</si>
  <si>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</si>
  <si>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</si>
  <si>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</si>
  <si>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</si>
  <si>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</si>
  <si>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</si>
  <si>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</si>
  <si>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</si>
  <si>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</si>
  <si>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</si>
  <si>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</si>
  <si>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</si>
  <si>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</si>
  <si>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</si>
  <si>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</si>
  <si>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</si>
  <si>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</si>
  <si>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</si>
  <si>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</si>
  <si>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</si>
  <si>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</si>
  <si>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</si>
  <si>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</si>
  <si>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</si>
  <si>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</si>
  <si>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</si>
  <si>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</si>
  <si>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</si>
  <si>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</si>
  <si>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</si>
  <si>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</si>
  <si>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</si>
  <si>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</si>
  <si>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</si>
  <si>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</si>
  <si>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</si>
  <si>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</si>
  <si>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</si>
  <si>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</si>
  <si>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</si>
  <si>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</si>
  <si>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</si>
  <si>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</si>
  <si>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</si>
  <si>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</si>
  <si>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</si>
  <si>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</si>
  <si>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</si>
  <si>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</si>
  <si>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</si>
  <si>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</si>
  <si>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</si>
  <si>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</si>
  <si>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</si>
  <si>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</si>
  <si>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</si>
  <si>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</si>
  <si>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</si>
  <si>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</si>
  <si>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</si>
  <si>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</si>
  <si>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</si>
  <si>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</si>
  <si>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</si>
  <si>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</si>
  <si>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</si>
  <si>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</si>
  <si>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</si>
  <si>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</si>
  <si>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</si>
  <si>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</si>
  <si>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</si>
  <si>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</si>
  <si>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</si>
  <si>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</si>
  <si>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</si>
  <si>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</si>
  <si>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</si>
  <si>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</si>
  <si>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</si>
  <si>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</si>
  <si>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</si>
  <si>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</si>
  <si>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</si>
  <si>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</si>
  <si>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</si>
  <si>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</si>
  <si>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</si>
  <si>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</si>
  <si>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</si>
  <si>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</si>
  <si>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</si>
  <si>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</si>
  <si>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</si>
  <si>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</si>
  <si>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</si>
  <si>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</si>
  <si>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</si>
  <si>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</si>
  <si>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</si>
  <si>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</si>
  <si>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</si>
  <si>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</si>
  <si>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</si>
  <si>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</si>
  <si>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</si>
  <si>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</si>
  <si>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</si>
  <si>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</si>
  <si>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</si>
  <si>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</si>
  <si>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</si>
  <si>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</si>
  <si>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</si>
  <si>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</si>
  <si>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</si>
  <si>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</si>
  <si>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</si>
  <si>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</si>
  <si>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</si>
  <si>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</si>
  <si>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</si>
  <si>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</si>
  <si>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</si>
  <si>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</si>
  <si>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</si>
  <si>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</si>
  <si>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</si>
  <si>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</si>
  <si>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</si>
  <si>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</si>
  <si>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</si>
  <si>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</si>
  <si>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</si>
  <si>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</si>
  <si>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</si>
  <si>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</si>
  <si>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</si>
  <si>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</si>
  <si>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</si>
  <si>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</si>
  <si>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</si>
  <si>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</si>
  <si>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</si>
  <si>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</si>
  <si>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</si>
  <si>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</si>
  <si>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</si>
  <si>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</si>
  <si>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</si>
  <si>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</si>
  <si>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</si>
  <si>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</si>
  <si>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</si>
  <si>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</si>
  <si>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</si>
  <si>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</si>
  <si>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</si>
  <si>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</si>
  <si>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</si>
  <si>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</si>
  <si>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</si>
  <si>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</si>
  <si>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</si>
  <si>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</si>
  <si>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</si>
  <si>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</si>
  <si>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</si>
  <si>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</si>
  <si>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</si>
  <si>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</si>
  <si>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</si>
  <si>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</si>
  <si>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</si>
  <si>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</si>
  <si>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</si>
  <si>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</si>
  <si>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</si>
  <si>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</si>
  <si>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</si>
  <si>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</si>
  <si>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</si>
  <si>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</si>
  <si>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</si>
  <si>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</si>
  <si>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</si>
  <si>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</si>
  <si>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</si>
  <si>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</si>
  <si>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</si>
  <si>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</si>
  <si>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</si>
  <si>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</si>
  <si>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</si>
  <si>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</si>
  <si>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</si>
  <si>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</si>
  <si>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</si>
  <si>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</si>
  <si>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</si>
  <si>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</si>
  <si>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</si>
  <si>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</si>
  <si>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</si>
  <si>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</si>
  <si>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</si>
  <si>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</si>
  <si>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</si>
  <si>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</si>
  <si>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</si>
  <si>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</si>
  <si>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</si>
  <si>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</si>
  <si>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</si>
  <si>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</si>
  <si>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</si>
  <si>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</si>
  <si>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</si>
  <si>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</si>
  <si>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</si>
  <si>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</si>
  <si>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</si>
  <si>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</si>
  <si>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</si>
  <si>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</si>
  <si>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</si>
  <si>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</si>
  <si>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</si>
  <si>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</si>
  <si>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</si>
  <si>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</si>
  <si>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</si>
  <si>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</si>
  <si>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</si>
  <si>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</si>
  <si>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</si>
  <si>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</si>
  <si>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</si>
  <si>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</si>
  <si>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</si>
  <si>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</si>
  <si>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</si>
  <si>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</si>
  <si>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</si>
  <si>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</si>
  <si>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</si>
  <si>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</si>
  <si>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</si>
  <si>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</si>
  <si>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</si>
  <si>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</si>
  <si>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</si>
  <si>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</si>
  <si>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</si>
  <si>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</si>
  <si>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</si>
  <si>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</si>
  <si>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</si>
  <si>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</si>
  <si>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</si>
  <si>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</si>
  <si>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</si>
  <si>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</si>
  <si>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</si>
  <si>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</si>
  <si>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</si>
  <si>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</si>
  <si>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</si>
  <si>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</si>
  <si>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</si>
  <si>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</si>
  <si>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</si>
  <si>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</si>
  <si>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</si>
  <si>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</si>
  <si>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</si>
  <si>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</si>
  <si>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</si>
  <si>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</si>
  <si>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</si>
  <si>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</si>
  <si>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</si>
  <si>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</si>
  <si>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</si>
  <si>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</si>
  <si>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</si>
  <si>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</si>
  <si>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</si>
  <si>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</si>
  <si>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</si>
  <si>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</si>
  <si>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</si>
  <si>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</si>
  <si>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</si>
  <si>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</si>
  <si>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</si>
  <si>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</si>
  <si>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</si>
  <si>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</si>
  <si>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</si>
  <si>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</si>
  <si>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</si>
  <si>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</si>
  <si>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</si>
  <si>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</si>
  <si>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</si>
  <si>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</si>
  <si>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</si>
  <si>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</si>
  <si>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</si>
  <si>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</si>
  <si>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</si>
  <si>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</si>
  <si>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</si>
  <si>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</si>
  <si>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</si>
  <si>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</si>
  <si>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</si>
  <si>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</si>
  <si>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</si>
  <si>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</si>
  <si>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</si>
  <si>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</si>
  <si>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</si>
  <si>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</si>
  <si>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</si>
  <si>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</si>
  <si>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</si>
  <si>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</si>
  <si>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</si>
  <si>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</si>
  <si>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</si>
  <si>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</si>
  <si>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</si>
  <si>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</si>
  <si>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</si>
  <si>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</si>
  <si>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</si>
  <si>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</si>
  <si>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</si>
  <si>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</si>
  <si>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</si>
  <si>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</si>
  <si>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</si>
  <si>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</si>
  <si>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</si>
  <si>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</si>
  <si>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</si>
  <si>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</si>
  <si>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</si>
  <si>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</si>
  <si>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</si>
  <si>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</si>
  <si>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</si>
  <si>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</si>
  <si>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</si>
  <si>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</si>
  <si>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</si>
  <si>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</si>
  <si>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</si>
  <si>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</si>
  <si>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</si>
  <si>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</si>
  <si>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</si>
  <si>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</si>
  <si>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</si>
  <si>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</si>
  <si>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</si>
  <si>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</si>
  <si>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</si>
  <si>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</si>
  <si>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</si>
  <si>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</si>
  <si>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</si>
  <si>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</si>
  <si>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</si>
  <si>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</si>
  <si>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</si>
  <si>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</si>
  <si>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</si>
  <si>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</si>
  <si>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</si>
  <si>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</si>
  <si>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</si>
  <si>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</si>
  <si>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</si>
  <si>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</si>
  <si>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</si>
  <si>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</si>
  <si>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</si>
  <si>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</si>
  <si>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</si>
  <si>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</si>
  <si>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</si>
  <si>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</si>
  <si>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</si>
  <si>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</si>
  <si>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</si>
  <si>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</si>
  <si>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</si>
  <si>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</si>
  <si>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</si>
  <si>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</si>
  <si>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</si>
  <si>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</si>
  <si>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</si>
  <si>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</si>
  <si>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</si>
  <si>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</si>
  <si>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</si>
  <si>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</si>
  <si>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</si>
  <si>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</si>
  <si>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</si>
  <si>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</si>
  <si>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</si>
  <si>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</si>
  <si>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</si>
  <si>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</si>
  <si>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</si>
  <si>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</si>
  <si>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</si>
  <si>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</si>
  <si>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</si>
  <si>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</si>
  <si>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</si>
  <si>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</si>
  <si>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</si>
  <si>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</si>
  <si>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</si>
  <si>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</si>
  <si>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</si>
  <si>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</si>
  <si>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</si>
  <si>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</si>
  <si>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</si>
  <si>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</si>
  <si>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</si>
  <si>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</si>
  <si>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</si>
  <si>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</si>
  <si>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</si>
  <si>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</si>
  <si>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</si>
  <si>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</si>
  <si>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</si>
  <si>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</si>
  <si>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</si>
  <si>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</si>
  <si>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</si>
  <si>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</si>
  <si>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</si>
  <si>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</si>
  <si>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</si>
  <si>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</si>
  <si>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</si>
  <si>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</si>
  <si>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</si>
  <si>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</si>
  <si>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</si>
  <si>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</si>
  <si>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</si>
  <si>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</si>
  <si>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</si>
  <si>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</si>
  <si>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</si>
  <si>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</si>
  <si>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</si>
  <si>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</si>
  <si>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</si>
  <si>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</si>
  <si>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</si>
  <si>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</si>
  <si>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</si>
  <si>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</si>
  <si>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</si>
  <si>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</si>
  <si>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</si>
  <si>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</si>
  <si>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</si>
  <si>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</si>
  <si>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</si>
  <si>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</si>
  <si>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</si>
  <si>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</si>
  <si>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</si>
  <si>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</si>
  <si>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</si>
  <si>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</si>
  <si>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</si>
  <si>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</si>
  <si>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</si>
  <si>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</si>
  <si>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</si>
  <si>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</si>
  <si>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</si>
  <si>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</si>
  <si>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</si>
  <si>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</si>
  <si>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</si>
  <si>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</si>
  <si>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</si>
  <si>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</si>
  <si>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</si>
  <si>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</si>
  <si>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</si>
  <si>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</si>
  <si>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</si>
  <si>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</si>
  <si>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</si>
  <si>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</si>
  <si>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</si>
  <si>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</si>
  <si>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</si>
  <si>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</si>
  <si>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</si>
  <si>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</si>
  <si>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</si>
  <si>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</si>
  <si>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</si>
  <si>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</si>
  <si>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</si>
  <si>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</si>
  <si>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</si>
  <si>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</si>
  <si>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</si>
  <si>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</si>
  <si>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</si>
  <si>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</si>
  <si>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</si>
  <si>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</si>
  <si>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</si>
  <si>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</si>
  <si>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</si>
  <si>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</si>
  <si>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</si>
  <si>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</si>
  <si>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</si>
  <si>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</si>
  <si>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</si>
  <si>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</si>
  <si>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</si>
  <si>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</si>
  <si>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</si>
  <si>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</si>
  <si>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</si>
  <si>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</si>
  <si>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</si>
  <si>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</si>
  <si>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</si>
  <si>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</si>
  <si>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</si>
  <si>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</si>
  <si>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</si>
  <si>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</si>
  <si>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</si>
  <si>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</si>
  <si>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</si>
  <si>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</si>
  <si>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</si>
  <si>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</si>
  <si>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</si>
  <si>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</si>
  <si>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</si>
  <si>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</si>
  <si>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</si>
  <si>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</si>
  <si>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</si>
  <si>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</si>
  <si>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</si>
  <si>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</si>
  <si>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</si>
  <si>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</si>
  <si>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</si>
  <si>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</si>
  <si>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</si>
  <si>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</si>
  <si>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</si>
  <si>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</si>
  <si>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</si>
  <si>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</si>
  <si>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</si>
  <si>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</si>
  <si>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</si>
  <si>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</si>
  <si>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</si>
  <si>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</si>
  <si>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</si>
  <si>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</si>
  <si>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</si>
  <si>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</si>
  <si>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</si>
  <si>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</si>
  <si>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</si>
  <si>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</si>
  <si>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</si>
  <si>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</si>
  <si>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</si>
  <si>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</si>
  <si>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</si>
  <si>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</si>
  <si>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</si>
  <si>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</si>
  <si>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</si>
  <si>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</si>
  <si>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</si>
  <si>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</si>
  <si>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</si>
  <si>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</si>
  <si>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</si>
  <si>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</si>
  <si>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</si>
  <si>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</si>
  <si>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</si>
  <si>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</si>
  <si>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</si>
  <si>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</si>
  <si>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</si>
  <si>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</si>
  <si>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</si>
  <si>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</si>
  <si>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</si>
  <si>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</si>
  <si>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</si>
  <si>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</si>
  <si>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</si>
  <si>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</si>
  <si>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</si>
  <si>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</si>
  <si>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</si>
  <si>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</si>
  <si>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</si>
  <si>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</si>
  <si>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</si>
  <si>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</si>
  <si>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</si>
  <si>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</si>
  <si>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</si>
  <si>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</si>
  <si>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</si>
  <si>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</si>
  <si>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</si>
  <si>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</si>
  <si>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</si>
  <si>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</si>
  <si>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</si>
  <si>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</si>
  <si>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</si>
  <si>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</si>
  <si>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</si>
  <si>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</si>
  <si>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</si>
  <si>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</si>
  <si>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</si>
  <si>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</si>
  <si>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</si>
  <si>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</si>
  <si>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</si>
  <si>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</si>
  <si>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</si>
  <si>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</si>
  <si>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</si>
  <si>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</si>
  <si>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</si>
  <si>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</si>
  <si>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</si>
  <si>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</si>
  <si>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</si>
  <si>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</si>
  <si>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</si>
  <si>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</si>
  <si>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</si>
  <si>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</si>
  <si>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</si>
  <si>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</si>
  <si>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</si>
  <si>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</si>
  <si>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</si>
  <si>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</si>
  <si>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</si>
  <si>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</si>
  <si>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</si>
  <si>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</si>
  <si>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</si>
  <si>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</si>
  <si>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</si>
  <si>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</si>
  <si>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</si>
  <si>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</si>
  <si>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</si>
  <si>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</si>
  <si>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</si>
  <si>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</si>
  <si>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</si>
  <si>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</si>
  <si>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</si>
  <si>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</si>
  <si>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</si>
  <si>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</si>
  <si>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</si>
  <si>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</si>
  <si>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</si>
  <si>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</si>
  <si>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</si>
  <si>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</si>
  <si>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</si>
  <si>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</si>
  <si>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</si>
  <si>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</si>
  <si>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</si>
  <si>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</si>
  <si>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</si>
  <si>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</si>
  <si>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</si>
  <si>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</si>
  <si>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</si>
  <si>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</si>
  <si>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</si>
  <si>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</si>
  <si>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</si>
  <si>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</si>
  <si>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</si>
  <si>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</si>
  <si>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</si>
  <si>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</si>
  <si>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</si>
  <si>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</si>
  <si>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</si>
  <si>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</si>
  <si>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</si>
  <si>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</si>
  <si>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</si>
  <si>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</si>
  <si>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</si>
  <si>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</si>
  <si>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</si>
  <si>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</si>
  <si>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</si>
  <si>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</si>
  <si>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</si>
  <si>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</si>
  <si>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</si>
  <si>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</si>
  <si>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</si>
  <si>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</si>
  <si>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</si>
  <si>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</si>
  <si>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</si>
  <si>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</si>
  <si>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</si>
  <si>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</si>
  <si>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</si>
  <si>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</si>
  <si>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</si>
  <si>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</si>
  <si>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</si>
  <si>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</si>
  <si>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</si>
  <si>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</si>
  <si>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</si>
  <si>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</si>
  <si>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</si>
  <si>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</si>
  <si>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</si>
  <si>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</si>
  <si>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</si>
  <si>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</si>
  <si>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</si>
  <si>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</si>
  <si>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</si>
  <si>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</si>
  <si>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</si>
  <si>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</si>
  <si>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</si>
  <si>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</si>
  <si>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</si>
  <si>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</si>
  <si>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</si>
  <si>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</si>
  <si>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</si>
  <si>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</si>
  <si>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</si>
  <si>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</si>
  <si>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</si>
  <si>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</si>
  <si>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</si>
  <si>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</si>
  <si>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</si>
  <si>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</si>
  <si>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</si>
  <si>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</si>
  <si>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</si>
  <si>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</si>
  <si>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</si>
  <si>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</si>
  <si>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</si>
  <si>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</si>
  <si>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</si>
  <si>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</si>
  <si>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</si>
  <si>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</si>
  <si>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</si>
  <si>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</si>
  <si>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</si>
  <si>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</si>
  <si>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</si>
  <si>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</si>
  <si>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</si>
  <si>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</si>
  <si>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</si>
  <si>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</si>
  <si>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</si>
  <si>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</si>
  <si>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</si>
  <si>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</si>
  <si>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</si>
  <si>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</si>
  <si>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</si>
  <si>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</si>
  <si>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</si>
  <si>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</si>
  <si>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</si>
  <si>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</si>
  <si>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</si>
  <si>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</si>
  <si>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</si>
  <si>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</si>
  <si>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</si>
  <si>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</si>
  <si>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</si>
  <si>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</si>
  <si>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</si>
  <si>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</si>
  <si>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</si>
  <si>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</si>
  <si>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</si>
  <si>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</si>
  <si>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</si>
  <si>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</si>
  <si>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</si>
  <si>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</si>
  <si>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</si>
  <si>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</si>
  <si>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</si>
  <si>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</si>
  <si>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</si>
  <si>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</si>
  <si>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</si>
  <si>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</si>
  <si>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</si>
  <si>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</si>
  <si>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</si>
  <si>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</si>
  <si>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</si>
  <si>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</si>
  <si>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</si>
  <si>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</si>
  <si>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</si>
  <si>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</si>
  <si>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</si>
  <si>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</si>
  <si>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</si>
  <si>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</si>
  <si>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</si>
  <si>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</si>
  <si>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</si>
  <si>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</si>
  <si>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</si>
  <si>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</si>
  <si>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</si>
  <si>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</si>
  <si>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</si>
  <si>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</si>
  <si>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</si>
  <si>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</si>
  <si>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</si>
  <si>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</si>
  <si>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</si>
  <si>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</si>
  <si>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</si>
  <si>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</si>
  <si>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</si>
  <si>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</si>
  <si>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</si>
  <si>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</si>
  <si>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</si>
  <si>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</si>
  <si>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</si>
  <si>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</si>
  <si>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</si>
  <si>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</si>
  <si>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</si>
  <si>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</si>
  <si>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</si>
  <si>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</si>
  <si>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</si>
  <si>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</si>
  <si>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</si>
  <si>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</si>
  <si>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</si>
  <si>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</si>
  <si>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</si>
  <si>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</si>
  <si>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</si>
  <si>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</si>
  <si>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</si>
  <si>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</si>
  <si>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</si>
  <si>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</si>
  <si>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</si>
  <si>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</si>
  <si>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</si>
  <si>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</si>
  <si>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</si>
  <si>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</si>
  <si>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</si>
  <si>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</si>
  <si>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</si>
  <si>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</si>
  <si>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</si>
  <si>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</si>
  <si>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</si>
  <si>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</si>
  <si>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</si>
  <si>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</si>
  <si>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</si>
  <si>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</si>
  <si>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</si>
  <si>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</si>
  <si>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</si>
  <si>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</si>
  <si>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</si>
  <si>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</si>
  <si>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</si>
  <si>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</si>
  <si>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</si>
  <si>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</si>
  <si>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</si>
  <si>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</si>
  <si>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</si>
  <si>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</si>
  <si>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</si>
  <si>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</si>
  <si>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</si>
  <si>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</si>
  <si>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</si>
  <si>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</si>
  <si>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</si>
  <si>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</si>
  <si>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</si>
  <si>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</si>
  <si>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</si>
  <si>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</si>
  <si>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</si>
  <si>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</si>
  <si>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</si>
  <si>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</si>
  <si>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</si>
  <si>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</si>
  <si>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</si>
  <si>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</si>
  <si>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</si>
  <si>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</si>
  <si>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</si>
  <si>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</si>
  <si>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</si>
  <si>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</si>
  <si>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</si>
  <si>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</si>
  <si>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</si>
  <si>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</si>
  <si>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</si>
  <si>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</si>
  <si>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</si>
  <si>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</si>
  <si>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</si>
  <si>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</si>
  <si>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</si>
  <si>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</si>
  <si>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</si>
  <si>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</si>
  <si>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</si>
  <si>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</si>
  <si>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</si>
  <si>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</si>
  <si>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</si>
  <si>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</si>
  <si>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</si>
  <si>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</si>
  <si>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</si>
  <si>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</si>
  <si>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</si>
  <si>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</si>
  <si>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</si>
  <si>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</si>
  <si>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</si>
  <si>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</si>
  <si>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</si>
  <si>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</si>
  <si>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</si>
  <si>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</si>
  <si>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</si>
  <si>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</si>
  <si>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</si>
  <si>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</si>
  <si>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</si>
  <si>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</si>
  <si>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</si>
  <si>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</si>
  <si>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</si>
  <si>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</si>
  <si>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</si>
  <si>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</si>
  <si>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</si>
  <si>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</si>
  <si>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</si>
  <si>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</si>
  <si>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</si>
  <si>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</si>
  <si>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</si>
  <si>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</si>
  <si>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</si>
  <si>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</si>
  <si>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</si>
  <si>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</si>
  <si>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</si>
  <si>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</si>
  <si>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</si>
  <si>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</si>
  <si>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</si>
  <si>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</si>
  <si>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</si>
  <si>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</si>
  <si>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</si>
  <si>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</si>
  <si>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</si>
  <si>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</si>
  <si>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</si>
  <si>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</si>
  <si>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</si>
  <si>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</si>
  <si>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</si>
  <si>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</si>
  <si>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</si>
  <si>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</si>
  <si>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</si>
  <si>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</si>
  <si>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</si>
  <si>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</si>
  <si>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</si>
  <si>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</si>
  <si>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</si>
  <si>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</si>
  <si>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</si>
  <si>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</si>
  <si>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</si>
  <si>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</si>
  <si>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</si>
  <si>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</si>
  <si>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</si>
  <si>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</si>
  <si>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</si>
  <si>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</si>
  <si>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</si>
  <si>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</si>
  <si>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</si>
  <si>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</si>
  <si>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</si>
  <si>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</si>
  <si>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</si>
  <si>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</si>
  <si>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</si>
  <si>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</si>
  <si>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</si>
  <si>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</si>
  <si>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</si>
  <si>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</si>
  <si>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</si>
  <si>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</si>
  <si>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</si>
  <si>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</si>
  <si>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</si>
  <si>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</si>
  <si>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</si>
  <si>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</si>
  <si>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</si>
  <si>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</si>
  <si>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</si>
  <si>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</si>
  <si>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</si>
  <si>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</si>
  <si>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</si>
  <si>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</si>
  <si>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</si>
  <si>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</si>
  <si>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</si>
  <si>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</si>
  <si>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</si>
  <si>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</si>
  <si>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</si>
  <si>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</si>
  <si>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</si>
  <si>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</si>
  <si>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</si>
  <si>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</si>
  <si>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</si>
  <si>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</si>
  <si>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</si>
  <si>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</si>
  <si>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</si>
  <si>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</si>
  <si>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</si>
  <si>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</si>
  <si>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</si>
  <si>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</si>
  <si>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</si>
  <si>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</si>
  <si>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</si>
  <si>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</si>
  <si>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</si>
  <si>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</si>
  <si>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</si>
  <si>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</si>
  <si>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</si>
  <si>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</si>
  <si>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</si>
  <si>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</si>
  <si>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</si>
  <si>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</si>
  <si>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</si>
  <si>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</si>
  <si>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</si>
  <si>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</si>
  <si>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</si>
  <si>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</si>
  <si>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</si>
  <si>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</si>
  <si>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</si>
  <si>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</si>
  <si>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</si>
  <si>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</si>
  <si>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</si>
  <si>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</si>
  <si>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</si>
  <si>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</si>
  <si>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</si>
  <si>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</si>
  <si>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</si>
  <si>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</si>
  <si>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</si>
  <si>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</si>
  <si>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</si>
  <si>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</si>
  <si>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</si>
  <si>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</si>
  <si>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</si>
  <si>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</si>
  <si>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</si>
  <si>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</si>
  <si>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</si>
  <si>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</si>
  <si>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</si>
  <si>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</si>
  <si>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</si>
  <si>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</si>
  <si>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</si>
  <si>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</si>
  <si>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</si>
  <si>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</si>
  <si>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</si>
  <si>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</si>
  <si>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</si>
  <si>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</si>
  <si>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</si>
  <si>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</si>
  <si>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</si>
  <si>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</si>
  <si>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</si>
  <si>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</si>
  <si>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</si>
  <si>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</si>
  <si>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</si>
  <si>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</si>
  <si>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</si>
  <si>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</si>
  <si>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</si>
  <si>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</si>
  <si>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</si>
  <si>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</si>
  <si>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</si>
  <si>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</si>
  <si>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</si>
  <si>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</si>
  <si>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</si>
  <si>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</si>
  <si>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</si>
  <si>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</si>
  <si>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</si>
  <si>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</si>
  <si>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</si>
  <si>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</si>
  <si>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</si>
  <si>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</si>
  <si>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</si>
  <si>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</si>
  <si>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</si>
  <si>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</si>
  <si>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</si>
  <si>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</si>
  <si>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</si>
  <si>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</si>
  <si>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</si>
  <si>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</si>
  <si>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</si>
  <si>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</si>
  <si>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</si>
  <si>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</si>
  <si>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</si>
  <si>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</si>
  <si>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</si>
  <si>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</si>
  <si>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</si>
  <si>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</si>
  <si>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</si>
  <si>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</si>
  <si>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</si>
  <si>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</si>
  <si>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</si>
  <si>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</si>
  <si>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</si>
  <si>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</si>
  <si>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</si>
  <si>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</si>
  <si>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</si>
  <si>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</si>
  <si>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</si>
  <si>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</si>
  <si>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</si>
  <si>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</si>
  <si>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</si>
  <si>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</si>
  <si>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</si>
  <si>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</si>
  <si>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</si>
  <si>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</si>
  <si>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</si>
  <si>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</si>
  <si>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</si>
  <si>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</si>
  <si>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</si>
  <si>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</si>
  <si>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</si>
  <si>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</si>
  <si>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</si>
  <si>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</si>
  <si>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</si>
  <si>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</si>
  <si>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</si>
  <si>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</si>
  <si>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</si>
  <si>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</si>
  <si>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</si>
  <si>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</si>
  <si>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</si>
  <si>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</si>
  <si>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</si>
  <si>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</si>
  <si>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</si>
  <si>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</si>
  <si>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</si>
  <si>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</si>
  <si>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</si>
  <si>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</si>
  <si>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</si>
  <si>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</si>
  <si>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</si>
  <si>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</si>
  <si>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</si>
  <si>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</si>
  <si>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</si>
  <si>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</si>
  <si>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</si>
  <si>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</si>
  <si>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</si>
  <si>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</si>
  <si>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</si>
  <si>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</si>
  <si>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</si>
  <si>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</si>
  <si>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</si>
  <si>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</si>
  <si>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</si>
  <si>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</si>
  <si>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</si>
  <si>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</si>
  <si>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</si>
  <si>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</si>
  <si>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</si>
  <si>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</si>
  <si>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</si>
  <si>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</si>
  <si>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</si>
  <si>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</si>
  <si>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</si>
  <si>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</si>
  <si>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</si>
  <si>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</si>
  <si>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</si>
  <si>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</si>
  <si>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</si>
  <si>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</si>
  <si>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</si>
  <si>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</si>
  <si>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</si>
  <si>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</si>
  <si>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</si>
  <si>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</si>
  <si>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</si>
  <si>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</si>
  <si>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</si>
  <si>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</si>
  <si>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</si>
  <si>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</si>
  <si>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</si>
  <si>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</si>
  <si>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</si>
  <si>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</si>
  <si>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</si>
  <si>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</si>
  <si>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</si>
  <si>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</si>
  <si>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</si>
  <si>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</si>
  <si>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</si>
  <si>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</si>
  <si>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</si>
  <si>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</si>
  <si>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</si>
  <si>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</si>
  <si>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</si>
  <si>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</si>
  <si>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</si>
  <si>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</si>
  <si>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</si>
  <si>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</si>
  <si>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</si>
  <si>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</si>
  <si>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</si>
  <si>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</si>
  <si>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</si>
  <si>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</si>
  <si>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</si>
  <si>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</si>
  <si>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</si>
  <si>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</si>
  <si>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</si>
  <si>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</si>
  <si>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</si>
  <si>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</si>
  <si>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</si>
  <si>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</si>
  <si>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</si>
  <si>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</si>
  <si>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</si>
  <si>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</si>
  <si>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</si>
  <si>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</si>
  <si>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</si>
  <si>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</si>
  <si>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</si>
  <si>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</si>
  <si>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</si>
  <si>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</si>
  <si>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</si>
  <si>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</si>
  <si>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</si>
  <si>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</si>
  <si>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</si>
  <si>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</si>
  <si>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</si>
  <si>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</si>
  <si>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</si>
  <si>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</si>
  <si>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</si>
  <si>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</si>
  <si>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</si>
  <si>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</si>
  <si>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</si>
  <si>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</si>
  <si>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</si>
  <si>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</si>
  <si>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</si>
  <si>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</si>
  <si>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</si>
  <si>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</si>
  <si>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</si>
  <si>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</si>
  <si>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</si>
  <si>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</si>
  <si>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</si>
  <si>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</si>
  <si>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</si>
  <si>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</si>
  <si>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</si>
  <si>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</si>
  <si>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</si>
  <si>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</si>
  <si>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</si>
  <si>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</si>
  <si>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</si>
  <si>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</si>
  <si>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</si>
  <si>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</si>
  <si>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</si>
  <si>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</si>
  <si>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</si>
  <si>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</si>
  <si>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</si>
  <si>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</si>
  <si>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</si>
  <si>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</si>
  <si>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</si>
  <si>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</si>
  <si>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</si>
  <si>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</si>
  <si>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</si>
  <si>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</si>
  <si>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</si>
  <si>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</si>
  <si>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</si>
  <si>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</si>
  <si>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</si>
  <si>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</si>
  <si>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</si>
  <si>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</si>
  <si>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</si>
  <si>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</si>
  <si>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</si>
  <si>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</si>
  <si>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</si>
  <si>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</si>
  <si>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</si>
  <si>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</si>
  <si>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</si>
  <si>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</si>
  <si>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</si>
  <si>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</si>
  <si>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</si>
  <si>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</si>
  <si>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</si>
  <si>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</si>
  <si>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</si>
  <si>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</si>
  <si>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</si>
  <si>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</si>
  <si>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</si>
  <si>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</si>
  <si>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</si>
  <si>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</si>
  <si>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</si>
  <si>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</si>
  <si>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</si>
  <si>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</si>
  <si>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</si>
  <si>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</si>
  <si>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</si>
  <si>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</si>
  <si>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</si>
  <si>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</si>
  <si>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</si>
  <si>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</si>
  <si>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</si>
  <si>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</si>
  <si>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</si>
  <si>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</si>
  <si>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</si>
  <si>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</si>
  <si>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</si>
  <si>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</si>
  <si>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</si>
  <si>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</si>
  <si>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</si>
  <si>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</si>
  <si>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</si>
  <si>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</si>
  <si>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</si>
  <si>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</si>
  <si>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</si>
  <si>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</si>
  <si>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</si>
  <si>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</si>
  <si>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</si>
  <si>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</si>
  <si>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</si>
  <si>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</si>
  <si>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</si>
  <si>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</si>
  <si>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</si>
  <si>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</si>
  <si>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</si>
  <si>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</si>
  <si>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</si>
  <si>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</si>
  <si>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</si>
  <si>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</si>
  <si>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</si>
  <si>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</si>
  <si>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</si>
  <si>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</si>
  <si>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</si>
  <si>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</si>
  <si>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</si>
  <si>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</si>
  <si>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</si>
  <si>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</si>
  <si>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</si>
  <si>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</si>
  <si>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</si>
  <si>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</si>
  <si>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</si>
  <si>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</si>
  <si>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</si>
  <si>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</si>
  <si>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</si>
  <si>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</si>
  <si>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</si>
  <si>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</si>
  <si>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</si>
  <si>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</si>
  <si>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</si>
  <si>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</si>
  <si>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</si>
  <si>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</si>
  <si>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</si>
  <si>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</si>
  <si>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</si>
  <si>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</si>
  <si>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</si>
  <si>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</si>
  <si>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</si>
  <si>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</si>
  <si>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</si>
  <si>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</si>
  <si>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</si>
  <si>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</si>
  <si>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</si>
  <si>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</si>
  <si>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</si>
  <si>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</si>
  <si>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</si>
  <si>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</si>
  <si>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</si>
  <si>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</si>
  <si>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</si>
  <si>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</si>
  <si>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</si>
  <si>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</si>
  <si>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</si>
  <si>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</si>
  <si>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</si>
  <si>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</si>
  <si>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</si>
  <si>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</si>
  <si>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</si>
  <si>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</si>
  <si>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</si>
  <si>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</si>
  <si>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</si>
  <si>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</si>
  <si>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</si>
  <si>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</si>
  <si>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</si>
  <si>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</si>
  <si>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</si>
  <si>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</si>
  <si>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</si>
  <si>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</si>
  <si>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</si>
  <si>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</si>
  <si>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</si>
  <si>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</si>
  <si>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</si>
  <si>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</si>
  <si>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</si>
  <si>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</si>
  <si>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</si>
  <si>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</si>
  <si>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</si>
  <si>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</si>
  <si>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</si>
  <si>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</si>
  <si>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</si>
  <si>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</si>
  <si>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</si>
  <si>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</si>
  <si>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</si>
  <si>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</si>
  <si>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</si>
  <si>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</si>
  <si>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</si>
  <si>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</si>
  <si>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</si>
  <si>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</si>
  <si>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</si>
  <si>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</si>
  <si>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</si>
  <si>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</si>
  <si>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</si>
  <si>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</si>
  <si>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</si>
  <si>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</si>
  <si>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</si>
  <si>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</si>
  <si>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</si>
  <si>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</si>
  <si>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</si>
  <si>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</si>
  <si>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</si>
  <si>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</si>
  <si>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</si>
  <si>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</si>
  <si>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</si>
  <si>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</si>
  <si>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</si>
  <si>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</si>
  <si>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</si>
  <si>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</si>
  <si>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</si>
  <si>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</si>
  <si>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</si>
  <si>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</si>
  <si>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</si>
  <si>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</si>
  <si>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</si>
  <si>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</si>
  <si>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</si>
  <si>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</si>
  <si>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</si>
  <si>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</si>
  <si>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</si>
  <si>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</si>
  <si>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</si>
  <si>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</si>
  <si>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</si>
  <si>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</si>
  <si>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</si>
  <si>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</si>
  <si>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</si>
  <si>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</si>
  <si>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</si>
  <si>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</si>
  <si>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</si>
  <si>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</si>
  <si>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</si>
  <si>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</si>
  <si>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</si>
  <si>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</si>
  <si>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</si>
  <si>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</si>
  <si>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</si>
  <si>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</si>
  <si>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</si>
  <si>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</si>
  <si>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</si>
  <si>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</si>
  <si>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</si>
  <si>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</si>
  <si>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</si>
  <si>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</si>
  <si>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</si>
  <si>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</si>
  <si>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</si>
  <si>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</si>
  <si>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</si>
  <si>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</si>
  <si>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</si>
  <si>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</si>
  <si>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</si>
  <si>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</si>
  <si>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</si>
  <si>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</si>
  <si>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</si>
  <si>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</si>
  <si>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</si>
  <si>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</si>
  <si>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</si>
  <si>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</si>
  <si>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</si>
  <si>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</si>
  <si>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</si>
  <si>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</si>
  <si>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</si>
  <si>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</si>
  <si>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</si>
  <si>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</si>
  <si>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</si>
  <si>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</si>
  <si>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</si>
  <si>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</si>
  <si>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</si>
  <si>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</si>
  <si>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</si>
  <si>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</si>
  <si>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</si>
  <si>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</si>
  <si>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</si>
  <si>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</si>
  <si>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</si>
  <si>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</si>
  <si>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</si>
  <si>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</si>
  <si>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</si>
  <si>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</si>
  <si>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</si>
  <si>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</si>
  <si>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</si>
  <si>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</si>
  <si>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</si>
  <si>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</si>
  <si>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</si>
  <si>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</si>
  <si>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</si>
  <si>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</si>
  <si>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</si>
  <si>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</si>
  <si>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</si>
  <si>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</si>
  <si>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</si>
  <si>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</si>
  <si>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</si>
  <si>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</si>
  <si>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</si>
  <si>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</si>
  <si>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</si>
  <si>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</si>
  <si>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</si>
  <si>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</si>
  <si>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</si>
  <si>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</si>
  <si>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</si>
  <si>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</si>
  <si>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</si>
  <si>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</si>
  <si>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</si>
  <si>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</si>
  <si>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</si>
  <si>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</si>
  <si>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</si>
  <si>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</si>
  <si>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</si>
  <si>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</si>
  <si>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</si>
  <si>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</si>
  <si>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</si>
  <si>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</si>
  <si>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</si>
  <si>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</si>
  <si>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</si>
  <si>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</si>
  <si>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</si>
  <si>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</si>
  <si>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</si>
  <si>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</si>
  <si>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</si>
  <si>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</si>
  <si>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</si>
  <si>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</si>
  <si>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</si>
  <si>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</si>
  <si>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</si>
  <si>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</si>
  <si>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</si>
  <si>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</si>
  <si>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</si>
  <si>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</si>
  <si>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</si>
  <si>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</si>
  <si>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</si>
  <si>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</si>
  <si>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</si>
  <si>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</si>
  <si>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</si>
  <si>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</si>
  <si>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</si>
  <si>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</si>
  <si>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</si>
  <si>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</si>
  <si>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</si>
  <si>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</si>
  <si>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</si>
  <si>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</si>
  <si>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</si>
  <si>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</si>
  <si>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</si>
  <si>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</si>
  <si>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</si>
  <si>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</si>
  <si>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</si>
  <si>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</si>
  <si>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</si>
  <si>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</si>
  <si>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</si>
  <si>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</si>
  <si>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</si>
  <si>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</si>
  <si>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</si>
  <si>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</si>
  <si>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</si>
  <si>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</si>
  <si>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</si>
  <si>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</si>
  <si>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</si>
  <si>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</si>
  <si>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</si>
  <si>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</si>
  <si>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</si>
  <si>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</si>
  <si>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</si>
  <si>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</si>
  <si>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</si>
  <si>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</si>
  <si>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</si>
  <si>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</si>
  <si>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</si>
  <si>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</si>
  <si>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</si>
  <si>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</si>
  <si>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</si>
  <si>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</si>
  <si>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</si>
  <si>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</si>
  <si>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</si>
  <si>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</si>
  <si>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</si>
  <si>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</si>
  <si>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</si>
  <si>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</si>
  <si>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</si>
  <si>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</si>
  <si>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</si>
  <si>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</si>
  <si>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</si>
  <si>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</si>
  <si>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</si>
  <si>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</si>
  <si>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</si>
  <si>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</si>
  <si>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</si>
  <si>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</si>
  <si>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</si>
  <si>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</si>
  <si>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</si>
  <si>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</si>
  <si>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</si>
  <si>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</si>
  <si>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</si>
  <si>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</si>
  <si>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</si>
  <si>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</si>
  <si>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</si>
  <si>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</si>
  <si>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</si>
  <si>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</si>
  <si>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</si>
  <si>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</si>
  <si>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</si>
  <si>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</si>
  <si>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</si>
  <si>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</si>
  <si>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</si>
  <si>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</si>
  <si>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</si>
  <si>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</si>
  <si>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</si>
  <si>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</si>
  <si>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</si>
  <si>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</si>
  <si>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</si>
  <si>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</si>
  <si>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</si>
  <si>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</si>
  <si>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</si>
  <si>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</si>
  <si>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</si>
  <si>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</si>
  <si>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</si>
  <si>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</si>
  <si>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</si>
  <si>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</si>
  <si>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</si>
  <si>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</si>
  <si>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</si>
  <si>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</si>
  <si>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</si>
  <si>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</si>
  <si>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</si>
  <si>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</si>
  <si>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</si>
  <si>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</si>
  <si>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</si>
  <si>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</si>
  <si>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</si>
  <si>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</si>
  <si>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</si>
  <si>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</si>
  <si>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</si>
  <si>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</si>
  <si>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</si>
  <si>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</si>
  <si>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</si>
  <si>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</si>
  <si>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</si>
  <si>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</si>
  <si>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</si>
  <si>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</si>
  <si>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</si>
  <si>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</si>
  <si>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</si>
  <si>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</si>
  <si>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</si>
  <si>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</si>
  <si>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</si>
  <si>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</si>
  <si>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</si>
  <si>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</si>
  <si>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</si>
  <si>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</si>
  <si>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</si>
  <si>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</si>
  <si>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</si>
  <si>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</si>
  <si>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</si>
  <si>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</si>
  <si>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</si>
  <si>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</si>
  <si>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</si>
  <si>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</si>
  <si>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</si>
  <si>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</si>
  <si>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</si>
  <si>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</si>
  <si>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</si>
  <si>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</si>
  <si>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</si>
  <si>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</si>
  <si>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</si>
  <si>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</si>
  <si>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</si>
  <si>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</si>
  <si>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</si>
  <si>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</si>
  <si>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</si>
  <si>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</si>
  <si>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</si>
  <si>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</si>
  <si>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</si>
  <si>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</si>
  <si>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</si>
  <si>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</si>
  <si>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</si>
  <si>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</si>
  <si>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</si>
  <si>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</si>
  <si>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</si>
  <si>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</si>
  <si>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</si>
  <si>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</si>
  <si>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</si>
  <si>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</si>
  <si>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</si>
  <si>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</si>
  <si>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</si>
  <si>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</si>
  <si>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</si>
  <si>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</si>
  <si>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</si>
  <si>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</si>
  <si>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</si>
  <si>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</si>
  <si>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</si>
  <si>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</si>
  <si>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</si>
  <si>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</si>
  <si>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</si>
  <si>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</si>
  <si>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</si>
  <si>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</si>
  <si>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</si>
  <si>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</si>
  <si>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</si>
  <si>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</si>
  <si>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</si>
  <si>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</si>
  <si>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</si>
  <si>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</si>
  <si>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</si>
  <si>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</si>
  <si>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</si>
  <si>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</si>
  <si>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</si>
  <si>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</si>
  <si>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</si>
  <si>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</si>
  <si>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</si>
  <si>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</si>
  <si>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</si>
  <si>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</si>
  <si>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</si>
  <si>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</si>
  <si>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</si>
  <si>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</si>
  <si>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</si>
  <si>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</si>
  <si>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</si>
  <si>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</si>
  <si>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</si>
  <si>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</si>
  <si>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</si>
  <si>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</si>
  <si>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</si>
  <si>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</si>
  <si>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</si>
  <si>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</si>
  <si>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</si>
  <si>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</si>
  <si>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</si>
  <si>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</si>
  <si>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</si>
  <si>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</si>
  <si>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</si>
  <si>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</si>
  <si>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</si>
  <si>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</si>
  <si>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</si>
  <si>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</si>
  <si>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</si>
  <si>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</si>
  <si>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</si>
  <si>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</si>
  <si>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</si>
  <si>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</si>
  <si>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</si>
  <si>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</si>
  <si>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</si>
  <si>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</si>
  <si>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</si>
  <si>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</si>
  <si>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</si>
  <si>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</si>
  <si>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</si>
  <si>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</si>
  <si>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</si>
  <si>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</si>
  <si>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</si>
  <si>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</si>
  <si>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</si>
  <si>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</si>
  <si>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</si>
  <si>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</si>
  <si>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</si>
  <si>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</si>
  <si>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</si>
  <si>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</si>
  <si>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</si>
  <si>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</si>
  <si>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</si>
  <si>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</si>
  <si>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</si>
  <si>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</si>
  <si>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</si>
  <si>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</si>
  <si>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</si>
  <si>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</si>
  <si>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</si>
  <si>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</si>
  <si>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</si>
  <si>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</si>
  <si>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</si>
  <si>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</si>
  <si>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</si>
  <si>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</si>
  <si>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</si>
  <si>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</si>
  <si>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</si>
  <si>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</si>
  <si>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</si>
  <si>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</si>
  <si>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</si>
  <si>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</si>
  <si>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</si>
  <si>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</si>
  <si>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</si>
  <si>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</si>
  <si>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</si>
  <si>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</si>
  <si>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</si>
  <si>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</si>
  <si>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</si>
  <si>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</si>
  <si>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</si>
  <si>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</si>
  <si>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</si>
  <si>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</si>
  <si>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</si>
  <si>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</si>
  <si>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</si>
  <si>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</si>
  <si>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</si>
  <si>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</si>
  <si>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</si>
  <si>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</si>
  <si>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</si>
  <si>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</si>
  <si>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</si>
  <si>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</si>
  <si>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</si>
  <si>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</si>
  <si>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</si>
  <si>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</si>
  <si>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</si>
  <si>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</si>
  <si>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</si>
  <si>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</si>
  <si>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</si>
  <si>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</si>
  <si>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</si>
  <si>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</si>
  <si>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</si>
  <si>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</si>
  <si>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</si>
  <si>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</si>
  <si>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</si>
  <si>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</si>
  <si>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</si>
  <si>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</si>
  <si>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</si>
  <si>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</si>
  <si>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</si>
  <si>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</si>
  <si>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</si>
  <si>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</si>
  <si>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</si>
  <si>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</si>
  <si>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</si>
  <si>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</si>
  <si>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</si>
  <si>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</si>
  <si>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</si>
  <si>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</si>
  <si>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</si>
  <si>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</si>
  <si>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</si>
  <si>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</si>
  <si>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</si>
  <si>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</si>
  <si>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</si>
  <si>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</si>
  <si>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</si>
  <si>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</si>
  <si>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</si>
  <si>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</si>
  <si>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</si>
  <si>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</si>
  <si>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</si>
  <si>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</si>
  <si>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</si>
  <si>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</si>
  <si>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</si>
  <si>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</si>
  <si>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</si>
  <si>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</si>
  <si>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</si>
  <si>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</si>
  <si>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</si>
  <si>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</si>
  <si>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</si>
  <si>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</si>
  <si>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</si>
  <si>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</si>
  <si>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</si>
  <si>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</si>
  <si>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</si>
  <si>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</si>
  <si>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</si>
  <si>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</si>
  <si>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</si>
  <si>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</si>
  <si>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</si>
  <si>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</si>
  <si>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</si>
  <si>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</si>
  <si>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</si>
  <si>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</si>
  <si>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</si>
  <si>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</si>
  <si>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</si>
  <si>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</si>
  <si>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</si>
  <si>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</si>
  <si>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</si>
  <si>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</si>
  <si>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</si>
  <si>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</si>
  <si>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</si>
  <si>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</si>
  <si>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</si>
  <si>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</si>
  <si>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</si>
  <si>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</si>
  <si>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</si>
  <si>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</si>
  <si>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</si>
  <si>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</si>
  <si>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</si>
  <si>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</si>
  <si>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</si>
  <si>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</si>
  <si>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</si>
  <si>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</si>
  <si>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</si>
  <si>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</si>
  <si>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</si>
  <si>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</si>
  <si>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</si>
  <si>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</si>
  <si>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</si>
  <si>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</si>
  <si>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</si>
  <si>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</si>
  <si>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</si>
  <si>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</si>
  <si>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</si>
  <si>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</si>
  <si>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</si>
  <si>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</si>
  <si>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</si>
  <si>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</si>
  <si>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</si>
  <si>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</si>
  <si>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</si>
  <si>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</si>
  <si>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</si>
  <si>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</si>
  <si>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</si>
  <si>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</si>
  <si>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</si>
  <si>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</si>
  <si>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</si>
  <si>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</si>
  <si>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</si>
  <si>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</si>
  <si>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</si>
  <si>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</si>
  <si>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</si>
  <si>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</si>
  <si>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</si>
  <si>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</si>
  <si>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</si>
  <si>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</si>
  <si>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</si>
  <si>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</si>
  <si>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</si>
  <si>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</si>
  <si>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</si>
  <si>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</si>
  <si>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</si>
  <si>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</si>
  <si>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</si>
  <si>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</si>
  <si>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</si>
  <si>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</si>
  <si>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</si>
  <si>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</si>
  <si>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</si>
  <si>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</si>
  <si>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</si>
  <si>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</si>
  <si>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</si>
  <si>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</si>
  <si>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</si>
  <si>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</si>
  <si>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</si>
  <si>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</si>
  <si>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</si>
  <si>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</si>
  <si>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</si>
  <si>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</si>
  <si>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</si>
  <si>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</si>
  <si>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</si>
  <si>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</si>
  <si>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</si>
  <si>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</si>
  <si>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</si>
  <si>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</si>
  <si>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</si>
  <si>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</si>
  <si>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</si>
  <si>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</si>
  <si>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</si>
  <si>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</si>
  <si>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</si>
  <si>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</si>
  <si>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</si>
  <si>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</si>
  <si>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</si>
  <si>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</si>
  <si>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</si>
  <si>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</si>
  <si>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</si>
  <si>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</si>
  <si>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</si>
  <si>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</si>
  <si>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</si>
  <si>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</si>
  <si>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</si>
  <si>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</si>
  <si>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</si>
  <si>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</si>
  <si>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</si>
  <si>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</si>
  <si>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</si>
  <si>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</si>
  <si>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</si>
  <si>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</si>
  <si>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</si>
  <si>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</si>
  <si>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</si>
  <si>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</si>
  <si>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</si>
  <si>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</si>
  <si>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</si>
  <si>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</si>
  <si>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</si>
  <si>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</si>
  <si>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</si>
  <si>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</si>
  <si>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</si>
  <si>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</si>
  <si>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</si>
  <si>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</si>
  <si>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</si>
  <si>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</si>
  <si>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</si>
  <si>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</si>
  <si>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</si>
  <si>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</si>
  <si>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</si>
  <si>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</si>
  <si>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</si>
  <si>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</si>
  <si>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</si>
  <si>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</si>
  <si>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</si>
  <si>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</si>
  <si>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</si>
  <si>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</si>
  <si>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</si>
  <si>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</si>
  <si>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</si>
  <si>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</si>
  <si>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</si>
  <si>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</si>
  <si>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</si>
  <si>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</si>
  <si>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</si>
  <si>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</si>
  <si>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</si>
  <si>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</si>
  <si>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</si>
  <si>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</si>
  <si>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</si>
  <si>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</si>
  <si>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</si>
  <si>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</si>
  <si>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</si>
  <si>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</si>
  <si>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</si>
  <si>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</si>
  <si>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</si>
  <si>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</si>
  <si>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</si>
  <si>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</si>
  <si>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</si>
  <si>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</si>
  <si>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</si>
  <si>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</si>
  <si>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</si>
  <si>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</si>
  <si>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</si>
  <si>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</si>
  <si>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</si>
  <si>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</si>
  <si>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</si>
  <si>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</si>
  <si>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</si>
  <si>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</si>
  <si>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</si>
  <si>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</si>
  <si>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</si>
  <si>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</si>
  <si>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</si>
  <si>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</si>
  <si>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</si>
  <si>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</si>
  <si>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</si>
  <si>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</si>
  <si>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</si>
  <si>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</si>
  <si>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</si>
  <si>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</si>
  <si>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</si>
  <si>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</si>
  <si>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</si>
  <si>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</si>
  <si>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</si>
  <si>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</si>
  <si>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</si>
  <si>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</si>
  <si>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</si>
  <si>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</si>
  <si>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</si>
  <si>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</si>
  <si>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</si>
  <si>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</si>
  <si>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</si>
  <si>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</si>
  <si>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</si>
  <si>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</si>
  <si>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</si>
  <si>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</si>
  <si>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</si>
  <si>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</si>
  <si>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</si>
  <si>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</si>
  <si>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</si>
  <si>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</si>
  <si>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</si>
  <si>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</si>
  <si>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</si>
  <si>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</si>
  <si>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</si>
  <si>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</si>
  <si>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</si>
  <si>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</si>
  <si>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</si>
  <si>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</si>
  <si>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</si>
  <si>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</si>
  <si>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</si>
  <si>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</si>
  <si>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</si>
  <si>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</si>
  <si>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</si>
  <si>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</si>
  <si>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</si>
  <si>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</si>
  <si>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</si>
  <si>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</si>
  <si>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</si>
  <si>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</si>
  <si>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</si>
  <si>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</si>
  <si>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</si>
  <si>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</si>
  <si>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</si>
  <si>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</si>
  <si>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</si>
  <si>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</si>
  <si>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</si>
  <si>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</si>
  <si>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</si>
  <si>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</si>
  <si>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</si>
  <si>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</si>
  <si>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</si>
  <si>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</si>
  <si>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</si>
  <si>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</si>
  <si>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</si>
  <si>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</si>
  <si>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</si>
  <si>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</si>
  <si>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</si>
  <si>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</si>
  <si>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</si>
  <si>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</si>
  <si>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</si>
  <si>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</si>
  <si>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</si>
  <si>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</si>
  <si>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</si>
  <si>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</si>
  <si>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</si>
  <si>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</si>
  <si>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</si>
  <si>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</si>
  <si>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</si>
  <si>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</si>
  <si>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</si>
  <si>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</si>
  <si>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</si>
  <si>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</si>
  <si>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</si>
  <si>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</si>
  <si>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</si>
  <si>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</si>
  <si>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</si>
  <si>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</si>
  <si>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</si>
  <si>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</si>
  <si>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</si>
  <si>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</si>
  <si>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</si>
  <si>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</si>
  <si>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</si>
  <si>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</si>
  <si>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</si>
  <si>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</si>
  <si>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</si>
  <si>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</si>
  <si>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</si>
  <si>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</si>
  <si>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</si>
  <si>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</si>
  <si>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</si>
  <si>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</si>
  <si>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</si>
  <si>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</si>
  <si>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</si>
  <si>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</si>
  <si>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</si>
  <si>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</si>
  <si>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</si>
  <si>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</si>
  <si>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</si>
  <si>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</si>
  <si>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</si>
  <si>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</si>
  <si>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</si>
  <si>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</si>
  <si>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</si>
  <si>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</si>
  <si>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</si>
  <si>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</si>
  <si>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</si>
  <si>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</si>
  <si>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</si>
  <si>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</si>
  <si>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</si>
  <si>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</si>
  <si>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</si>
  <si>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</si>
  <si>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</si>
  <si>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</si>
  <si>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</si>
  <si>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</si>
  <si>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</si>
  <si>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</si>
  <si>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</si>
  <si>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</si>
  <si>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</si>
  <si>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</si>
  <si>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</si>
  <si>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</si>
  <si>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</si>
  <si>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</si>
  <si>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</si>
  <si>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</si>
  <si>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</si>
  <si>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</si>
  <si>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</si>
  <si>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</si>
  <si>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</si>
  <si>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</si>
  <si>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</si>
  <si>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</si>
  <si>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</si>
  <si>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</si>
  <si>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</si>
  <si>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</si>
  <si>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</si>
  <si>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</si>
  <si>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</si>
  <si>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</si>
  <si>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</si>
  <si>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</si>
  <si>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</si>
  <si>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</si>
  <si>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</si>
  <si>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</si>
  <si>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</si>
  <si>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</si>
  <si>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</si>
  <si>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</si>
  <si>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</si>
  <si>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</si>
  <si>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</si>
  <si>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</si>
  <si>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</si>
  <si>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</si>
  <si>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</si>
  <si>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</si>
  <si>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</si>
  <si>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</si>
  <si>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</si>
  <si>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</si>
  <si>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</si>
  <si>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</si>
  <si>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</si>
  <si>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</si>
  <si>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</si>
  <si>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</si>
  <si>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</si>
  <si>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</si>
  <si>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</si>
  <si>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</si>
  <si>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</si>
  <si>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</si>
  <si>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</si>
  <si>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</si>
  <si>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</si>
  <si>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</si>
  <si>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</si>
  <si>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</si>
  <si>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</si>
  <si>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</si>
  <si>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</si>
  <si>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</si>
  <si>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</si>
  <si>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</si>
  <si>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</si>
  <si>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</si>
  <si>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</si>
  <si>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</si>
  <si>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</si>
  <si>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</si>
  <si>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</si>
  <si>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</si>
  <si>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</si>
  <si>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</si>
  <si>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</si>
  <si>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</si>
  <si>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</si>
  <si>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</si>
  <si>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</si>
  <si>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</si>
  <si>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</si>
  <si>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</si>
  <si>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</si>
  <si>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</si>
  <si>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</si>
  <si>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</si>
  <si>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</si>
  <si>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</si>
  <si>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</si>
  <si>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</si>
  <si>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</si>
  <si>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</si>
  <si>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</si>
  <si>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</si>
  <si>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</si>
  <si>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</si>
  <si>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</si>
  <si>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</si>
  <si>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</si>
  <si>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</si>
  <si>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</si>
  <si>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</si>
  <si>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</si>
  <si>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</si>
  <si>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</si>
  <si>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</si>
  <si>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</si>
  <si>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</si>
  <si>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</si>
  <si>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</si>
  <si>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</si>
  <si>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</si>
  <si>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</si>
  <si>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</si>
  <si>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</si>
  <si>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</si>
  <si>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</si>
  <si>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</si>
  <si>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</si>
  <si>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</si>
  <si>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</si>
  <si>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</si>
  <si>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</si>
  <si>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</si>
  <si>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</si>
  <si>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</si>
  <si>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</si>
  <si>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</si>
  <si>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</si>
  <si>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</si>
  <si>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</si>
  <si>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</si>
  <si>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</si>
  <si>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</si>
  <si>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</si>
  <si>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</si>
  <si>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</si>
  <si>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</si>
  <si>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</si>
  <si>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</si>
  <si>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</si>
  <si>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</si>
  <si>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</si>
  <si>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</si>
  <si>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</si>
  <si>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</si>
  <si>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</si>
  <si>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</si>
  <si>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</si>
  <si>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</si>
  <si>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</si>
  <si>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</si>
  <si>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</si>
  <si>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</si>
  <si>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</si>
  <si>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</si>
  <si>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</si>
  <si>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</si>
  <si>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</si>
  <si>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</si>
  <si>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</si>
  <si>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</si>
  <si>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</si>
  <si>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</si>
  <si>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</si>
  <si>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</si>
  <si>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</si>
  <si>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</si>
  <si>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</si>
  <si>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</si>
  <si>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</si>
  <si>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</si>
  <si>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</si>
  <si>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</si>
  <si>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</si>
  <si>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</si>
  <si>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</si>
  <si>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</si>
  <si>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</si>
  <si>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</si>
  <si>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</si>
  <si>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</si>
  <si>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</si>
  <si>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</si>
  <si>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</si>
  <si>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</si>
  <si>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</si>
  <si>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</si>
  <si>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</si>
  <si>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</si>
  <si>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</si>
  <si>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</si>
  <si>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</si>
  <si>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</si>
  <si>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</si>
  <si>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</si>
  <si>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</si>
  <si>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</si>
  <si>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</si>
  <si>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</si>
  <si>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</si>
  <si>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</si>
  <si>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</si>
  <si>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</si>
  <si>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</si>
  <si>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</si>
  <si>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</si>
  <si>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</si>
  <si>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</si>
  <si>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</si>
  <si>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</si>
  <si>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</si>
  <si>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</si>
  <si>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</si>
  <si>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</si>
  <si>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</si>
  <si>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</si>
  <si>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</si>
  <si>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</si>
  <si>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</si>
  <si>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</si>
  <si>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</si>
  <si>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</si>
  <si>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</si>
  <si>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</si>
  <si>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</si>
  <si>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</si>
  <si>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</si>
  <si>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</si>
  <si>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</si>
  <si>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</si>
  <si>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</si>
  <si>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</si>
  <si>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</si>
  <si>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</si>
  <si>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</si>
  <si>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</si>
  <si>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</si>
  <si>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</si>
  <si>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</si>
  <si>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</si>
  <si>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</si>
  <si>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</si>
  <si>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</si>
  <si>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</si>
  <si>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</si>
  <si>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</si>
  <si>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</si>
  <si>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</si>
  <si>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</si>
  <si>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</si>
  <si>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</si>
  <si>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phoneticPr fontId="31" type="noConversion"/>
  </si>
  <si>
    <t>自管</t>
  </si>
  <si>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</si>
  <si>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</si>
  <si>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</si>
  <si>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</si>
  <si>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</si>
  <si>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</si>
  <si>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</si>
  <si>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</si>
  <si>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</si>
  <si>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</si>
  <si>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</si>
  <si>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</si>
  <si>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</si>
  <si>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</si>
  <si>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较好</t>
  </si>
  <si>
    <t>混合</t>
  </si>
  <si>
    <t>普装</t>
  </si>
  <si>
    <t>简装</t>
  </si>
  <si>
    <t>无等级</t>
    <phoneticPr fontId="31" type="noConversion"/>
  </si>
  <si>
    <t>否</t>
    <phoneticPr fontId="31" type="noConversion"/>
  </si>
  <si>
    <t>单层建筑</t>
  </si>
  <si>
    <t>多层建筑</t>
  </si>
  <si>
    <t>普通</t>
    <phoneticPr fontId="31" type="noConversion"/>
  </si>
  <si>
    <t>自管</t>
    <phoneticPr fontId="31" type="noConversion"/>
  </si>
  <si>
    <t>高层建筑</t>
  </si>
  <si>
    <t>高层建筑</t>
    <phoneticPr fontId="31" type="noConversion"/>
  </si>
  <si>
    <t>是，院落小</t>
    <phoneticPr fontId="31" type="noConversion"/>
  </si>
  <si>
    <t>是，院落大</t>
    <phoneticPr fontId="31" type="noConversion"/>
  </si>
  <si>
    <t>成新度</t>
  </si>
  <si>
    <t>押一</t>
  </si>
  <si>
    <t>砖混</t>
  </si>
  <si>
    <t>非生产用房</t>
  </si>
  <si>
    <t>否</t>
  </si>
  <si>
    <t>郑燚</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</si>
  <si>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</si>
  <si>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</si>
  <si>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</si>
  <si>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</si>
  <si>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</si>
  <si>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</si>
  <si>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</si>
  <si>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</si>
  <si>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</si>
  <si>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</si>
  <si>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</si>
  <si>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</si>
  <si>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</si>
  <si>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</si>
  <si>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</si>
  <si>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</si>
  <si>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</si>
  <si>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</si>
  <si>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</si>
  <si>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</si>
  <si>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</si>
  <si>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</si>
  <si>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</si>
  <si>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</si>
  <si>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</si>
  <si>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</si>
  <si>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</si>
  <si>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</si>
  <si>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</si>
  <si>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</si>
  <si>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</si>
  <si>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</si>
  <si>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</si>
  <si>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</si>
  <si>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</si>
  <si>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</si>
  <si>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</si>
  <si>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</si>
  <si>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</si>
  <si>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</si>
  <si>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</si>
  <si>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区域自然环境：朝曦公园、迎宾公园；人文环境：无；综合评价环境状况一般</t>
  </si>
  <si>
    <t>是</t>
    <phoneticPr fontId="31" type="noConversion"/>
  </si>
  <si>
    <t>否</t>
    <phoneticPr fontId="31" type="noConversion"/>
  </si>
  <si>
    <t>仓储</t>
    <phoneticPr fontId="7" type="noConversion"/>
  </si>
  <si>
    <t>精装修</t>
  </si>
  <si>
    <t>原始残留装修</t>
  </si>
  <si>
    <t>无</t>
  </si>
  <si>
    <t>无</t>
    <phoneticPr fontId="31" type="noConversion"/>
  </si>
  <si>
    <t>专业</t>
    <phoneticPr fontId="31" type="noConversion"/>
  </si>
  <si>
    <t>现状利用</t>
  </si>
  <si>
    <t>内部装修维护情况</t>
  </si>
  <si>
    <t>较差</t>
  </si>
  <si>
    <t>差</t>
  </si>
  <si>
    <t>一般</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</si>
  <si>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</si>
  <si>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</si>
  <si>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</si>
  <si>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</si>
  <si>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</si>
  <si>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</si>
  <si>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</si>
  <si>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</si>
  <si>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</si>
  <si>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</si>
  <si>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</si>
  <si>
    <t>商场（华冠天地、房山商业大楼）、学校（房山中学）、餐饮等，公共配套设施一般</t>
    <phoneticPr fontId="31" type="noConversion"/>
  </si>
  <si>
    <t>是否整体利用</t>
    <phoneticPr fontId="31" type="noConversion"/>
  </si>
  <si>
    <t>否</t>
    <phoneticPr fontId="31" type="noConversion"/>
  </si>
  <si>
    <t>是</t>
    <phoneticPr fontId="31" type="noConversion"/>
  </si>
  <si>
    <t>天数</t>
    <phoneticPr fontId="134" type="noConversion"/>
  </si>
  <si>
    <t>年租金（万元）</t>
    <phoneticPr fontId="134" type="noConversion"/>
  </si>
  <si>
    <t>建筑面积（平方米）</t>
    <phoneticPr fontId="134" type="noConversion"/>
  </si>
  <si>
    <t>每日租金（元）</t>
    <phoneticPr fontId="134" type="noConversion"/>
  </si>
  <si>
    <t>城关北大街</t>
    <phoneticPr fontId="31" type="noConversion"/>
  </si>
  <si>
    <t>周边商业氛围较成熟，有华冠天地、房山商业大楼等项目，人流量较大，办公项目较少，综合评价集聚程度较好</t>
    <phoneticPr fontId="3" type="noConversion"/>
  </si>
  <si>
    <t>估价对象周边道路状况一般，有836、901、917等多条线路，公共交通通达情况较好、停车便捷程度较好，综合评价交通便捷度一般</t>
    <phoneticPr fontId="3" type="noConversion"/>
  </si>
  <si>
    <t>次干道</t>
  </si>
  <si>
    <t>下限</t>
    <phoneticPr fontId="3" type="noConversion"/>
  </si>
  <si>
    <t>上限</t>
    <phoneticPr fontId="3" type="noConversion"/>
  </si>
  <si>
    <t>阎村</t>
    <phoneticPr fontId="31" type="noConversion"/>
  </si>
  <si>
    <t>燕山</t>
    <phoneticPr fontId="31" type="noConversion"/>
  </si>
  <si>
    <t>带院子</t>
    <phoneticPr fontId="31" type="noConversion"/>
  </si>
  <si>
    <t>否</t>
    <phoneticPr fontId="31" type="noConversion"/>
  </si>
  <si>
    <t>城关附近</t>
    <phoneticPr fontId="31" type="noConversion"/>
  </si>
  <si>
    <t>房山区城关街道北大街17号</t>
    <phoneticPr fontId="6" type="noConversion"/>
  </si>
  <si>
    <t>吴薇</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</si>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</sst>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9" fontId="160" fillId="12" borderId="0" xfId="12" applyNumberFormat="1" applyFont="1" applyFill="1" applyAlignment="1" applyProtection="1">
      <alignment horizontal="left"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1"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2" fillId="0" borderId="0" xfId="10" applyFont="1" applyAlignment="1">
      <alignment horizontal="left" vertical="center"/>
    </xf>
    <xf numFmtId="0" fontId="95" fillId="0" borderId="0" xfId="10">
      <alignment vertical="center"/>
    </xf>
    <xf numFmtId="2" fontId="272" fillId="0" borderId="1" xfId="10" applyNumberFormat="1" applyFont="1" applyBorder="1" applyAlignment="1">
      <alignment horizontal="left" vertical="center"/>
    </xf>
    <xf numFmtId="14" fontId="272" fillId="0" borderId="0" xfId="10" applyNumberFormat="1" applyFont="1" applyAlignment="1">
      <alignment horizontal="left" vertical="center"/>
    </xf>
    <xf numFmtId="0" fontId="272" fillId="0" borderId="1" xfId="10" applyFont="1" applyBorder="1" applyAlignment="1">
      <alignment horizontal="left" vertical="center"/>
    </xf>
    <xf numFmtId="0" fontId="95" fillId="0" borderId="1" xfId="10" applyBorder="1">
      <alignment vertical="center"/>
    </xf>
    <xf numFmtId="10" fontId="272" fillId="0" borderId="1" xfId="19" applyNumberFormat="1" applyFont="1" applyBorder="1" applyAlignment="1">
      <alignment horizontal="left" vertical="center"/>
    </xf>
    <xf numFmtId="49" fontId="272" fillId="0" borderId="1" xfId="10" applyNumberFormat="1" applyFont="1" applyBorder="1" applyAlignment="1">
      <alignment horizontal="left" vertical="center"/>
    </xf>
    <xf numFmtId="10" fontId="272"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2" fillId="5" borderId="1" xfId="10" applyFont="1" applyFill="1" applyBorder="1" applyAlignment="1">
      <alignment horizontal="left" vertical="center"/>
    </xf>
    <xf numFmtId="10" fontId="272" fillId="5" borderId="1" xfId="19" applyNumberFormat="1" applyFont="1" applyFill="1" applyBorder="1" applyAlignment="1">
      <alignment horizontal="left" vertical="center"/>
    </xf>
    <xf numFmtId="0" fontId="95" fillId="5" borderId="0" xfId="10" applyFill="1">
      <alignment vertical="center"/>
    </xf>
    <xf numFmtId="49" fontId="270"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0"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2" fontId="95" fillId="0" borderId="1" xfId="10" applyNumberFormat="1" applyBorder="1">
      <alignment vertical="center"/>
    </xf>
    <xf numFmtId="181" fontId="94" fillId="12" borderId="0" xfId="0" applyNumberFormat="1" applyFont="1" applyFill="1" applyAlignment="1" applyProtection="1">
      <alignment vertical="center" wrapText="1"/>
      <protection locked="0"/>
    </xf>
    <xf numFmtId="2" fontId="51" fillId="12"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2" fontId="50" fillId="6" borderId="1" xfId="0" applyNumberFormat="1"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2" fontId="50" fillId="6" borderId="32" xfId="0" applyNumberFormat="1"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22" fillId="12" borderId="4" xfId="0" applyNumberFormat="1" applyFont="1" applyFill="1" applyBorder="1" applyAlignment="1" applyProtection="1">
      <alignment horizontal="left" vertical="center"/>
      <protection locked="0"/>
    </xf>
  </cellXfs>
  <cellStyles count="20">
    <cellStyle name="百分比" xfId="17" builtinId="5"/>
    <cellStyle name="百分比 2" xfId="14" xr:uid="{00000000-0005-0000-0000-000001000000}"/>
    <cellStyle name="百分比 3" xfId="19" xr:uid="{A9FDD93B-2836-4AFA-A1D8-2D668B0746A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13854</xdr:colOff>
      <xdr:row>0</xdr:row>
      <xdr:rowOff>0</xdr:rowOff>
    </xdr:from>
    <xdr:to>
      <xdr:col>29</xdr:col>
      <xdr:colOff>525930</xdr:colOff>
      <xdr:row>49</xdr:row>
      <xdr:rowOff>79417</xdr:rowOff>
    </xdr:to>
    <xdr:pic>
      <xdr:nvPicPr>
        <xdr:cNvPr id="3" name="图片 2">
          <a:extLst>
            <a:ext uri="{FF2B5EF4-FFF2-40B4-BE49-F238E27FC236}">
              <a16:creationId xmlns:a16="http://schemas.microsoft.com/office/drawing/2014/main" id="{925F9C13-92AA-3C06-17CD-C3772BE77B00}"/>
            </a:ext>
          </a:extLst>
        </xdr:cNvPr>
        <xdr:cNvPicPr>
          <a:picLocks noChangeAspect="1"/>
        </xdr:cNvPicPr>
      </xdr:nvPicPr>
      <xdr:blipFill>
        <a:blip xmlns:r="http://schemas.openxmlformats.org/officeDocument/2006/relationships" r:embed="rId1"/>
        <a:stretch>
          <a:fillRect/>
        </a:stretch>
      </xdr:blipFill>
      <xdr:spPr>
        <a:xfrm>
          <a:off x="13854" y="0"/>
          <a:ext cx="18190476" cy="8904762"/>
        </a:xfrm>
        <a:prstGeom prst="rect">
          <a:avLst/>
        </a:prstGeom>
      </xdr:spPr>
    </xdr:pic>
    <xdr:clientData/>
  </xdr:twoCellAnchor>
  <xdr:twoCellAnchor editAs="oneCell">
    <xdr:from>
      <xdr:col>0</xdr:col>
      <xdr:colOff>0</xdr:colOff>
      <xdr:row>51</xdr:row>
      <xdr:rowOff>13855</xdr:rowOff>
    </xdr:from>
    <xdr:to>
      <xdr:col>29</xdr:col>
      <xdr:colOff>512076</xdr:colOff>
      <xdr:row>100</xdr:row>
      <xdr:rowOff>93272</xdr:rowOff>
    </xdr:to>
    <xdr:pic>
      <xdr:nvPicPr>
        <xdr:cNvPr id="5" name="图片 4">
          <a:extLst>
            <a:ext uri="{FF2B5EF4-FFF2-40B4-BE49-F238E27FC236}">
              <a16:creationId xmlns:a16="http://schemas.microsoft.com/office/drawing/2014/main" id="{E1A49709-99C6-840A-B5AA-F1A861F88243}"/>
            </a:ext>
          </a:extLst>
        </xdr:cNvPr>
        <xdr:cNvPicPr>
          <a:picLocks noChangeAspect="1"/>
        </xdr:cNvPicPr>
      </xdr:nvPicPr>
      <xdr:blipFill>
        <a:blip xmlns:r="http://schemas.openxmlformats.org/officeDocument/2006/relationships" r:embed="rId2"/>
        <a:stretch>
          <a:fillRect/>
        </a:stretch>
      </xdr:blipFill>
      <xdr:spPr>
        <a:xfrm>
          <a:off x="0" y="9199419"/>
          <a:ext cx="18190476" cy="8904762"/>
        </a:xfrm>
        <a:prstGeom prst="rect">
          <a:avLst/>
        </a:prstGeom>
      </xdr:spPr>
    </xdr:pic>
    <xdr:clientData/>
  </xdr:twoCellAnchor>
  <xdr:twoCellAnchor editAs="oneCell">
    <xdr:from>
      <xdr:col>0</xdr:col>
      <xdr:colOff>55418</xdr:colOff>
      <xdr:row>101</xdr:row>
      <xdr:rowOff>13854</xdr:rowOff>
    </xdr:from>
    <xdr:to>
      <xdr:col>29</xdr:col>
      <xdr:colOff>567494</xdr:colOff>
      <xdr:row>150</xdr:row>
      <xdr:rowOff>93270</xdr:rowOff>
    </xdr:to>
    <xdr:pic>
      <xdr:nvPicPr>
        <xdr:cNvPr id="6" name="图片 5">
          <a:extLst>
            <a:ext uri="{FF2B5EF4-FFF2-40B4-BE49-F238E27FC236}">
              <a16:creationId xmlns:a16="http://schemas.microsoft.com/office/drawing/2014/main" id="{AFEAFDCA-628B-ABA4-B9DA-B33833982E09}"/>
            </a:ext>
          </a:extLst>
        </xdr:cNvPr>
        <xdr:cNvPicPr>
          <a:picLocks noChangeAspect="1"/>
        </xdr:cNvPicPr>
      </xdr:nvPicPr>
      <xdr:blipFill>
        <a:blip xmlns:r="http://schemas.openxmlformats.org/officeDocument/2006/relationships" r:embed="rId3"/>
        <a:stretch>
          <a:fillRect/>
        </a:stretch>
      </xdr:blipFill>
      <xdr:spPr>
        <a:xfrm>
          <a:off x="55418" y="18204872"/>
          <a:ext cx="18190476" cy="8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21-&#20013;&#22269;&#38134;&#34892;-&#22478;&#20851;&#25903;&#34892;\2024-1-1021-&#20013;&#22269;&#38134;&#34892;-&#22478;&#20851;&#25903;&#34892;-&#21608;&#24420;20241205-114003\&#23545;&#20844;&#20107;&#19994;&#37096;&#8212;&#30005;&#31639;&#34920;-&#20013;&#22269;&#38134;&#34892;&#21830;&#19994;&#27004;1&#23618;.xlsx" TargetMode="External"/><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北京市房山区城关街道北大街17号房地产市场价值预评估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受贵公司委托，我公司对北京市房山区城关街道北大街17号房地产市场价值进行了预评估。</v>
      </c>
    </row>
    <row r="7" spans="1:2">
      <c r="A7" s="1119" t="s">
        <v>566</v>
      </c>
      <c r="B7" s="1120" t="str">
        <f>'预评函-1'!A7</f>
        <v>估价对象为北京市房山区城关街道北大街17号房地产，为所有。根据《国有土地使用证》[]，估价对象（分摊）出让国有建设用地使用权面积为0平方米，建筑面积为1515.5平方米。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估价对象为北京市房山区城关街道北大街17号房地产,属开发建设的，该项目尚在开发建设中。根据《国有土地使用证》[]，估价对象（分摊）出让国有建设用地使用权面积为0平方米，规划建筑面积为1515.5平方米。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北京市房山区城关街道北大街17号房地产</v>
      </c>
    </row>
    <row r="42" spans="1:2" ht="31.2">
      <c r="A42" s="1119" t="s">
        <v>590</v>
      </c>
      <c r="B42" s="1120" t="str">
        <f>'预评函-3'!B2</f>
        <v>建筑面积</v>
      </c>
    </row>
    <row r="43" spans="1:2">
      <c r="A43" s="1119" t="s">
        <v>591</v>
      </c>
      <c r="B43" s="1120">
        <f>'预评函-3'!B4</f>
        <v>1515.5000000000002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北大街17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7" t="s">
        <v>385</v>
      </c>
      <c r="C54" s="1445" t="s">
        <v>583</v>
      </c>
    </row>
    <row r="55" spans="1:4">
      <c r="A55" s="3238"/>
      <c r="B55" s="1447" t="s">
        <v>386</v>
      </c>
      <c r="C55" s="1445" t="s">
        <v>584</v>
      </c>
    </row>
    <row r="56" spans="1:4">
      <c r="A56" s="3238"/>
      <c r="B56" s="1447" t="s">
        <v>387</v>
      </c>
      <c r="C56" s="1445" t="s">
        <v>588</v>
      </c>
    </row>
    <row r="57" spans="1:4">
      <c r="A57" s="323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9" t="s">
        <v>2578</v>
      </c>
      <c r="J2" s="3239"/>
      <c r="K2" s="3239"/>
      <c r="L2" s="3239"/>
      <c r="M2" s="3239"/>
      <c r="N2" s="3239"/>
      <c r="O2" s="3239"/>
      <c r="P2" s="3239"/>
      <c r="Q2" s="3239"/>
      <c r="R2" s="3239"/>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5" thickBot="1">
      <c r="A18" s="2770" t="s">
        <v>2514</v>
      </c>
      <c r="B18" s="2771">
        <f>ROUND(B17*F11/F12,2)</f>
        <v>5541.87</v>
      </c>
      <c r="C18" s="2771">
        <f>ROUND(F11/F12,4)</f>
        <v>1.1521999999999999</v>
      </c>
      <c r="D18" s="2772"/>
      <c r="E18" s="2772"/>
      <c r="F18" s="2773"/>
    </row>
    <row r="19" spans="1:13" ht="15" thickBot="1"/>
    <row r="20" spans="1:13" s="2806" customFormat="1" ht="1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D11" sqref="D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7" t="str">
        <f>IF(B10="北京市","北京市",C10)&amp;F10&amp;IF(结果表!G1="在建","出让国有建设用地使用权及在建建筑物",IF(结果表!G1="土地","出让国有建设用地使用权",))&amp;B9&amp;"预评估"</f>
        <v>北京市房山区城关街道北大街17号房地产市场价值预评估</v>
      </c>
      <c r="C1" s="3248"/>
      <c r="D1" s="3248"/>
      <c r="E1" s="3248"/>
      <c r="F1" s="3248"/>
      <c r="G1" s="3248"/>
      <c r="H1" s="3248"/>
      <c r="I1" s="324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北京市房山区城关街道北大街17号房地产市场价值</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北京市房山区城关街道北大街17号房地产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3441</v>
      </c>
      <c r="C4" s="2188">
        <f ca="1">SUMIF(注册房地产估价师,B4,估价师及机构信息!B3:B24)</f>
        <v>1120070131</v>
      </c>
      <c r="D4" s="2187" t="s">
        <v>3528</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3529</v>
      </c>
      <c r="C8" s="2201"/>
      <c r="D8" s="3250" t="s">
        <v>2177</v>
      </c>
      <c r="E8" s="2202"/>
      <c r="F8" s="2203"/>
      <c r="G8" s="2440"/>
      <c r="H8" s="2440"/>
      <c r="I8" s="2440"/>
      <c r="J8" s="2245"/>
      <c r="K8" s="2398"/>
      <c r="L8" s="2397"/>
      <c r="M8" s="2397"/>
      <c r="N8" s="2245"/>
      <c r="O8" s="1670"/>
      <c r="P8" s="2245"/>
      <c r="Q8" s="2245"/>
      <c r="R8" s="2245"/>
    </row>
    <row r="9" spans="1:30" ht="13.8" thickBot="1">
      <c r="A9" s="2204" t="s">
        <v>2178</v>
      </c>
      <c r="B9" s="2205" t="s">
        <v>3530</v>
      </c>
      <c r="C9" s="2206"/>
      <c r="D9" s="3251"/>
      <c r="E9" s="2205"/>
      <c r="F9" s="2207"/>
      <c r="G9" s="2441"/>
      <c r="H9" s="2441"/>
      <c r="I9" s="2441"/>
      <c r="J9" s="2245"/>
      <c r="K9" s="2400"/>
      <c r="L9" s="2397"/>
      <c r="M9" s="2397"/>
      <c r="N9" s="2245"/>
      <c r="O9" s="1670"/>
      <c r="P9" s="2245"/>
      <c r="Q9" s="2245"/>
      <c r="R9" s="2245"/>
    </row>
    <row r="10" spans="1:30" ht="13.8" thickTop="1">
      <c r="A10" s="2208" t="s">
        <v>2179</v>
      </c>
      <c r="B10" s="2209" t="s">
        <v>3386</v>
      </c>
      <c r="C10" s="2210"/>
      <c r="D10" s="2193"/>
      <c r="E10" s="2211" t="s">
        <v>2180</v>
      </c>
      <c r="F10" s="3537" t="s">
        <v>3527</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57"/>
      <c r="C16" s="3258"/>
      <c r="D16" s="3259"/>
      <c r="E16" s="2222" t="s">
        <v>2194</v>
      </c>
      <c r="F16" s="3260"/>
      <c r="G16" s="3261"/>
      <c r="H16" s="3261"/>
      <c r="I16" s="3262"/>
      <c r="J16" s="2245"/>
      <c r="K16" s="2401"/>
      <c r="L16" s="1670"/>
      <c r="M16" s="1670"/>
      <c r="N16" s="2245"/>
      <c r="O16" s="1670"/>
      <c r="P16" s="2245"/>
      <c r="Q16" s="2245"/>
      <c r="R16" s="2245"/>
    </row>
    <row r="17" spans="1:28">
      <c r="A17" s="305" t="s">
        <v>2195</v>
      </c>
      <c r="B17" s="294" t="s">
        <v>2196</v>
      </c>
      <c r="C17" s="8">
        <f>'数据-汇总表'!E3</f>
        <v>1515.5000000000002</v>
      </c>
      <c r="D17" s="1256" t="s">
        <v>2197</v>
      </c>
      <c r="E17" s="3263" t="s">
        <v>2198</v>
      </c>
      <c r="F17" s="3264"/>
      <c r="G17" s="3264"/>
      <c r="H17" s="3264"/>
      <c r="I17" s="3265"/>
      <c r="J17" s="2245"/>
      <c r="K17" s="2402"/>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66" t="s">
        <v>2202</v>
      </c>
      <c r="F18" s="3267"/>
      <c r="G18" s="3267"/>
      <c r="H18" s="3267"/>
      <c r="I18" s="3268"/>
      <c r="J18" s="2245"/>
      <c r="K18" s="2402"/>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53" t="s">
        <v>2206</v>
      </c>
      <c r="C20" s="3254"/>
      <c r="D20" s="3255" t="s">
        <v>2207</v>
      </c>
      <c r="E20" s="3256"/>
      <c r="F20" s="2428" t="s">
        <v>1056</v>
      </c>
      <c r="G20" s="2440"/>
      <c r="H20" s="2440"/>
      <c r="I20" s="2440"/>
      <c r="J20" s="2245"/>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5"/>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5"/>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41"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41"/>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41"/>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42"/>
      <c r="B30" s="294" t="s">
        <v>2218</v>
      </c>
      <c r="C30" s="3243"/>
      <c r="D30" s="3244"/>
      <c r="E30" s="2440"/>
      <c r="F30" s="2440"/>
      <c r="G30" s="2440"/>
      <c r="H30" s="2440"/>
      <c r="I30" s="2440"/>
      <c r="J30" s="2245"/>
      <c r="K30" s="2400"/>
      <c r="L30" s="2397"/>
      <c r="M30" s="2397"/>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2231</v>
      </c>
      <c r="B38" s="2238"/>
      <c r="C38" s="3168" t="s">
        <v>3442</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1515.5000000000002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1515.5000000000002</v>
      </c>
      <c r="H5" s="13">
        <f t="shared" ref="H5:AT5" si="0">SUM(H13:H656)</f>
        <v>1515.5000000000002</v>
      </c>
      <c r="I5" s="13">
        <f t="shared" si="0"/>
        <v>1515.5000000000002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1515.5000000000002</v>
      </c>
      <c r="BA5" s="15">
        <f t="shared" si="1"/>
        <v>1515.5000000000002</v>
      </c>
      <c r="BB5" s="15">
        <f t="shared" si="1"/>
        <v>1515.5000000000002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3"/>
      <c r="C13" s="2244"/>
      <c r="D13" s="1513" t="s">
        <v>3388</v>
      </c>
      <c r="E13" s="13">
        <f>IF($C$3="是",ROUND($A$3*G13/$B$3,2),ROUND($A$3*(G13-AT13)/$B$3,2))</f>
        <v>0</v>
      </c>
      <c r="F13" s="29"/>
      <c r="G13" s="30">
        <f>H13+AC13+AT13</f>
        <v>1515.5000000000002</v>
      </c>
      <c r="H13" s="17">
        <f>SUMIF(I$12:AB$12,"总值",I13:AB13)</f>
        <v>1515.5000000000002</v>
      </c>
      <c r="I13" s="1514">
        <f>面积!E10+面积!E11+面积!E12+面积!E16+面积!E15+面积!E13</f>
        <v>1515.5000000000002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1515.5000000000002</v>
      </c>
      <c r="BA13" s="13">
        <f>SUM(BB13:BK13)</f>
        <v>1515.5000000000002</v>
      </c>
      <c r="BB13" s="13">
        <f>IF($D13="是",I13-J13,0)</f>
        <v>1515.5000000000002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3"/>
      <c r="C14" s="3141"/>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3"/>
      <c r="C15" s="3141"/>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3"/>
      <c r="C16" s="3141"/>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3"/>
      <c r="C17" s="3141"/>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2"/>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28E-AEC2-4E71-9CF1-A4CB379E6710}">
  <dimension ref="A1:O24"/>
  <sheetViews>
    <sheetView workbookViewId="0">
      <selection activeCell="H20" sqref="H20"/>
    </sheetView>
  </sheetViews>
  <sheetFormatPr defaultRowHeight="14.4"/>
  <cols>
    <col min="1" max="3" width="8.88671875" style="3172"/>
    <col min="4" max="4" width="10.77734375" style="3172" customWidth="1"/>
    <col min="5" max="5" width="16.109375" style="3172" bestFit="1" customWidth="1"/>
    <col min="6" max="6" width="19.88671875" style="3172" customWidth="1"/>
    <col min="7" max="7" width="8.88671875" style="3172"/>
    <col min="8" max="8" width="19.33203125" style="3172" customWidth="1"/>
    <col min="9" max="9" width="12.21875" style="3172" customWidth="1"/>
    <col min="10" max="16384" width="8.88671875" style="3172"/>
  </cols>
  <sheetData>
    <row r="1" spans="1:11" ht="15.6">
      <c r="A1" s="3171" t="s">
        <v>3449</v>
      </c>
      <c r="B1" s="3171"/>
      <c r="C1" s="3171"/>
      <c r="D1" s="3171"/>
    </row>
    <row r="2" spans="1:11" ht="15.6">
      <c r="A2" s="3171" t="s">
        <v>3450</v>
      </c>
      <c r="B2" s="3171" t="s">
        <v>3451</v>
      </c>
      <c r="C2" s="3171"/>
      <c r="D2" s="3171" t="s">
        <v>3452</v>
      </c>
      <c r="E2" s="3173">
        <f>E19/B4</f>
        <v>0.43590954646514679</v>
      </c>
    </row>
    <row r="3" spans="1:11" ht="15.6">
      <c r="A3" s="3171" t="s">
        <v>3453</v>
      </c>
      <c r="B3" s="3174">
        <v>54458</v>
      </c>
      <c r="C3" s="3171"/>
      <c r="D3" s="3171"/>
    </row>
    <row r="4" spans="1:11" ht="15.6">
      <c r="A4" s="3171" t="s">
        <v>3454</v>
      </c>
      <c r="B4" s="3171">
        <v>3472.28</v>
      </c>
      <c r="C4" s="3171"/>
      <c r="D4" s="3171"/>
    </row>
    <row r="7" spans="1:11" ht="15.6">
      <c r="A7" s="3175" t="s">
        <v>3455</v>
      </c>
      <c r="B7" s="3175" t="s">
        <v>3456</v>
      </c>
      <c r="C7" s="3175" t="s">
        <v>3457</v>
      </c>
      <c r="D7" s="3175" t="s">
        <v>3458</v>
      </c>
      <c r="E7" s="3175" t="s">
        <v>3459</v>
      </c>
      <c r="F7" s="3175" t="s">
        <v>3460</v>
      </c>
      <c r="G7" s="3176"/>
      <c r="H7" s="3176"/>
      <c r="I7" s="3176" t="s">
        <v>3461</v>
      </c>
      <c r="J7" s="3176" t="s">
        <v>3462</v>
      </c>
      <c r="K7" s="3175" t="s">
        <v>3463</v>
      </c>
    </row>
    <row r="8" spans="1:11" ht="15.6">
      <c r="A8" s="3175">
        <v>1</v>
      </c>
      <c r="B8" s="3175">
        <v>1</v>
      </c>
      <c r="C8" s="3175" t="s">
        <v>3464</v>
      </c>
      <c r="D8" s="3175">
        <v>1974</v>
      </c>
      <c r="E8" s="3175">
        <v>52</v>
      </c>
      <c r="F8" s="3175" t="s">
        <v>3465</v>
      </c>
      <c r="G8" s="3176"/>
      <c r="H8" s="3176"/>
      <c r="I8" s="3175">
        <v>1500</v>
      </c>
      <c r="J8" s="3177">
        <v>0.65</v>
      </c>
      <c r="K8" s="3175">
        <f>ROUND(E8/$E$20*$B$4,2)</f>
        <v>51.59</v>
      </c>
    </row>
    <row r="9" spans="1:11" ht="15.6">
      <c r="A9" s="3175">
        <v>2</v>
      </c>
      <c r="B9" s="3178" t="s">
        <v>3466</v>
      </c>
      <c r="C9" s="3175" t="s">
        <v>3467</v>
      </c>
      <c r="D9" s="3175">
        <v>1974</v>
      </c>
      <c r="E9" s="3175">
        <v>26.6</v>
      </c>
      <c r="F9" s="3175" t="s">
        <v>3468</v>
      </c>
      <c r="G9" s="3176"/>
      <c r="H9" s="3176"/>
      <c r="I9" s="3175">
        <v>800</v>
      </c>
      <c r="J9" s="3177">
        <f>J8</f>
        <v>0.65</v>
      </c>
      <c r="K9" s="3175">
        <f t="shared" ref="K9:K18" si="0">ROUND(E9/$E$20*$B$4,2)</f>
        <v>26.39</v>
      </c>
    </row>
    <row r="10" spans="1:11" s="3184" customFormat="1" ht="15.6">
      <c r="A10" s="3182">
        <v>3</v>
      </c>
      <c r="B10" s="3182">
        <v>1</v>
      </c>
      <c r="C10" s="3182" t="s">
        <v>3469</v>
      </c>
      <c r="D10" s="3182">
        <v>1981</v>
      </c>
      <c r="E10" s="3182">
        <v>321.89999999999998</v>
      </c>
      <c r="F10" s="3182" t="s">
        <v>3470</v>
      </c>
      <c r="G10" s="3182" t="s">
        <v>3471</v>
      </c>
      <c r="H10" s="3182" t="s">
        <v>3472</v>
      </c>
      <c r="I10" s="3182">
        <v>2000</v>
      </c>
      <c r="J10" s="3183">
        <v>0.4</v>
      </c>
      <c r="K10" s="3182">
        <f t="shared" si="0"/>
        <v>319.36</v>
      </c>
    </row>
    <row r="11" spans="1:11" s="3184" customFormat="1" ht="15.6">
      <c r="A11" s="3182">
        <v>4</v>
      </c>
      <c r="B11" s="3182">
        <v>1</v>
      </c>
      <c r="C11" s="3182" t="s">
        <v>3469</v>
      </c>
      <c r="D11" s="3182">
        <v>1974</v>
      </c>
      <c r="E11" s="3182">
        <v>130.30000000000001</v>
      </c>
      <c r="F11" s="3182" t="s">
        <v>3470</v>
      </c>
      <c r="G11" s="3182" t="s">
        <v>3471</v>
      </c>
      <c r="H11" s="3182" t="s">
        <v>3472</v>
      </c>
      <c r="I11" s="3182">
        <v>1500</v>
      </c>
      <c r="J11" s="3183">
        <v>0.4</v>
      </c>
      <c r="K11" s="3182">
        <f t="shared" si="0"/>
        <v>129.27000000000001</v>
      </c>
    </row>
    <row r="12" spans="1:11" s="3184" customFormat="1" ht="15.6">
      <c r="A12" s="3182">
        <v>5</v>
      </c>
      <c r="B12" s="3182">
        <v>2</v>
      </c>
      <c r="C12" s="3182" t="s">
        <v>3469</v>
      </c>
      <c r="D12" s="3182">
        <v>1974</v>
      </c>
      <c r="E12" s="3182">
        <v>804</v>
      </c>
      <c r="F12" s="3182" t="s">
        <v>3470</v>
      </c>
      <c r="G12" s="3182" t="s">
        <v>3473</v>
      </c>
      <c r="H12" s="3182" t="s">
        <v>3472</v>
      </c>
      <c r="I12" s="3182">
        <v>2000</v>
      </c>
      <c r="J12" s="3183">
        <v>0.5</v>
      </c>
      <c r="K12" s="3182">
        <f t="shared" si="0"/>
        <v>797.66</v>
      </c>
    </row>
    <row r="13" spans="1:11" s="3184" customFormat="1" ht="15.6">
      <c r="A13" s="3182">
        <v>6</v>
      </c>
      <c r="B13" s="3182">
        <v>1</v>
      </c>
      <c r="C13" s="3182" t="s">
        <v>3469</v>
      </c>
      <c r="D13" s="3182">
        <v>1974</v>
      </c>
      <c r="E13" s="3182">
        <v>112.9</v>
      </c>
      <c r="F13" s="3182" t="s">
        <v>3474</v>
      </c>
      <c r="G13" s="3182" t="s">
        <v>3475</v>
      </c>
      <c r="H13" s="3182" t="s">
        <v>3476</v>
      </c>
      <c r="I13" s="3182">
        <v>1000</v>
      </c>
      <c r="J13" s="3183">
        <v>0.4</v>
      </c>
      <c r="K13" s="3182">
        <f t="shared" si="0"/>
        <v>112.01</v>
      </c>
    </row>
    <row r="14" spans="1:11" ht="15.6">
      <c r="A14" s="3175">
        <v>7</v>
      </c>
      <c r="B14" s="3175">
        <v>1</v>
      </c>
      <c r="C14" s="3175" t="s">
        <v>3477</v>
      </c>
      <c r="D14" s="3175">
        <v>1974</v>
      </c>
      <c r="E14" s="3175">
        <v>155.1</v>
      </c>
      <c r="F14" s="3175" t="s">
        <v>3474</v>
      </c>
      <c r="G14" s="3175" t="s">
        <v>3475</v>
      </c>
      <c r="H14" s="3175" t="s">
        <v>3476</v>
      </c>
      <c r="I14" s="3175">
        <v>1000</v>
      </c>
      <c r="J14" s="3177">
        <v>0.4</v>
      </c>
      <c r="K14" s="3175">
        <f t="shared" si="0"/>
        <v>153.88</v>
      </c>
    </row>
    <row r="15" spans="1:11" s="3184" customFormat="1" ht="15.6">
      <c r="A15" s="3182">
        <v>8</v>
      </c>
      <c r="B15" s="3182">
        <v>1</v>
      </c>
      <c r="C15" s="3182" t="s">
        <v>3469</v>
      </c>
      <c r="D15" s="3182">
        <v>1974</v>
      </c>
      <c r="E15" s="3182">
        <v>103.7</v>
      </c>
      <c r="F15" s="3182" t="s">
        <v>3474</v>
      </c>
      <c r="G15" s="3182" t="s">
        <v>3471</v>
      </c>
      <c r="H15" s="3182" t="s">
        <v>3472</v>
      </c>
      <c r="I15" s="3182">
        <v>1000</v>
      </c>
      <c r="J15" s="3183">
        <v>0.4</v>
      </c>
      <c r="K15" s="3182">
        <f t="shared" si="0"/>
        <v>102.88</v>
      </c>
    </row>
    <row r="16" spans="1:11" s="3184" customFormat="1" ht="15.6">
      <c r="A16" s="3182">
        <v>9</v>
      </c>
      <c r="B16" s="3182">
        <v>1</v>
      </c>
      <c r="C16" s="3182" t="s">
        <v>3467</v>
      </c>
      <c r="D16" s="3182">
        <v>1974</v>
      </c>
      <c r="E16" s="3182">
        <v>42.7</v>
      </c>
      <c r="F16" s="3182"/>
      <c r="G16" s="3182" t="s">
        <v>3471</v>
      </c>
      <c r="H16" s="3182" t="s">
        <v>3472</v>
      </c>
      <c r="I16" s="3182">
        <v>1000</v>
      </c>
      <c r="J16" s="3183">
        <v>0.4</v>
      </c>
      <c r="K16" s="3182">
        <f t="shared" si="0"/>
        <v>42.36</v>
      </c>
    </row>
    <row r="17" spans="1:15" ht="15.6">
      <c r="A17" s="3175">
        <v>10</v>
      </c>
      <c r="B17" s="3175">
        <v>1</v>
      </c>
      <c r="C17" s="3175" t="s">
        <v>3477</v>
      </c>
      <c r="D17" s="3175">
        <v>1974</v>
      </c>
      <c r="E17" s="3175">
        <v>93.7</v>
      </c>
      <c r="F17" s="3175" t="s">
        <v>3478</v>
      </c>
      <c r="G17" s="3175" t="s">
        <v>3475</v>
      </c>
      <c r="H17" s="3175" t="s">
        <v>3476</v>
      </c>
      <c r="I17" s="3175">
        <v>100</v>
      </c>
      <c r="J17" s="3177">
        <v>0.4</v>
      </c>
      <c r="K17" s="3175">
        <f t="shared" si="0"/>
        <v>92.96</v>
      </c>
    </row>
    <row r="18" spans="1:15" ht="15.6">
      <c r="A18" s="3175">
        <v>11</v>
      </c>
      <c r="B18" s="3175">
        <v>1</v>
      </c>
      <c r="C18" s="3175" t="s">
        <v>3469</v>
      </c>
      <c r="D18" s="3175">
        <v>1987</v>
      </c>
      <c r="E18" s="3175">
        <v>143.4</v>
      </c>
      <c r="F18" s="3175" t="s">
        <v>3470</v>
      </c>
      <c r="G18" s="3175" t="s">
        <v>3475</v>
      </c>
      <c r="H18" s="3175" t="s">
        <v>3476</v>
      </c>
      <c r="I18" s="3175">
        <v>1000</v>
      </c>
      <c r="J18" s="3177">
        <v>0.4</v>
      </c>
      <c r="K18" s="3175">
        <f t="shared" si="0"/>
        <v>142.27000000000001</v>
      </c>
    </row>
    <row r="19" spans="1:15" ht="15.6">
      <c r="A19" s="3175">
        <v>12</v>
      </c>
      <c r="B19" s="3175">
        <v>4</v>
      </c>
      <c r="C19" s="3175" t="s">
        <v>3469</v>
      </c>
      <c r="D19" s="3175">
        <v>1982</v>
      </c>
      <c r="E19" s="3175">
        <v>1513.6</v>
      </c>
      <c r="F19" s="3175" t="s">
        <v>3479</v>
      </c>
      <c r="G19" s="3175"/>
      <c r="H19" s="3175"/>
      <c r="I19" s="3175">
        <v>3000</v>
      </c>
      <c r="J19" s="3179">
        <v>0.7</v>
      </c>
      <c r="K19" s="3175">
        <f>B4-SUM(K8:K18)</f>
        <v>1501.6500000000003</v>
      </c>
      <c r="M19" s="3172">
        <v>2024</v>
      </c>
      <c r="N19" s="3172">
        <f>D19</f>
        <v>1982</v>
      </c>
      <c r="O19" s="3172">
        <f>M19-N19</f>
        <v>42</v>
      </c>
    </row>
    <row r="20" spans="1:15" ht="15.6">
      <c r="A20" s="3175" t="s">
        <v>2590</v>
      </c>
      <c r="B20" s="3176"/>
      <c r="C20" s="3176"/>
      <c r="D20" s="3176"/>
      <c r="E20" s="3175">
        <f>SUM(E8:E19)</f>
        <v>3499.9</v>
      </c>
      <c r="F20" s="3175"/>
      <c r="G20" s="3176"/>
      <c r="H20" s="3176"/>
      <c r="I20" s="3176"/>
      <c r="J20" s="3176"/>
      <c r="K20" s="3175">
        <f>SUM(K8:K19)</f>
        <v>3472.28</v>
      </c>
    </row>
    <row r="21" spans="1:15">
      <c r="E21" s="3172">
        <f>E20-E19</f>
        <v>1986.3000000000002</v>
      </c>
      <c r="I21" s="3180">
        <f>ROUND(SUMPRODUCT(I8:I18,E8:E18)/E21,0)</f>
        <v>1568</v>
      </c>
      <c r="J21" s="3181">
        <f>ROUND(SUMPRODUCT(J8:J18,E8:E18)/E21,2)</f>
        <v>0.45</v>
      </c>
    </row>
    <row r="23" spans="1:15">
      <c r="E23" s="3176" t="s">
        <v>3515</v>
      </c>
      <c r="F23" s="3176" t="s">
        <v>3514</v>
      </c>
      <c r="G23" s="3176" t="s">
        <v>3512</v>
      </c>
      <c r="H23" s="3176" t="s">
        <v>3513</v>
      </c>
    </row>
    <row r="24" spans="1:15">
      <c r="E24" s="3176">
        <v>0.9</v>
      </c>
      <c r="F24" s="3176">
        <f>SUM(E10:E13,E15:E16)</f>
        <v>1515.5000000000002</v>
      </c>
      <c r="G24" s="3176">
        <v>365</v>
      </c>
      <c r="H24" s="3195">
        <f>E24*F24*G24/10000</f>
        <v>49.784175000000012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8" t="s">
        <v>1131</v>
      </c>
      <c r="B2" s="3278"/>
      <c r="C2" s="3278"/>
      <c r="D2" s="748" t="s">
        <v>1107</v>
      </c>
      <c r="E2" s="1523" t="s">
        <v>1108</v>
      </c>
      <c r="F2" s="2437"/>
      <c r="G2" s="2430"/>
      <c r="H2" s="2431"/>
      <c r="I2" s="2146" t="s">
        <v>1132</v>
      </c>
      <c r="J2" s="2437"/>
      <c r="K2" s="2437"/>
      <c r="L2" s="2437"/>
      <c r="M2" s="2437"/>
      <c r="N2" s="2438"/>
      <c r="O2" s="2437"/>
      <c r="P2" s="2437"/>
    </row>
    <row r="3" spans="1:16" ht="15" thickBot="1">
      <c r="A3" s="3279" t="s">
        <v>1105</v>
      </c>
      <c r="B3" s="3279"/>
      <c r="C3" s="3279"/>
      <c r="D3" s="41">
        <f>'数据-基础表'!AY6</f>
        <v>0</v>
      </c>
      <c r="E3" s="41">
        <f>'数据-基础表'!AZ5</f>
        <v>1515.5000000000002</v>
      </c>
      <c r="F3" s="2437"/>
      <c r="G3" s="42"/>
      <c r="H3" s="43" t="s">
        <v>1106</v>
      </c>
      <c r="I3" s="802" t="e">
        <f>ROUND('数据-基础表'!B3/'数据-基础表'!A3,2)</f>
        <v>#DIV/0!</v>
      </c>
      <c r="J3" s="2437"/>
      <c r="K3" s="2437"/>
      <c r="L3" s="2437"/>
      <c r="M3" s="2437"/>
      <c r="N3" s="2438"/>
      <c r="O3" s="2437"/>
      <c r="P3" s="2437"/>
    </row>
    <row r="4" spans="1:16" ht="14.4">
      <c r="A4" s="3280"/>
      <c r="B4" s="3281"/>
      <c r="C4" s="328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83" t="s">
        <v>1110</v>
      </c>
      <c r="C5" s="328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3" t="s">
        <v>1111</v>
      </c>
      <c r="C6" s="3283"/>
      <c r="D6" s="43">
        <f>ROUND($D$3*E6/$E$3,2)</f>
        <v>0</v>
      </c>
      <c r="E6" s="44">
        <f>E3-E5</f>
        <v>1515.5000000000002</v>
      </c>
      <c r="F6" s="2437"/>
      <c r="G6" s="1529" t="s">
        <v>1112</v>
      </c>
      <c r="H6" s="45" t="s">
        <v>1113</v>
      </c>
      <c r="I6" s="2433" t="e">
        <f>ROUND(F31/D31,2)</f>
        <v>#DIV/0!</v>
      </c>
      <c r="J6" s="2437"/>
      <c r="K6" s="2437"/>
      <c r="L6" s="2437"/>
      <c r="M6" s="2437"/>
      <c r="N6" s="2437"/>
      <c r="O6" s="2437"/>
      <c r="P6" s="2437"/>
    </row>
    <row r="7" spans="1:16" ht="15" thickBot="1">
      <c r="A7" s="3275"/>
      <c r="B7" s="3276"/>
      <c r="C7" s="3277"/>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1515.5000000000002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1515.5000000000002</v>
      </c>
      <c r="F16" s="2437"/>
      <c r="G16" s="2437"/>
      <c r="H16" s="1531" t="s">
        <v>1135</v>
      </c>
      <c r="I16" s="1532"/>
      <c r="J16" s="1071"/>
      <c r="K16" s="3272" t="s">
        <v>1135</v>
      </c>
      <c r="L16" s="3273"/>
      <c r="M16" s="3273"/>
      <c r="N16" s="3273"/>
      <c r="O16" s="3273"/>
      <c r="P16" s="3274"/>
    </row>
    <row r="17" spans="1:19" ht="14.4">
      <c r="A17" s="1533" t="s">
        <v>1136</v>
      </c>
      <c r="B17" s="1534" t="s">
        <v>1137</v>
      </c>
      <c r="C17" s="1535" t="s">
        <v>1138</v>
      </c>
      <c r="D17" s="1536" t="s">
        <v>1126</v>
      </c>
      <c r="E17" s="1537" t="s">
        <v>1127</v>
      </c>
      <c r="F17" s="1538"/>
      <c r="G17" s="1539"/>
      <c r="H17" s="1540" t="s">
        <v>1139</v>
      </c>
      <c r="I17" s="1541" t="s">
        <v>1124</v>
      </c>
      <c r="J17" s="1071"/>
      <c r="K17" s="3269" t="s">
        <v>1140</v>
      </c>
      <c r="L17" s="3270"/>
      <c r="M17" s="3271"/>
      <c r="N17" s="3269" t="s">
        <v>1141</v>
      </c>
      <c r="O17" s="3270"/>
      <c r="P17" s="327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3486</v>
      </c>
      <c r="D19" s="43">
        <f>ROUND($D$3*E19/$E$3,2)</f>
        <v>0</v>
      </c>
      <c r="E19" s="51">
        <f t="shared" ref="E19:E26" si="1">SUM(F19:G19)</f>
        <v>1515.5000000000002</v>
      </c>
      <c r="F19" s="2555">
        <f>'数据-基础表'!B3</f>
        <v>1515.5000000000002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1515.5000000000002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1515.5000000000002</v>
      </c>
      <c r="F27" s="1072">
        <f>IF(SUM(F19:F26)=E8,SUM(F19:F26),"地上面积有误")</f>
        <v>1515.5000000000002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1515.5000000000002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1515.5000000000002</v>
      </c>
      <c r="F31" s="644">
        <f>F27+F30</f>
        <v>1515.5000000000002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67">
        <f>F31</f>
        <v>1515.5000000000002</v>
      </c>
      <c r="G38" s="1522">
        <v>1.8</v>
      </c>
      <c r="H38" s="1522">
        <f>G38*F38</f>
        <v>2727.9000000000005</v>
      </c>
    </row>
    <row r="39" spans="4:9">
      <c r="F39" s="1522">
        <v>643.74</v>
      </c>
      <c r="G39" s="1522">
        <v>1.8</v>
      </c>
      <c r="H39" s="1522">
        <f>G39*F39</f>
        <v>1158.732</v>
      </c>
      <c r="I39" s="1522">
        <f>H38/F39</f>
        <v>4.2375803895982855</v>
      </c>
    </row>
    <row r="40" spans="4:9">
      <c r="F40" s="3167">
        <f>F31-F39</f>
        <v>871.76000000000022</v>
      </c>
      <c r="G40" s="1522">
        <f>H40/F40</f>
        <v>1.8000000000000003</v>
      </c>
      <c r="H40" s="1522">
        <f>H38-H39</f>
        <v>1569.1680000000006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1515.5000000000002</v>
      </c>
      <c r="L6" s="692">
        <v>3000</v>
      </c>
      <c r="M6" s="64">
        <f t="shared" ref="M6:M14" si="0">ROUND(K6*L6/10000,0)</f>
        <v>455</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1515.5000000000002</v>
      </c>
      <c r="L16" s="87">
        <f>ROUND(M16*10000/SUM(K6:K14),0)</f>
        <v>3002</v>
      </c>
      <c r="M16" s="87">
        <f>SUM(M6:M14)</f>
        <v>455</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84" t="s">
        <v>2282</v>
      </c>
      <c r="B1" s="3285"/>
      <c r="C1" s="3285"/>
      <c r="D1" s="3285"/>
      <c r="E1" s="3285"/>
      <c r="F1" s="3285"/>
      <c r="G1" s="328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2278</v>
      </c>
      <c r="D2" s="1595"/>
      <c r="E2" s="2260"/>
      <c r="F2" s="2263"/>
      <c r="G2" s="2262" t="s">
        <v>2279</v>
      </c>
      <c r="H2" s="751"/>
      <c r="I2" s="751"/>
      <c r="J2" s="751"/>
      <c r="K2" s="751"/>
      <c r="L2" s="751"/>
      <c r="M2" s="751"/>
      <c r="N2" s="751"/>
      <c r="O2" s="751"/>
      <c r="P2" s="751"/>
      <c r="Q2" s="751"/>
    </row>
    <row r="3" spans="1:29" ht="39.6">
      <c r="A3" s="2247" t="s">
        <v>2280</v>
      </c>
      <c r="B3" s="2264" t="s">
        <v>2252</v>
      </c>
      <c r="C3" s="2265"/>
      <c r="D3" s="2266"/>
      <c r="E3" s="2248" t="s">
        <v>2280</v>
      </c>
      <c r="F3" s="2267" t="s">
        <v>2253</v>
      </c>
      <c r="G3" s="2268" t="s">
        <v>2281</v>
      </c>
      <c r="H3" s="751"/>
      <c r="I3" s="751"/>
      <c r="J3" s="751"/>
      <c r="K3" s="751"/>
      <c r="L3" s="751"/>
      <c r="M3" s="751"/>
      <c r="N3" s="751"/>
      <c r="O3" s="751"/>
      <c r="P3" s="751"/>
      <c r="Q3" s="751"/>
    </row>
    <row r="4" spans="1:29" ht="48">
      <c r="A4" s="2248"/>
      <c r="B4" s="315" t="s">
        <v>2254</v>
      </c>
      <c r="C4" s="3151" t="s">
        <v>3445</v>
      </c>
      <c r="D4" s="2266"/>
      <c r="E4" s="2269"/>
      <c r="F4" s="1281" t="s">
        <v>2255</v>
      </c>
      <c r="G4" s="2270" t="s">
        <v>2256</v>
      </c>
      <c r="H4" s="751"/>
      <c r="I4" s="751"/>
      <c r="J4" s="751"/>
      <c r="K4" s="751"/>
      <c r="L4" s="751"/>
      <c r="M4" s="751"/>
      <c r="N4" s="751"/>
      <c r="O4" s="751"/>
      <c r="P4" s="751"/>
      <c r="Q4" s="751"/>
    </row>
    <row r="5" spans="1:29" ht="60">
      <c r="A5" s="2248"/>
      <c r="B5" s="315" t="s">
        <v>2257</v>
      </c>
      <c r="C5" s="3151" t="s">
        <v>3517</v>
      </c>
      <c r="D5" s="2266"/>
      <c r="E5" s="2269"/>
      <c r="F5" s="315" t="s">
        <v>2258</v>
      </c>
      <c r="G5" s="2270" t="s">
        <v>2259</v>
      </c>
      <c r="H5" s="751"/>
      <c r="I5" s="751"/>
      <c r="J5" s="751"/>
      <c r="K5" s="751"/>
      <c r="L5" s="751"/>
      <c r="M5" s="751"/>
      <c r="N5" s="751"/>
      <c r="O5" s="751"/>
      <c r="P5" s="751"/>
      <c r="Q5" s="751"/>
    </row>
    <row r="6" spans="1:29" ht="60">
      <c r="A6" s="2248"/>
      <c r="B6" s="315" t="s">
        <v>2260</v>
      </c>
      <c r="C6" s="3150" t="s">
        <v>3518</v>
      </c>
      <c r="D6" s="2266"/>
      <c r="E6" s="2269"/>
      <c r="F6" s="315" t="s">
        <v>2261</v>
      </c>
      <c r="G6" s="2270" t="s">
        <v>2262</v>
      </c>
      <c r="H6" s="751"/>
      <c r="I6" s="751"/>
      <c r="J6" s="751"/>
      <c r="K6" s="751"/>
      <c r="L6" s="751"/>
      <c r="M6" s="751"/>
      <c r="N6" s="751"/>
      <c r="O6" s="751"/>
      <c r="P6" s="751"/>
      <c r="Q6" s="751"/>
    </row>
    <row r="7" spans="1:29" ht="60.6" thickBot="1">
      <c r="A7" s="2248"/>
      <c r="B7" s="315" t="s">
        <v>2258</v>
      </c>
      <c r="C7" s="3150" t="s">
        <v>3446</v>
      </c>
      <c r="D7" s="2245"/>
      <c r="E7" s="2271"/>
      <c r="F7" s="2272" t="s">
        <v>2263</v>
      </c>
      <c r="G7" s="2273" t="s">
        <v>2264</v>
      </c>
      <c r="H7" s="751"/>
      <c r="I7" s="751"/>
      <c r="J7" s="751"/>
      <c r="K7" s="751"/>
      <c r="L7" s="751"/>
      <c r="M7" s="751"/>
      <c r="N7" s="751"/>
      <c r="O7" s="751"/>
      <c r="P7" s="751"/>
      <c r="Q7" s="751"/>
    </row>
    <row r="8" spans="1:29" ht="24">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1" t="s">
        <v>3447</v>
      </c>
      <c r="D9" s="2266"/>
      <c r="E9" s="2245"/>
      <c r="F9" s="121"/>
      <c r="G9" s="121"/>
      <c r="H9" s="751"/>
      <c r="I9" s="751"/>
      <c r="J9" s="751"/>
      <c r="K9" s="751"/>
      <c r="L9" s="751"/>
      <c r="M9" s="751"/>
      <c r="N9" s="751"/>
      <c r="O9" s="751"/>
      <c r="P9" s="751"/>
      <c r="Q9" s="751"/>
    </row>
    <row r="10" spans="1:29" ht="14.4" thickBot="1">
      <c r="A10" s="2249"/>
      <c r="B10" s="2274" t="s">
        <v>2266</v>
      </c>
      <c r="C10" s="3152" t="s">
        <v>3448</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2283</v>
      </c>
      <c r="B13" s="2278"/>
      <c r="C13" s="2278"/>
      <c r="D13" s="2277"/>
      <c r="E13" s="2278"/>
      <c r="F13" s="2278"/>
      <c r="G13" s="2278"/>
    </row>
    <row r="14" spans="1:29" ht="14.4" thickBot="1">
      <c r="A14" s="2283"/>
      <c r="B14" s="2283"/>
      <c r="C14" s="2284" t="s">
        <v>2267</v>
      </c>
      <c r="D14" s="2266"/>
      <c r="E14" s="2285"/>
      <c r="F14" s="2285"/>
      <c r="G14" s="2262" t="s">
        <v>2268</v>
      </c>
    </row>
    <row r="15" spans="1:29" ht="39.6">
      <c r="A15" s="2250" t="s">
        <v>2269</v>
      </c>
      <c r="B15" s="2286" t="s">
        <v>2252</v>
      </c>
      <c r="C15" s="2287">
        <f>C3</f>
        <v>0</v>
      </c>
      <c r="D15" s="2266"/>
      <c r="E15" s="2251" t="s">
        <v>2270</v>
      </c>
      <c r="F15" s="2286" t="s">
        <v>2271</v>
      </c>
      <c r="G15" s="2288" t="str">
        <f>G3</f>
        <v>估价对象位于XX开发区，园区建设成熟度XX，产业集聚程度XX</v>
      </c>
    </row>
    <row r="16" spans="1:29" ht="52.8">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ht="66">
      <c r="A17" s="2252"/>
      <c r="B17" s="2289" t="s">
        <v>2257</v>
      </c>
      <c r="C17" s="2290" t="str">
        <f>C5</f>
        <v>周边商业氛围较成熟，有华冠天地、房山商业大楼等项目，人流量较大，办公项目较少，综合评价集聚程度较好</v>
      </c>
      <c r="D17" s="2245"/>
      <c r="E17" s="2253"/>
      <c r="F17" s="2291" t="s">
        <v>2272</v>
      </c>
      <c r="G17" s="2293"/>
    </row>
    <row r="18" spans="1:17" ht="66">
      <c r="A18" s="2252"/>
      <c r="B18" s="2291" t="s">
        <v>2260</v>
      </c>
      <c r="C18" s="2292" t="str">
        <f>C6</f>
        <v>估价对象周边道路状况一般，有836、901、917等多条线路，公共交通通达情况较好、停车便捷程度较好，综合评价交通便捷度一般</v>
      </c>
      <c r="D18" s="2245"/>
      <c r="E18" s="2253"/>
      <c r="F18" s="2291" t="s">
        <v>2263</v>
      </c>
      <c r="G18" s="2292" t="str">
        <f>G7</f>
        <v>该园区内是否有污染型企业，绿化情况，卫生条件，整体环境状况判断</v>
      </c>
    </row>
    <row r="19" spans="1:17" ht="26.4">
      <c r="A19" s="2252"/>
      <c r="B19" s="2291" t="s">
        <v>2273</v>
      </c>
      <c r="C19" s="2293"/>
      <c r="D19" s="2266"/>
      <c r="E19" s="2253"/>
      <c r="F19" s="315" t="s">
        <v>2258</v>
      </c>
      <c r="G19" s="2292" t="str">
        <f>G5</f>
        <v>估价对象所在区域公共配套设施齐备情况</v>
      </c>
    </row>
    <row r="20" spans="1:17" ht="39.6">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6">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4.4"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4.4"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1515.5000000000002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SUM(D14:D23)</f>
        <v>741</v>
      </c>
      <c r="C5" s="2298" t="e">
        <f ca="1">IF(B5=D14,结果表!H102,ROUND(B5*10000/$B$1,0))</f>
        <v>#REF!</v>
      </c>
      <c r="D5" s="2298" t="e">
        <f>ROUND(B5*10000/$B$2,0)</f>
        <v>#DIV/0!</v>
      </c>
      <c r="E5" s="2459"/>
      <c r="F5" s="2460"/>
      <c r="G5" s="2460"/>
      <c r="H5" s="2460"/>
      <c r="I5" s="2460"/>
      <c r="J5" s="2460"/>
      <c r="K5" s="2460"/>
    </row>
    <row r="6" spans="1:11" ht="15.6">
      <c r="A6" s="2298" t="s">
        <v>656</v>
      </c>
      <c r="B6" s="2298">
        <f>SUM(G14:G23)</f>
        <v>0</v>
      </c>
      <c r="C6" s="2298" t="e">
        <f ca="1">IF(B6=G14,结果表!H108,ROUND(B6*10000/$B$1,0))</f>
        <v>#REF!</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59"/>
      <c r="G8" s="3161"/>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741</v>
      </c>
      <c r="C10" s="2298" t="s">
        <v>3354</v>
      </c>
      <c r="D10" s="2298" t="s">
        <v>3355</v>
      </c>
      <c r="E10" s="3192">
        <f>'比较法-办公'!C49</f>
        <v>0.67</v>
      </c>
      <c r="F10" s="3137" t="s">
        <v>3356</v>
      </c>
      <c r="G10" s="3134">
        <v>0.05</v>
      </c>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'数据-汇总表'!E3</f>
        <v>1515.5000000000002</v>
      </c>
      <c r="C14" s="2304"/>
      <c r="D14" s="2304">
        <f>B10</f>
        <v>741</v>
      </c>
      <c r="E14" s="2304">
        <f t="shared" ref="E14:E23" si="0">ROUND(D14*10000/B14,0)</f>
        <v>4889</v>
      </c>
      <c r="F14" s="2304" t="e">
        <f>ROUND(D14*10000/C14,0)</f>
        <v>#DIV/0!</v>
      </c>
      <c r="G14" s="2304"/>
      <c r="H14" s="2304"/>
      <c r="I14" s="2304"/>
      <c r="J14" s="2460"/>
      <c r="K14" s="2460"/>
    </row>
    <row r="15" spans="1:11" ht="15.6">
      <c r="A15" s="2303" t="s">
        <v>649</v>
      </c>
      <c r="B15" s="2305"/>
      <c r="C15" s="2305"/>
      <c r="D15" s="2305"/>
      <c r="E15" s="2304" t="e">
        <f t="shared" si="0"/>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0" t="str">
        <f>项目基本情况!S2</f>
        <v>北京市房山区城关街道北大街17号房地产</v>
      </c>
      <c r="B2" s="3321"/>
      <c r="C2" s="3321"/>
      <c r="D2" s="3321"/>
      <c r="E2" s="3321"/>
      <c r="F2" s="3321"/>
      <c r="G2" s="3321"/>
      <c r="H2" s="3321"/>
      <c r="I2" s="3322"/>
    </row>
    <row r="3" spans="1:12" ht="13.2">
      <c r="A3" s="3324" t="s">
        <v>1264</v>
      </c>
      <c r="B3" s="3325"/>
      <c r="C3" s="3325"/>
      <c r="D3" s="3325"/>
      <c r="E3" s="3325"/>
      <c r="F3" s="3325"/>
      <c r="G3" s="3325"/>
      <c r="H3" s="3325"/>
      <c r="I3" s="3325"/>
    </row>
    <row r="4" spans="1:12" ht="14.4">
      <c r="A4" s="1624" t="s">
        <v>1265</v>
      </c>
      <c r="B4" s="1625" t="s">
        <v>1266</v>
      </c>
      <c r="C4" s="1626"/>
      <c r="D4" s="1626"/>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00" t="s">
        <v>1268</v>
      </c>
      <c r="B5" s="3287">
        <v>25</v>
      </c>
      <c r="C5" s="3303"/>
      <c r="D5" s="3323"/>
      <c r="E5" s="123" t="s">
        <v>1269</v>
      </c>
      <c r="F5" s="1627"/>
      <c r="G5" s="1627"/>
      <c r="H5" s="1627"/>
      <c r="I5" s="1281"/>
    </row>
    <row r="6" spans="1:12" ht="13.2">
      <c r="A6" s="3300"/>
      <c r="B6" s="3287"/>
      <c r="C6" s="3304"/>
      <c r="D6" s="3323"/>
      <c r="E6" s="123" t="s">
        <v>1270</v>
      </c>
      <c r="F6" s="1627"/>
      <c r="G6" s="1627"/>
      <c r="H6" s="1627"/>
      <c r="I6" s="1281"/>
    </row>
    <row r="7" spans="1:12" ht="13.2">
      <c r="A7" s="3300"/>
      <c r="B7" s="3287"/>
      <c r="C7" s="3305"/>
      <c r="D7" s="3323"/>
      <c r="E7" s="123" t="s">
        <v>1271</v>
      </c>
      <c r="F7" s="1627"/>
      <c r="G7" s="1627"/>
      <c r="H7" s="1627"/>
      <c r="I7" s="1281"/>
    </row>
    <row r="8" spans="1:12" ht="13.2">
      <c r="A8" s="3300" t="s">
        <v>1272</v>
      </c>
      <c r="B8" s="3287">
        <v>15</v>
      </c>
      <c r="C8" s="3303"/>
      <c r="D8" s="3323"/>
      <c r="E8" s="123" t="s">
        <v>1273</v>
      </c>
      <c r="F8" s="1627"/>
      <c r="G8" s="1627"/>
      <c r="H8" s="1627"/>
      <c r="I8" s="1281"/>
    </row>
    <row r="9" spans="1:12" ht="13.2">
      <c r="A9" s="3300"/>
      <c r="B9" s="3287"/>
      <c r="C9" s="3305"/>
      <c r="D9" s="3323"/>
      <c r="E9" s="123" t="s">
        <v>1274</v>
      </c>
      <c r="F9" s="1627"/>
      <c r="G9" s="1627"/>
      <c r="H9" s="1627"/>
      <c r="I9" s="1281"/>
    </row>
    <row r="10" spans="1:12" ht="13.2">
      <c r="A10" s="3300" t="s">
        <v>1275</v>
      </c>
      <c r="B10" s="3287">
        <v>15</v>
      </c>
      <c r="C10" s="3303"/>
      <c r="D10" s="3323"/>
      <c r="E10" s="123" t="s">
        <v>1276</v>
      </c>
      <c r="F10" s="1627"/>
      <c r="G10" s="1627"/>
      <c r="H10" s="1627"/>
      <c r="I10" s="1281"/>
    </row>
    <row r="11" spans="1:12" ht="13.2">
      <c r="A11" s="3300"/>
      <c r="B11" s="3287"/>
      <c r="C11" s="3305"/>
      <c r="D11" s="3323"/>
      <c r="E11" s="123" t="s">
        <v>1277</v>
      </c>
      <c r="F11" s="1627"/>
      <c r="G11" s="1627"/>
      <c r="H11" s="1627"/>
      <c r="I11" s="1281"/>
    </row>
    <row r="12" spans="1:12" ht="13.2">
      <c r="A12" s="3300" t="s">
        <v>1278</v>
      </c>
      <c r="B12" s="3287">
        <v>15</v>
      </c>
      <c r="C12" s="3303"/>
      <c r="D12" s="3323"/>
      <c r="E12" s="123" t="s">
        <v>1279</v>
      </c>
      <c r="F12" s="1627"/>
      <c r="G12" s="1627"/>
      <c r="H12" s="1627"/>
      <c r="I12" s="1281"/>
    </row>
    <row r="13" spans="1:12" ht="13.2">
      <c r="A13" s="3300"/>
      <c r="B13" s="3287"/>
      <c r="C13" s="3305"/>
      <c r="D13" s="3323"/>
      <c r="E13" s="123" t="s">
        <v>1280</v>
      </c>
      <c r="F13" s="1627"/>
      <c r="G13" s="1627"/>
      <c r="H13" s="1627"/>
      <c r="I13" s="1281"/>
    </row>
    <row r="14" spans="1:12" ht="13.2">
      <c r="A14" s="3300" t="s">
        <v>1281</v>
      </c>
      <c r="B14" s="3287">
        <v>30</v>
      </c>
      <c r="C14" s="3303"/>
      <c r="D14" s="3323"/>
      <c r="E14" s="123" t="s">
        <v>1282</v>
      </c>
      <c r="F14" s="1627"/>
      <c r="G14" s="1627"/>
      <c r="H14" s="1627"/>
      <c r="I14" s="1281"/>
    </row>
    <row r="15" spans="1:12" ht="13.2">
      <c r="A15" s="3300"/>
      <c r="B15" s="3287"/>
      <c r="C15" s="3304"/>
      <c r="D15" s="3323"/>
      <c r="E15" s="123" t="s">
        <v>1283</v>
      </c>
      <c r="F15" s="1627"/>
      <c r="G15" s="1627"/>
      <c r="H15" s="1627"/>
      <c r="I15" s="1281"/>
    </row>
    <row r="16" spans="1:12" ht="13.2">
      <c r="A16" s="3300"/>
      <c r="B16" s="3287"/>
      <c r="C16" s="3305"/>
      <c r="D16" s="3323"/>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10" t="s">
        <v>2131</v>
      </c>
      <c r="F18" s="3311"/>
      <c r="G18" s="3311"/>
      <c r="H18" s="3311"/>
      <c r="I18" s="3311"/>
      <c r="K18" s="294" t="s">
        <v>1289</v>
      </c>
      <c r="L18" s="294">
        <f>IF(C1="",'数据-汇总表'!E3,SUMIF(项目类型,C1,'数据-汇总表'!E17:E26)+SUMIF(项目类型,C1,'数据-汇总表'!I17:I26))</f>
        <v>1515.5000000000002</v>
      </c>
      <c r="M18" s="294">
        <f>IF(C1="",'数据-汇总表'!E3,SUMIF(项目类型,C1,'数据-汇总表'!E17:E26))</f>
        <v>1515.5000000000002</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94" t="s">
        <v>1299</v>
      </c>
      <c r="B24" s="1631" t="s">
        <v>1291</v>
      </c>
      <c r="C24" s="128">
        <f>IF(B30=0,0,D30)</f>
        <v>0</v>
      </c>
      <c r="D24" s="1637"/>
      <c r="E24" s="121"/>
      <c r="F24" s="121"/>
      <c r="G24" s="121"/>
      <c r="H24" s="121"/>
      <c r="I24" s="121"/>
    </row>
    <row r="25" spans="1:36" ht="14.4">
      <c r="A25" s="329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1" t="s">
        <v>1326</v>
      </c>
      <c r="B45" s="3292"/>
      <c r="C45" s="3293"/>
      <c r="D45" s="147" t="e">
        <f ca="1">ROUND(H101*F45,0)</f>
        <v>#REF!</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8"/>
      <c r="I46" s="151"/>
      <c r="J46" s="2308">
        <v>1</v>
      </c>
      <c r="K46" s="3350" t="s">
        <v>1331</v>
      </c>
      <c r="L46" s="3350"/>
      <c r="M46" s="3370"/>
      <c r="N46" s="3370"/>
      <c r="O46" s="3370"/>
    </row>
    <row r="47" spans="1:15" ht="12" customHeight="1">
      <c r="A47" s="152" t="s">
        <v>1332</v>
      </c>
      <c r="B47" s="153"/>
      <c r="C47" s="154"/>
      <c r="D47" s="1024" t="s">
        <v>1333</v>
      </c>
      <c r="E47" s="294" t="s">
        <v>1334</v>
      </c>
      <c r="F47" s="155" t="s">
        <v>1335</v>
      </c>
      <c r="G47" s="2331" t="s">
        <v>1336</v>
      </c>
      <c r="H47" s="2332"/>
      <c r="I47" s="151"/>
      <c r="J47" s="2308">
        <v>2</v>
      </c>
      <c r="K47" s="3350" t="s">
        <v>1337</v>
      </c>
      <c r="L47" s="3350"/>
      <c r="M47" s="3371">
        <f>'数据-取费表'!B2</f>
        <v>45624</v>
      </c>
      <c r="N47" s="3371"/>
      <c r="O47" s="3371"/>
    </row>
    <row r="48" spans="1:15" ht="26.4">
      <c r="A48" s="3319" t="s">
        <v>1338</v>
      </c>
      <c r="B48" s="3302"/>
      <c r="C48" s="330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50" t="s">
        <v>1340</v>
      </c>
      <c r="L48" s="3350"/>
      <c r="M48" s="3372" t="e">
        <f ca="1">H101</f>
        <v>#REF!</v>
      </c>
      <c r="N48" s="3372"/>
      <c r="O48" s="3372"/>
    </row>
    <row r="49" spans="1:35" ht="25.5" customHeight="1">
      <c r="A49" s="2152" t="s">
        <v>1341</v>
      </c>
      <c r="B49" s="3286" t="s">
        <v>1342</v>
      </c>
      <c r="C49" s="3286"/>
      <c r="D49" s="1478">
        <v>0</v>
      </c>
      <c r="E49" s="316" t="s">
        <v>1343</v>
      </c>
      <c r="F49" s="2233" t="s">
        <v>28</v>
      </c>
      <c r="G49" s="3356"/>
      <c r="H49" s="2134" t="s">
        <v>2134</v>
      </c>
      <c r="I49" s="2135"/>
      <c r="J49" s="2308">
        <v>4</v>
      </c>
      <c r="K49" s="3350" t="str">
        <f>IF(项目基本情况!E8="房地产抵押价值","房地产抵押价值","抵押担保权已注销时的房地产抵押价值")</f>
        <v>抵押担保权已注销时的房地产抵押价值</v>
      </c>
      <c r="L49" s="3350"/>
      <c r="M49" s="3372" t="str">
        <f>IF(项目基本情况!E8="房地产抵押价值",H107,H109)</f>
        <v>——</v>
      </c>
      <c r="N49" s="3372"/>
      <c r="O49" s="3372"/>
    </row>
    <row r="50" spans="1:35" ht="25.5" customHeight="1">
      <c r="A50" s="2336"/>
      <c r="B50" s="3286" t="s">
        <v>1344</v>
      </c>
      <c r="C50" s="3286"/>
      <c r="D50" s="2189"/>
      <c r="E50" s="323"/>
      <c r="F50" s="2233"/>
      <c r="G50" s="3357"/>
      <c r="H50" s="2136" t="s">
        <v>2135</v>
      </c>
      <c r="I50" s="2135"/>
      <c r="J50" s="3369" t="s">
        <v>1345</v>
      </c>
      <c r="K50" s="3369"/>
      <c r="L50" s="3369"/>
      <c r="M50" s="3369"/>
      <c r="N50" s="3369"/>
      <c r="O50" s="3369"/>
    </row>
    <row r="51" spans="1:35" ht="20.399999999999999" customHeight="1">
      <c r="A51" s="2337"/>
      <c r="B51" s="3286" t="s">
        <v>1346</v>
      </c>
      <c r="C51" s="3286"/>
      <c r="D51" s="1024"/>
      <c r="E51" s="319"/>
      <c r="F51" s="2233"/>
      <c r="G51" s="3358"/>
      <c r="H51" s="2136" t="s">
        <v>2136</v>
      </c>
      <c r="I51" s="2135"/>
      <c r="J51" s="2309" t="s">
        <v>1347</v>
      </c>
      <c r="K51" s="3350" t="s">
        <v>1348</v>
      </c>
      <c r="L51" s="3350"/>
      <c r="M51" s="2309" t="s">
        <v>1349</v>
      </c>
      <c r="N51" s="2309" t="s">
        <v>1350</v>
      </c>
      <c r="O51" s="2309" t="s">
        <v>1351</v>
      </c>
    </row>
    <row r="52" spans="1:35" ht="24" customHeight="1">
      <c r="A52" s="2153" t="s">
        <v>1352</v>
      </c>
      <c r="B52" s="3286" t="s">
        <v>1353</v>
      </c>
      <c r="C52" s="3286"/>
      <c r="D52" s="1024" t="e">
        <f ca="1">ROUND(D45*'数据-取费表'!B41/(1+'数据-取费表'!C42),0)</f>
        <v>#REF!</v>
      </c>
      <c r="E52" s="1256" t="s">
        <v>1354</v>
      </c>
      <c r="F52" s="2338">
        <f>'数据-取费表'!B41</f>
        <v>5.5000000000000007E-2</v>
      </c>
      <c r="G52" s="2339"/>
      <c r="H52" s="2329"/>
      <c r="I52" s="1669"/>
      <c r="J52" s="2308">
        <v>1</v>
      </c>
      <c r="K52" s="3351" t="s">
        <v>1355</v>
      </c>
      <c r="L52" s="3351"/>
      <c r="M52" s="2310" t="b">
        <f>D48</f>
        <v>0</v>
      </c>
      <c r="N52" s="2308" t="str">
        <f>E48</f>
        <v>销售额×税（费）率</v>
      </c>
      <c r="O52" s="2311">
        <f>F48</f>
        <v>5.5000000000000007E-2</v>
      </c>
    </row>
    <row r="53" spans="1:35" ht="12" customHeight="1">
      <c r="A53" s="2153" t="s">
        <v>1356</v>
      </c>
      <c r="B53" s="3312" t="s">
        <v>2287</v>
      </c>
      <c r="C53" s="3313"/>
      <c r="D53" s="1024" t="e">
        <f ca="1">ROUND(D45*'数据-取费表'!B41/(1+'数据-取费表'!C42),0)</f>
        <v>#REF!</v>
      </c>
      <c r="E53" s="1256" t="s">
        <v>1354</v>
      </c>
      <c r="F53" s="2338">
        <f>'数据-取费表'!B41</f>
        <v>5.5000000000000007E-2</v>
      </c>
      <c r="G53" s="2339"/>
      <c r="H53" s="2329"/>
      <c r="I53" s="1669"/>
      <c r="J53" s="2308">
        <v>2</v>
      </c>
      <c r="K53" s="3351" t="s">
        <v>1357</v>
      </c>
      <c r="L53" s="3351"/>
      <c r="M53" s="2310" t="e">
        <f t="shared" ref="M53:O54" ca="1" si="0">D55</f>
        <v>#REF!</v>
      </c>
      <c r="N53" s="2308" t="str">
        <f t="shared" si="0"/>
        <v>销售额×税（费）率</v>
      </c>
      <c r="O53" s="2311" t="str">
        <f t="shared" si="0"/>
        <v>免征</v>
      </c>
    </row>
    <row r="54" spans="1:35" ht="12" customHeight="1">
      <c r="A54" s="2153" t="s">
        <v>1358</v>
      </c>
      <c r="B54" s="3312" t="s">
        <v>2288</v>
      </c>
      <c r="C54" s="3313"/>
      <c r="D54" s="1024" t="e">
        <f ca="1">C68</f>
        <v>#REF!</v>
      </c>
      <c r="E54" s="319" t="s">
        <v>1359</v>
      </c>
      <c r="F54" s="2338">
        <f>'数据-取费表'!B41</f>
        <v>5.5000000000000007E-2</v>
      </c>
      <c r="G54" s="2339"/>
      <c r="H54" s="2340"/>
      <c r="I54" s="1669"/>
      <c r="J54" s="2308">
        <v>3</v>
      </c>
      <c r="K54" s="3351" t="s">
        <v>1360</v>
      </c>
      <c r="L54" s="3351"/>
      <c r="M54" s="2310" t="e">
        <f t="shared" ca="1" si="0"/>
        <v>#REF!</v>
      </c>
      <c r="N54" s="2308" t="str">
        <f t="shared" si="0"/>
        <v>增值额×税（费）率</v>
      </c>
      <c r="O54" s="2312" t="str">
        <f t="shared" si="0"/>
        <v>免征</v>
      </c>
    </row>
    <row r="55" spans="1:35" ht="24" customHeight="1">
      <c r="A55" s="3301" t="s">
        <v>1361</v>
      </c>
      <c r="B55" s="3302"/>
      <c r="C55" s="3302"/>
      <c r="D55" s="12" t="e">
        <f ca="1">IF(H55="个人住宅",0,ROUND(D45*I55,0))</f>
        <v>#REF!</v>
      </c>
      <c r="E55" s="1256" t="s">
        <v>1362</v>
      </c>
      <c r="F55" s="2338" t="str">
        <f>IF(H55="正常",I55,"免征")</f>
        <v>免征</v>
      </c>
      <c r="G55" s="2339"/>
      <c r="H55" s="2335"/>
      <c r="I55" s="157">
        <f>'数据-取费表'!B49</f>
        <v>5.0000000000000001E-4</v>
      </c>
      <c r="J55" s="2308">
        <f>IF(H59="非个人房产","",4)</f>
        <v>4</v>
      </c>
      <c r="K55" s="3351" t="str">
        <f>IF(H59="非个人房产","——","个人所得税")</f>
        <v>个人所得税</v>
      </c>
      <c r="L55" s="3351"/>
      <c r="M55" s="2313" t="e">
        <f ca="1">D59</f>
        <v>#REF!</v>
      </c>
      <c r="N55" s="1883" t="str">
        <f>E59</f>
        <v>差额计税</v>
      </c>
      <c r="O55" s="2314">
        <f>F59</f>
        <v>0.01</v>
      </c>
    </row>
    <row r="56" spans="1:35" ht="25.2">
      <c r="A56" s="3301" t="s">
        <v>1363</v>
      </c>
      <c r="B56" s="3302"/>
      <c r="C56" s="3302"/>
      <c r="D56" s="12" t="e">
        <f ca="1">IF(H56="个人住宅",D57,D58)</f>
        <v>#REF!</v>
      </c>
      <c r="E56" s="1256" t="s">
        <v>1364</v>
      </c>
      <c r="F56" s="2338" t="str">
        <f>IF(H56="正常",F58,"免征")</f>
        <v>免征</v>
      </c>
      <c r="G56" s="2341" t="s">
        <v>1365</v>
      </c>
      <c r="H56" s="2342"/>
      <c r="I56" s="1670"/>
      <c r="J56" s="2308" t="str">
        <f>IF(项目基本情况!K6="上海银行",IF(J55="",4,J55+1),"")</f>
        <v/>
      </c>
      <c r="K56" s="3374" t="str">
        <f>IF(项目基本情况!K6="上海银行","其他处置费用","")</f>
        <v/>
      </c>
      <c r="L56" s="3375"/>
      <c r="M56" s="2310" t="str">
        <f>IF(项目基本情况!K6="上海银行",M69,"")</f>
        <v/>
      </c>
      <c r="N56" s="3374" t="str">
        <f>IF(项目基本情况!K6="上海银行","包含处置中涉及的律师、诉讼、拍卖、评估等费用","")</f>
        <v/>
      </c>
      <c r="O56" s="3377"/>
    </row>
    <row r="57" spans="1:35" ht="13.2">
      <c r="A57" s="2153" t="s">
        <v>1341</v>
      </c>
      <c r="B57" s="3312" t="s">
        <v>1366</v>
      </c>
      <c r="C57" s="3313"/>
      <c r="D57" s="1478">
        <v>0</v>
      </c>
      <c r="E57" s="316" t="s">
        <v>1343</v>
      </c>
      <c r="F57" s="294"/>
      <c r="G57" s="2339"/>
      <c r="H57" s="2343"/>
      <c r="I57" s="1670"/>
      <c r="J57" s="3351">
        <f>IF(AND(J55="",J56=""),4,IF(项目基本情况!K6="上海银行",结果表!J56+1,结果表!J55+1))</f>
        <v>5</v>
      </c>
      <c r="K57" s="3351" t="s">
        <v>1367</v>
      </c>
      <c r="L57" s="2315" t="s">
        <v>1368</v>
      </c>
      <c r="M57" s="2316"/>
      <c r="N57" s="2317">
        <f ca="1">SUMIF(M52:M56,"&lt;9e307")</f>
        <v>0</v>
      </c>
      <c r="O57" s="2318"/>
      <c r="P57" s="2462" t="e">
        <f ca="1">N57/M49</f>
        <v>#VALUE!</v>
      </c>
    </row>
    <row r="58" spans="1:35" ht="25.2">
      <c r="A58" s="2153" t="s">
        <v>1352</v>
      </c>
      <c r="B58" s="3312" t="s">
        <v>1369</v>
      </c>
      <c r="C58" s="3286"/>
      <c r="D58" s="12" t="e">
        <f ca="1">IF(H58="转让取得",C81,C97)</f>
        <v>#REF!</v>
      </c>
      <c r="E58" s="1256" t="s">
        <v>1364</v>
      </c>
      <c r="F58" s="294" t="s">
        <v>28</v>
      </c>
      <c r="G58" s="2339"/>
      <c r="H58" s="2342"/>
      <c r="I58" s="1670"/>
      <c r="J58" s="3351"/>
      <c r="K58" s="3351"/>
      <c r="L58" s="2315" t="s">
        <v>1370</v>
      </c>
      <c r="M58" s="2319"/>
      <c r="N58" s="2320" t="str">
        <f ca="1">NUMBERSTRING(INT(N57*10000),2)&amp;"元整"</f>
        <v>零元整</v>
      </c>
      <c r="O58" s="2321"/>
    </row>
    <row r="59" spans="1:35" ht="24.6" thickBot="1">
      <c r="A59" s="3354" t="s">
        <v>1371</v>
      </c>
      <c r="B59" s="3355"/>
      <c r="C59" s="335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52">
        <f>J57+1</f>
        <v>6</v>
      </c>
      <c r="K59" s="3351" t="s">
        <v>1372</v>
      </c>
      <c r="L59" s="2308" t="s">
        <v>1368</v>
      </c>
      <c r="M59" s="2322"/>
      <c r="N59" s="2323" t="e">
        <f ca="1">M49-N57</f>
        <v>#VALUE!</v>
      </c>
      <c r="O59" s="2324"/>
    </row>
    <row r="60" spans="1:35" ht="12" customHeight="1">
      <c r="A60" s="1671"/>
      <c r="B60" s="646"/>
      <c r="C60" s="646"/>
      <c r="D60" s="646"/>
      <c r="E60" s="1466"/>
      <c r="F60" s="1670"/>
      <c r="G60" s="1670"/>
      <c r="H60" s="151"/>
      <c r="I60" s="121"/>
      <c r="J60" s="3353"/>
      <c r="K60" s="3351"/>
      <c r="L60" s="2315" t="s">
        <v>1370</v>
      </c>
      <c r="M60" s="2319"/>
      <c r="N60" s="2320" t="e">
        <f ca="1">NUMBERSTRING(INT(N59*10000),2)&amp;"元整"</f>
        <v>#VALUE!</v>
      </c>
      <c r="O60" s="2321"/>
    </row>
    <row r="61" spans="1:35" ht="13.8" thickBot="1">
      <c r="A61" s="3299" t="s">
        <v>1373</v>
      </c>
      <c r="B61" s="3299"/>
      <c r="C61" s="3299"/>
      <c r="D61" s="3299"/>
      <c r="E61" s="3299"/>
      <c r="F61" s="1670"/>
      <c r="G61" s="1670"/>
      <c r="H61" s="151"/>
      <c r="I61" s="121"/>
      <c r="J61" s="2308">
        <f>J59+1</f>
        <v>7</v>
      </c>
      <c r="K61" s="3351" t="s">
        <v>1374</v>
      </c>
      <c r="L61" s="3351"/>
      <c r="M61" s="2325"/>
      <c r="N61" s="2326" t="e">
        <f ca="1">ROUND(N59*10000/'数据-汇总表'!E3,0)</f>
        <v>#VALUE!</v>
      </c>
      <c r="O61" s="2327"/>
    </row>
    <row r="62" spans="1:35" ht="13.2">
      <c r="A62" s="3317" t="s">
        <v>1375</v>
      </c>
      <c r="B62" s="3318"/>
      <c r="C62" s="1865"/>
      <c r="D62" s="1865" t="s">
        <v>1376</v>
      </c>
      <c r="E62" s="158" t="s">
        <v>1377</v>
      </c>
      <c r="F62" s="1670"/>
      <c r="G62" s="1670"/>
      <c r="H62" s="151"/>
      <c r="I62" s="121"/>
    </row>
    <row r="63" spans="1:35" ht="13.2">
      <c r="A63" s="165" t="s">
        <v>330</v>
      </c>
      <c r="B63" s="159" t="s">
        <v>1378</v>
      </c>
      <c r="C63" s="2348" t="e">
        <f ca="1">ROUND((C64+C65)/(1+'数据-取费表'!C42),0)</f>
        <v>#REF!</v>
      </c>
      <c r="D63" s="159"/>
      <c r="E63" s="160"/>
      <c r="F63" s="1670"/>
      <c r="G63" s="1670"/>
      <c r="H63" s="151"/>
      <c r="I63" s="121"/>
      <c r="J63" s="3376"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7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6"/>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6"/>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7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376"/>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6"/>
      <c r="K69" s="1245" t="s">
        <v>1393</v>
      </c>
      <c r="L69" s="1245"/>
      <c r="M69" s="294" t="e">
        <f>ROUND(SUM(M63:M68),0)</f>
        <v>#VALUE!</v>
      </c>
      <c r="N69" s="2330" t="e">
        <f>M69/M49</f>
        <v>#VALUE!</v>
      </c>
      <c r="Z69" s="1623"/>
      <c r="AI69" s="1561"/>
    </row>
    <row r="70" spans="1:35" s="642" customFormat="1" ht="14.4"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2" t="s">
        <v>1402</v>
      </c>
      <c r="F76" s="3286"/>
      <c r="G76" s="3286"/>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296" t="s">
        <v>1406</v>
      </c>
      <c r="F78" s="3297"/>
      <c r="G78" s="3297"/>
      <c r="H78" s="33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78" t="s">
        <v>2129</v>
      </c>
      <c r="H90" s="3379"/>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6" t="s">
        <v>1419</v>
      </c>
      <c r="F91" s="3297"/>
      <c r="G91" s="329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6" t="s">
        <v>1422</v>
      </c>
      <c r="F92" s="3297"/>
      <c r="G92" s="3297"/>
      <c r="H92" s="3306"/>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296" t="s">
        <v>1406</v>
      </c>
      <c r="F93" s="3297"/>
      <c r="G93" s="3297"/>
      <c r="H93" s="33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7" t="s">
        <v>1426</v>
      </c>
      <c r="F94" s="3308"/>
      <c r="G94" s="3308"/>
      <c r="H94" s="330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69">
        <f>C4</f>
        <v>0</v>
      </c>
      <c r="D101" s="2370">
        <f>D4</f>
        <v>0</v>
      </c>
      <c r="E101" s="3373" t="s">
        <v>1431</v>
      </c>
      <c r="F101" s="3330"/>
      <c r="G101" s="1687" t="s">
        <v>1432</v>
      </c>
      <c r="H101" s="2379" t="e">
        <f ca="1">H118</f>
        <v>#REF!</v>
      </c>
      <c r="I101" s="121"/>
    </row>
    <row r="102" spans="1:35" ht="18.75" customHeight="1">
      <c r="A102" s="3332" t="s">
        <v>1433</v>
      </c>
      <c r="B102" s="2368" t="s">
        <v>1432</v>
      </c>
      <c r="C102" s="2369" t="e">
        <f ca="1">IF(D32="楼面单价",ROUND(C19,0),C19)</f>
        <v>#REF!</v>
      </c>
      <c r="D102" s="2370" t="e">
        <f ca="1">IF(D32="楼面单价",ROUND(D19,0),D19)</f>
        <v>#REF!</v>
      </c>
      <c r="E102" s="3373"/>
      <c r="F102" s="3330"/>
      <c r="G102" s="1687" t="s">
        <v>1434</v>
      </c>
      <c r="H102" s="2339" t="e">
        <f ca="1">I118</f>
        <v>#REF!</v>
      </c>
      <c r="I102" s="121"/>
    </row>
    <row r="103" spans="1:35" ht="42.75" customHeight="1">
      <c r="A103" s="3332"/>
      <c r="B103" s="2368" t="s">
        <v>1434</v>
      </c>
      <c r="C103" s="2371" t="e">
        <f ca="1">C20</f>
        <v>#REF!</v>
      </c>
      <c r="D103" s="2372" t="e">
        <f ca="1">D20</f>
        <v>#REF!</v>
      </c>
      <c r="E103" s="3367" t="s">
        <v>1435</v>
      </c>
      <c r="F103" s="3368"/>
      <c r="G103" s="1688" t="s">
        <v>1436</v>
      </c>
      <c r="H103" s="2379">
        <f>IF(D36="正常操作",H104+H105+H106,H105+H106)</f>
        <v>0</v>
      </c>
      <c r="I103" s="121"/>
    </row>
    <row r="104" spans="1:35" ht="18.75" customHeight="1">
      <c r="A104" s="3332"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9" t="str">
        <f>IF(项目基本情况!E8="已注销","——","3.房地产抵押价值")</f>
        <v>3.房地产抵押价值</v>
      </c>
      <c r="F107" s="3330"/>
      <c r="G107" s="1687" t="s">
        <v>1432</v>
      </c>
      <c r="H107" s="2379" t="e">
        <f ca="1">IF(E107="——","——",H101-H103)</f>
        <v>#REF!</v>
      </c>
      <c r="I107" s="121"/>
    </row>
    <row r="108" spans="1:35" ht="18.75" customHeight="1">
      <c r="A108" s="121"/>
      <c r="B108" s="121"/>
      <c r="C108" s="121"/>
      <c r="D108" s="121"/>
      <c r="E108" s="3329"/>
      <c r="F108" s="3330"/>
      <c r="G108" s="1687" t="s">
        <v>1434</v>
      </c>
      <c r="H108" s="2339" t="e">
        <f ca="1">IF(H107=H101,H102,ROUND(H107*10000/'数据-汇总表'!E3,0))</f>
        <v>#REF!</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7" t="s">
        <v>1432</v>
      </c>
      <c r="H109" s="2382" t="str">
        <f>IF(E109="——","——",H101-H105-H106)</f>
        <v>——</v>
      </c>
      <c r="I109" s="121"/>
    </row>
    <row r="110" spans="1:35" ht="18.75" customHeight="1">
      <c r="A110" s="121"/>
      <c r="B110" s="121"/>
      <c r="C110" s="121"/>
      <c r="D110" s="121"/>
      <c r="E110" s="3329"/>
      <c r="F110" s="3330"/>
      <c r="G110" s="1687" t="s">
        <v>1434</v>
      </c>
      <c r="H110" s="2339"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31"/>
      <c r="G111" s="1687" t="s">
        <v>1432</v>
      </c>
      <c r="H111" s="2379" t="str">
        <f>IF(E111="——","——",N59)</f>
        <v>——</v>
      </c>
      <c r="I111" s="121"/>
    </row>
    <row r="112" spans="1:35" ht="18.75" customHeight="1" thickBot="1">
      <c r="A112" s="121"/>
      <c r="B112" s="121"/>
      <c r="C112" s="121"/>
      <c r="D112" s="121"/>
      <c r="E112" s="3362"/>
      <c r="F112" s="3363"/>
      <c r="G112" s="1690" t="s">
        <v>1434</v>
      </c>
      <c r="H112" s="2383"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50" t="s">
        <v>1449</v>
      </c>
      <c r="E117" s="2150" t="s">
        <v>1450</v>
      </c>
      <c r="F117" s="2150" t="s">
        <v>1449</v>
      </c>
      <c r="G117" s="2150" t="s">
        <v>1451</v>
      </c>
      <c r="H117" s="2150" t="s">
        <v>1449</v>
      </c>
      <c r="I117" s="2150" t="s">
        <v>1451</v>
      </c>
    </row>
    <row r="118" spans="1:27" ht="24.75" customHeight="1">
      <c r="A118" s="2384" t="str">
        <f>项目基本情况!S2</f>
        <v>北京市房山区城关街道北大街17号房地产</v>
      </c>
      <c r="B118" s="2150">
        <f>M18</f>
        <v>1515.5000000000002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0" t="s">
        <v>1452</v>
      </c>
      <c r="B119" s="3300"/>
      <c r="C119" s="3300"/>
      <c r="D119" s="3340" t="e">
        <f ca="1">NUMBERSTRING(INT(D118*10000),2)&amp;"元整"</f>
        <v>#REF!</v>
      </c>
      <c r="E119" s="3342"/>
      <c r="F119" s="3340" t="e">
        <f ca="1">NUMBERSTRING(INT(F118*10000),2)&amp;"元整"</f>
        <v>#REF!</v>
      </c>
      <c r="G119" s="3342"/>
      <c r="H119" s="3340" t="e">
        <f ca="1">NUMBERSTRING(INT(H118*10000),2)&amp;"元整"</f>
        <v>#REF!</v>
      </c>
      <c r="I119" s="3342"/>
    </row>
    <row r="120" spans="1:27" ht="18.75" customHeight="1">
      <c r="A120" s="3364" t="str">
        <f>IF(项目基本情况!B9="房地产市场价值","",MID(E103,3,LEN(E103)-2))</f>
        <v/>
      </c>
      <c r="B120" s="3365"/>
      <c r="C120" s="3366"/>
      <c r="D120" s="3364">
        <f>H103</f>
        <v>0</v>
      </c>
      <c r="E120" s="3365"/>
      <c r="F120" s="3365"/>
      <c r="G120" s="3365"/>
      <c r="H120" s="3365"/>
      <c r="I120" s="336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
      </c>
      <c r="B122" s="3331"/>
      <c r="C122" s="3331"/>
      <c r="D122" s="3364" t="e">
        <f ca="1">H107</f>
        <v>#REF!</v>
      </c>
      <c r="E122" s="3365"/>
      <c r="F122" s="3365"/>
      <c r="G122" s="3365"/>
      <c r="H122" s="3365"/>
      <c r="I122" s="3366"/>
      <c r="AA122" s="684"/>
    </row>
    <row r="123" spans="1:27" ht="18.75" customHeight="1">
      <c r="A123" s="3300" t="s">
        <v>1452</v>
      </c>
      <c r="B123" s="3300"/>
      <c r="C123" s="3300"/>
      <c r="D123" s="3340" t="e">
        <f ca="1">NUMBERSTRING(INT(D122*10000),2)&amp;"元整"</f>
        <v>#REF!</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
      </c>
      <c r="B126" s="3331"/>
      <c r="C126" s="3331"/>
      <c r="D126" s="3364" t="str">
        <f>H111</f>
        <v>——</v>
      </c>
      <c r="E126" s="3365"/>
      <c r="F126" s="3365"/>
      <c r="G126" s="3365"/>
      <c r="H126" s="3365"/>
      <c r="I126" s="3366"/>
      <c r="AA126" s="684"/>
    </row>
    <row r="127" spans="1:27" ht="18.75" customHeight="1">
      <c r="A127" s="3300" t="s">
        <v>1452</v>
      </c>
      <c r="B127" s="3300"/>
      <c r="C127" s="3300"/>
      <c r="D127" s="3340" t="e">
        <f>NUMBERSTRING(INT(D126*10000),2)&amp;"元整"</f>
        <v>#VALUE!</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北京市房山区城关街道北大街17号房地产市场价值预评估</v>
      </c>
      <c r="C37" s="3198"/>
      <c r="D37" s="3198"/>
      <c r="E37" s="3198"/>
      <c r="F37" s="3198"/>
      <c r="G37" s="3198"/>
      <c r="H37" s="3198"/>
      <c r="I37" s="319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30</v>
      </c>
      <c r="D10" s="795">
        <f ca="1">IF(B1="",'数据-汇总表'!E6,IF(INDIRECT("'数据-取费表'!c"&amp;$G$1)="住宅",INDIRECT("'数据-取费表'!s"&amp;$G$1),INDIRECT("'数据-取费表'!k"&amp;$G$1)+INDIRECT("'数据-取费表'!s"&amp;$G$1)))</f>
        <v>1515.5000000000002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30</v>
      </c>
      <c r="D19" s="204">
        <f ca="1">D9+D10</f>
        <v>1515.5000000000002</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455</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v>
      </c>
      <c r="D37" s="209">
        <f ca="1">D19</f>
        <v>1515.5000000000002</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2.9999999999999997E-4</v>
      </c>
      <c r="D44" s="230"/>
      <c r="E44" s="230"/>
      <c r="F44" s="231"/>
      <c r="G44" s="3382"/>
    </row>
    <row r="45" spans="1:7" s="206" customFormat="1" ht="13.5" customHeight="1">
      <c r="A45" s="247" t="s">
        <v>1547</v>
      </c>
      <c r="B45" s="236" t="s">
        <v>1513</v>
      </c>
      <c r="C45" s="237">
        <f ca="1">C46</f>
        <v>52</v>
      </c>
      <c r="D45" s="227">
        <f ca="1">C47</f>
        <v>2E-3</v>
      </c>
      <c r="E45" s="228" t="s">
        <v>1539</v>
      </c>
      <c r="F45" s="238">
        <f ca="1">F27</f>
        <v>0.1</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625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438</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512.56230000000005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303100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303100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303100</v>
      </c>
      <c r="D10" s="795">
        <f ca="1">IF(B1="",'数据-汇总表'!E6,IF(INDIRECT("'数据-取费表'!c"&amp;$G$1)="住宅",INDIRECT("'数据-取费表'!s"&amp;$G$1),INDIRECT("'数据-取费表'!k"&amp;$G$1)+INDIRECT("'数据-取费表'!s"&amp;$G$1)))</f>
        <v>1515.5000000000002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303100</v>
      </c>
      <c r="D19" s="204">
        <f ca="1">D9+D10</f>
        <v>1515.5000000000002</v>
      </c>
      <c r="E19" s="203">
        <f>'数据-取费表'!B31</f>
        <v>200</v>
      </c>
      <c r="F19" s="223"/>
      <c r="G19" s="1714"/>
    </row>
    <row r="20" spans="1:7" s="206" customFormat="1" ht="13.5" customHeight="1">
      <c r="A20" s="247" t="s">
        <v>1574</v>
      </c>
      <c r="B20" s="202" t="s">
        <v>1575</v>
      </c>
      <c r="C20" s="224">
        <f ca="1">ROUND((C5+C19)*F20,0)</f>
        <v>12124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18980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9396</v>
      </c>
      <c r="D24" s="230"/>
      <c r="E24" s="230"/>
      <c r="F24" s="231"/>
      <c r="G24" s="232" t="s">
        <v>1586</v>
      </c>
    </row>
    <row r="25" spans="1:7" s="206" customFormat="1" ht="24">
      <c r="A25" s="734" t="s">
        <v>1476</v>
      </c>
      <c r="B25" s="207" t="s">
        <v>1587</v>
      </c>
      <c r="C25" s="230">
        <f ca="1">ROUND(IF('数据-取费表'!B22&lt;=1,C20*F22*'数据-取费表'!B22/2,C20*(POWER((1+F22),'数据-取费表'!B22/2)-1)),0)</f>
        <v>188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61832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61832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755578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5076925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4546500</v>
      </c>
      <c r="D34" s="209"/>
      <c r="E34" s="212"/>
      <c r="F34" s="249"/>
      <c r="G34" s="211"/>
    </row>
    <row r="35" spans="1:7" ht="13.5" customHeight="1">
      <c r="A35" s="734" t="s">
        <v>351</v>
      </c>
      <c r="B35" s="207" t="s">
        <v>1527</v>
      </c>
      <c r="C35" s="212">
        <f ca="1">ROUND(C34*F35,0)</f>
        <v>136395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303100</v>
      </c>
      <c r="D37" s="209">
        <f ca="1">D19</f>
        <v>1515.5000000000002</v>
      </c>
      <c r="E37" s="241">
        <f>'数据-取费表'!B35</f>
        <v>200</v>
      </c>
      <c r="F37" s="251"/>
      <c r="G37" s="253"/>
    </row>
    <row r="38" spans="1:7" ht="13.5" customHeight="1">
      <c r="A38" s="734" t="s">
        <v>354</v>
      </c>
      <c r="B38" s="207" t="s">
        <v>1533</v>
      </c>
      <c r="C38" s="212">
        <f ca="1">ROUND(C34*F38,0)</f>
        <v>90930</v>
      </c>
      <c r="D38" s="212"/>
      <c r="E38" s="212"/>
      <c r="F38" s="251">
        <f>'数据-取费表'!B36</f>
        <v>0.02</v>
      </c>
      <c r="G38" s="211" t="s">
        <v>1528</v>
      </c>
    </row>
    <row r="39" spans="1:7" s="206" customFormat="1" ht="13.5" customHeight="1">
      <c r="A39" s="247" t="s">
        <v>1534</v>
      </c>
      <c r="B39" s="202" t="s">
        <v>1535</v>
      </c>
      <c r="C39" s="224">
        <f ca="1">ROUND(C33*F20,0)</f>
        <v>101539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80266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78692</v>
      </c>
      <c r="D42" s="230"/>
      <c r="E42" s="230"/>
      <c r="F42" s="231"/>
      <c r="G42" s="3380" t="s">
        <v>1591</v>
      </c>
    </row>
    <row r="43" spans="1:7" ht="13.5" customHeight="1">
      <c r="A43" s="734" t="s">
        <v>347</v>
      </c>
      <c r="B43" s="207" t="s">
        <v>1545</v>
      </c>
      <c r="C43" s="230">
        <f ca="1">ROUND(IF('数据-取费表'!B22&lt;=1,C39*F22*'数据-取费表'!B20/2,C39*(POWER((1+F22),'数据-取费表'!B20/2)-1)),0)</f>
        <v>1574</v>
      </c>
      <c r="D43" s="230"/>
      <c r="E43" s="230"/>
      <c r="F43" s="231"/>
      <c r="G43" s="3381"/>
    </row>
    <row r="44" spans="1:7" ht="13.5" customHeight="1">
      <c r="A44" s="734" t="s">
        <v>348</v>
      </c>
      <c r="B44" s="207" t="s">
        <v>1546</v>
      </c>
      <c r="C44" s="230">
        <f ca="1">ROUND(IF('数据-取费表'!B22&lt;=1,C40*F22*'数据-取费表'!B20/2,C40*(POWER((1+F22),'数据-取费表'!B20/2)-1)),4)</f>
        <v>2.9999999999999997E-4</v>
      </c>
      <c r="D44" s="230"/>
      <c r="E44" s="230"/>
      <c r="F44" s="231"/>
      <c r="G44" s="3382"/>
    </row>
    <row r="45" spans="1:7" s="206" customFormat="1" ht="13.5" customHeight="1">
      <c r="A45" s="247" t="s">
        <v>1547</v>
      </c>
      <c r="B45" s="236" t="s">
        <v>1513</v>
      </c>
      <c r="C45" s="237">
        <f ca="1">C46</f>
        <v>517846</v>
      </c>
      <c r="D45" s="227">
        <f ca="1">C47</f>
        <v>2E-3</v>
      </c>
      <c r="E45" s="228" t="s">
        <v>1539</v>
      </c>
      <c r="F45" s="238">
        <f ca="1">F27</f>
        <v>0.1</v>
      </c>
      <c r="G45" s="239" t="s">
        <v>1548</v>
      </c>
    </row>
    <row r="46" spans="1:7" s="206" customFormat="1" ht="13.5" customHeight="1">
      <c r="A46" s="734" t="s">
        <v>346</v>
      </c>
      <c r="B46" s="240" t="s">
        <v>1549</v>
      </c>
      <c r="C46" s="241">
        <f ca="1">ROUND((C33+C39)*F27,0)</f>
        <v>517846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6242922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4370045</v>
      </c>
      <c r="D51" s="224"/>
      <c r="E51" s="224"/>
      <c r="F51" s="256"/>
      <c r="G51" s="226" t="s">
        <v>1560</v>
      </c>
    </row>
    <row r="52" spans="1:7" s="200" customFormat="1" ht="16.8" thickBot="1">
      <c r="A52" s="257" t="s">
        <v>1561</v>
      </c>
      <c r="B52" s="258"/>
      <c r="C52" s="259">
        <f ca="1">C31+C51</f>
        <v>5125623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1515.5000000000002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1515.5000000000002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v>
      </c>
      <c r="D20" s="796">
        <f ca="1">IF(C1="",'数据-汇总表'!E6,IF(INDIRECT("'数据-取费表'!c"&amp;$K$1)="住宅",INDIRECT("'数据-取费表'!s"&amp;$K$1),INDIRECT("'数据-取费表'!k"&amp;$K$1)+INDIRECT("'数据-取费表'!s"&amp;$K$1)))</f>
        <v>1515.5000000000002</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0</v>
      </c>
      <c r="D6" s="147" t="s">
        <v>2109</v>
      </c>
      <c r="E6" s="294" t="s">
        <v>696</v>
      </c>
      <c r="F6" s="295">
        <f ca="1">INDIRECT("'数据-取费表'!u"&amp;$G$1)</f>
        <v>0</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85" t="s">
        <v>694</v>
      </c>
      <c r="C6" s="1011" t="e">
        <f ca="1">ROUND(F6*F8*F7*(1-F9),0)</f>
        <v>#N/A</v>
      </c>
      <c r="D6" s="147" t="s">
        <v>2106</v>
      </c>
      <c r="E6" s="294" t="s">
        <v>696</v>
      </c>
      <c r="F6" s="295" t="e">
        <f ca="1">INDIRECT("'数据-取费表'!u"&amp;$G$1)</f>
        <v>#N/A</v>
      </c>
      <c r="G6" s="1292"/>
      <c r="H6" s="1006" t="s">
        <v>398</v>
      </c>
      <c r="I6" s="3385" t="s">
        <v>694</v>
      </c>
      <c r="J6" s="293" t="e">
        <f ca="1">ROUND(M6*M8*M7*(1-M9),0)</f>
        <v>#N/A</v>
      </c>
      <c r="K6" s="1284" t="s">
        <v>2107</v>
      </c>
      <c r="L6" s="294" t="s">
        <v>696</v>
      </c>
      <c r="M6" s="295" t="e">
        <f ca="1">INDIRECT("'数据-取费表'!z"&amp;$G$1)</f>
        <v>#N/A</v>
      </c>
    </row>
    <row r="7" spans="1:37" ht="18" customHeight="1">
      <c r="A7" s="1010"/>
      <c r="B7" s="3386"/>
      <c r="C7" s="1012"/>
      <c r="D7" s="299"/>
      <c r="E7" s="1013" t="s">
        <v>697</v>
      </c>
      <c r="F7" s="295" t="e">
        <f ca="1">IF(INDIRECT("'数据-取费表'!ah"&amp;$G$1)="",INDIRECT("'数据-取费表'!k"&amp;$G$1),INDIRECT("'数据-取费表'!ah"&amp;$G$1))</f>
        <v>#N/A</v>
      </c>
      <c r="G7" s="1292"/>
      <c r="H7" s="296"/>
      <c r="I7" s="3386"/>
      <c r="J7" s="298"/>
      <c r="K7" s="299"/>
      <c r="L7" s="294" t="s">
        <v>697</v>
      </c>
      <c r="M7" s="295" t="e">
        <f ca="1">F7</f>
        <v>#N/A</v>
      </c>
    </row>
    <row r="8" spans="1:37" ht="18" customHeight="1">
      <c r="A8" s="296"/>
      <c r="B8" s="3386"/>
      <c r="C8" s="298"/>
      <c r="D8" s="299"/>
      <c r="E8" s="294" t="s">
        <v>698</v>
      </c>
      <c r="F8" s="295" t="e">
        <f ca="1">INDIRECT("'数据-取费表'!ai"&amp;$G$1)</f>
        <v>#N/A</v>
      </c>
      <c r="G8" s="1292"/>
      <c r="H8" s="296"/>
      <c r="I8" s="3386"/>
      <c r="J8" s="298"/>
      <c r="K8" s="299"/>
      <c r="L8" s="294" t="s">
        <v>698</v>
      </c>
      <c r="M8" s="295" t="e">
        <f ca="1">INDIRECT("'数据-取费表'!ai"&amp;$G$1)</f>
        <v>#N/A</v>
      </c>
    </row>
    <row r="9" spans="1:37" ht="18" customHeight="1">
      <c r="A9" s="296"/>
      <c r="B9" s="3387"/>
      <c r="C9" s="298"/>
      <c r="D9" s="299"/>
      <c r="E9" s="294" t="s">
        <v>699</v>
      </c>
      <c r="F9" s="304" t="e">
        <f ca="1">INDIRECT("'数据-取费表'!w"&amp;$G$1)</f>
        <v>#N/A</v>
      </c>
      <c r="G9" s="1292"/>
      <c r="H9" s="296"/>
      <c r="I9" s="3387"/>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3438</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3439</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3" t="s">
        <v>837</v>
      </c>
      <c r="L53" s="3384"/>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3440</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3" t="s">
        <v>2313</v>
      </c>
      <c r="B2" s="2592" t="e">
        <f>IF(D2="——",C40,C40+E2)</f>
        <v>#DIV/0!</v>
      </c>
      <c r="C2" s="2593" t="s">
        <v>2314</v>
      </c>
      <c r="D2" s="3135" t="s">
        <v>3357</v>
      </c>
      <c r="E2" s="3136"/>
      <c r="F2" s="2595"/>
      <c r="G2" s="2596"/>
      <c r="H2" s="2597"/>
      <c r="I2" s="2598"/>
      <c r="J2" s="3394" t="s">
        <v>2315</v>
      </c>
      <c r="K2" s="3395"/>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396" t="s">
        <v>2325</v>
      </c>
      <c r="K3" s="3397"/>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396" t="s">
        <v>2327</v>
      </c>
      <c r="K4" s="3397"/>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02" t="s">
        <v>2331</v>
      </c>
      <c r="B6" s="3403"/>
      <c r="C6" s="3404"/>
      <c r="D6" s="2619"/>
      <c r="E6" s="2620"/>
      <c r="F6" s="2621"/>
      <c r="G6" s="2622"/>
      <c r="H6" s="2597"/>
      <c r="I6" s="2598"/>
      <c r="J6" s="3388">
        <v>1</v>
      </c>
      <c r="K6" s="3389"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388"/>
      <c r="K7" s="3390"/>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05" t="s">
        <v>2345</v>
      </c>
      <c r="C8" s="3406"/>
      <c r="D8" s="2638" t="s">
        <v>2346</v>
      </c>
      <c r="E8" s="2639" t="s">
        <v>2347</v>
      </c>
      <c r="F8" s="2640" t="s">
        <v>2348</v>
      </c>
      <c r="G8" s="2641"/>
      <c r="H8" s="2597"/>
      <c r="I8" s="2598"/>
      <c r="J8" s="3388"/>
      <c r="K8" s="3390"/>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05" t="s">
        <v>2351</v>
      </c>
      <c r="C9" s="3406"/>
      <c r="D9" s="2638">
        <f>ROUND(D6*E9,0)</f>
        <v>0</v>
      </c>
      <c r="E9" s="2642"/>
      <c r="F9" s="2643" t="s">
        <v>2352</v>
      </c>
      <c r="G9" s="2622"/>
      <c r="H9" s="2597"/>
      <c r="I9" s="2598"/>
      <c r="J9" s="3388"/>
      <c r="K9" s="3390"/>
      <c r="L9" s="2632" t="s">
        <v>2353</v>
      </c>
      <c r="M9" s="2633"/>
      <c r="N9" s="2609"/>
      <c r="O9" s="2634"/>
      <c r="P9" s="2634"/>
      <c r="Q9" s="2635">
        <v>365</v>
      </c>
      <c r="R9" s="2636">
        <f t="shared" si="0"/>
        <v>0</v>
      </c>
      <c r="S9" s="2590"/>
      <c r="T9" s="2590"/>
      <c r="U9" s="2590"/>
      <c r="V9" s="2598"/>
    </row>
    <row r="10" spans="1:22" s="2602" customFormat="1" ht="13.2" customHeight="1">
      <c r="A10" s="2637">
        <v>2</v>
      </c>
      <c r="B10" s="3405" t="s">
        <v>2354</v>
      </c>
      <c r="C10" s="3406"/>
      <c r="D10" s="2638">
        <f>ROUND(D6*E10,0)</f>
        <v>0</v>
      </c>
      <c r="E10" s="2642"/>
      <c r="F10" s="2643" t="s">
        <v>2355</v>
      </c>
      <c r="G10" s="2622"/>
      <c r="H10" s="2597"/>
      <c r="I10" s="2598"/>
      <c r="J10" s="3388"/>
      <c r="K10" s="3390"/>
      <c r="L10" s="2632" t="s">
        <v>2356</v>
      </c>
      <c r="M10" s="2633"/>
      <c r="N10" s="2609"/>
      <c r="O10" s="2634"/>
      <c r="P10" s="2634"/>
      <c r="Q10" s="2635">
        <v>365</v>
      </c>
      <c r="R10" s="2636">
        <f t="shared" si="0"/>
        <v>0</v>
      </c>
      <c r="S10" s="2590"/>
      <c r="T10" s="2590"/>
      <c r="U10" s="2590"/>
      <c r="V10" s="2598"/>
    </row>
    <row r="11" spans="1:22" s="2602" customFormat="1" ht="13.2" customHeight="1">
      <c r="A11" s="2637">
        <v>3</v>
      </c>
      <c r="B11" s="3405" t="s">
        <v>2357</v>
      </c>
      <c r="C11" s="3406"/>
      <c r="D11" s="2638">
        <f>D12+D14+D15+D16</f>
        <v>0</v>
      </c>
      <c r="E11" s="2644" t="e">
        <f>D11/D6</f>
        <v>#DIV/0!</v>
      </c>
      <c r="F11" s="2640"/>
      <c r="G11" s="2641"/>
      <c r="H11" s="2597"/>
      <c r="I11" s="2598"/>
      <c r="J11" s="3388"/>
      <c r="K11" s="3390"/>
      <c r="L11" s="2632" t="s">
        <v>2358</v>
      </c>
      <c r="M11" s="2633"/>
      <c r="N11" s="2609"/>
      <c r="O11" s="2634"/>
      <c r="P11" s="2634"/>
      <c r="Q11" s="2635">
        <v>365</v>
      </c>
      <c r="R11" s="2636">
        <f t="shared" si="0"/>
        <v>0</v>
      </c>
      <c r="S11" s="2590"/>
      <c r="T11" s="2590"/>
      <c r="U11" s="2590"/>
      <c r="V11" s="2598"/>
    </row>
    <row r="12" spans="1:22" s="2602" customFormat="1" ht="13.2" customHeight="1">
      <c r="A12" s="2645" t="s">
        <v>2359</v>
      </c>
      <c r="B12" s="3398" t="s">
        <v>2360</v>
      </c>
      <c r="C12" s="3399"/>
      <c r="D12" s="2646">
        <f>ROUND(D13*1.2%*(1-30%),0)</f>
        <v>0</v>
      </c>
      <c r="E12" s="2647">
        <v>1.2E-2</v>
      </c>
      <c r="F12" s="2640" t="s">
        <v>2361</v>
      </c>
      <c r="G12" s="2641"/>
      <c r="H12" s="2597"/>
      <c r="I12" s="2598"/>
      <c r="J12" s="3388"/>
      <c r="K12" s="3390"/>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388"/>
      <c r="K13" s="3390"/>
      <c r="L13" s="2632" t="s">
        <v>2364</v>
      </c>
      <c r="M13" s="2633"/>
      <c r="N13" s="2609"/>
      <c r="O13" s="2634"/>
      <c r="P13" s="2634"/>
      <c r="Q13" s="2635">
        <v>365</v>
      </c>
      <c r="R13" s="2636">
        <f t="shared" si="0"/>
        <v>0</v>
      </c>
      <c r="S13" s="2590"/>
      <c r="T13" s="2590"/>
      <c r="U13" s="2590"/>
      <c r="V13" s="2598"/>
    </row>
    <row r="14" spans="1:22" s="2602" customFormat="1" ht="13.2" customHeight="1">
      <c r="A14" s="2645" t="s">
        <v>2365</v>
      </c>
      <c r="B14" s="3398" t="s">
        <v>2366</v>
      </c>
      <c r="C14" s="3399"/>
      <c r="D14" s="2646">
        <f>ROUND(E14*B5/10000,0)</f>
        <v>0</v>
      </c>
      <c r="E14" s="2635"/>
      <c r="F14" s="2640" t="s">
        <v>2367</v>
      </c>
      <c r="G14" s="2641"/>
      <c r="H14" s="2597"/>
      <c r="I14" s="2598"/>
      <c r="J14" s="3388"/>
      <c r="K14" s="3391"/>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398" t="s">
        <v>2370</v>
      </c>
      <c r="C15" s="3399"/>
      <c r="D15" s="2646">
        <f>ROUND(D6*E15,0)</f>
        <v>0</v>
      </c>
      <c r="E15" s="2647">
        <v>5.5E-2</v>
      </c>
      <c r="F15" s="2640" t="s">
        <v>2371</v>
      </c>
      <c r="G15" s="2622"/>
      <c r="H15" s="2597"/>
      <c r="I15" s="2598"/>
      <c r="J15" s="3388">
        <v>2</v>
      </c>
      <c r="K15" s="3389"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398" t="s">
        <v>2379</v>
      </c>
      <c r="C16" s="3399"/>
      <c r="D16" s="2657">
        <f>D6*E16</f>
        <v>0</v>
      </c>
      <c r="E16" s="2658"/>
      <c r="F16" s="2643" t="s">
        <v>2380</v>
      </c>
      <c r="G16" s="2622"/>
      <c r="H16" s="2597"/>
      <c r="I16" s="2598"/>
      <c r="J16" s="3388"/>
      <c r="K16" s="3390"/>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00" t="s">
        <v>2382</v>
      </c>
      <c r="C17" s="3401"/>
      <c r="D17" s="2660">
        <f>ROUND(D6*E17,0)</f>
        <v>0</v>
      </c>
      <c r="E17" s="2661"/>
      <c r="F17" s="2662" t="s">
        <v>2383</v>
      </c>
      <c r="G17" s="2622"/>
      <c r="H17" s="2597"/>
      <c r="I17" s="2598"/>
      <c r="J17" s="3388"/>
      <c r="K17" s="3390"/>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388"/>
      <c r="K18" s="3390"/>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388"/>
      <c r="K19" s="3391"/>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8">
        <v>3</v>
      </c>
      <c r="K20" s="3389"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388"/>
      <c r="K21" s="3390"/>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388"/>
      <c r="K22" s="3390"/>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388"/>
      <c r="K23" s="3390"/>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388"/>
      <c r="K24" s="3391"/>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392">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39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394" t="s">
        <v>2315</v>
      </c>
      <c r="K32" s="3395"/>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396" t="s">
        <v>2325</v>
      </c>
      <c r="K33" s="3397"/>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396" t="s">
        <v>2327</v>
      </c>
      <c r="K34" s="339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388">
        <v>1</v>
      </c>
      <c r="K36" s="3389"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388"/>
      <c r="K37" s="3390"/>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8"/>
      <c r="K38" s="3390"/>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388"/>
      <c r="K39" s="3390"/>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388"/>
      <c r="K40" s="3391"/>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392">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39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6">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7" t="s">
        <v>1654</v>
      </c>
      <c r="C5" s="3408"/>
      <c r="D5" s="2478"/>
      <c r="E5" s="1731" t="s">
        <v>1655</v>
      </c>
      <c r="F5" s="129" t="s">
        <v>1656</v>
      </c>
      <c r="G5" s="459"/>
      <c r="H5" s="459"/>
      <c r="I5" s="459"/>
      <c r="J5" s="459"/>
      <c r="K5" s="459"/>
      <c r="L5" s="459"/>
      <c r="M5" s="459"/>
      <c r="N5" s="459"/>
      <c r="O5" s="459"/>
      <c r="P5" s="459"/>
      <c r="Q5" s="459"/>
      <c r="R5" s="459"/>
      <c r="S5" s="459"/>
    </row>
    <row r="6" spans="1:22" ht="14.4">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1515.5000000000002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7" t="s">
        <v>1667</v>
      </c>
      <c r="D4" s="3428"/>
      <c r="E4" s="3429" t="s">
        <v>1668</v>
      </c>
      <c r="F4" s="3430"/>
      <c r="G4" s="3427" t="s">
        <v>1669</v>
      </c>
      <c r="H4" s="3428"/>
      <c r="I4" s="3427" t="s">
        <v>1670</v>
      </c>
      <c r="J4" s="3428"/>
      <c r="K4" s="1744" t="s">
        <v>1671</v>
      </c>
      <c r="L4" s="2484"/>
      <c r="M4" s="2485"/>
      <c r="N4" s="2485"/>
      <c r="O4" s="2485"/>
      <c r="P4" s="3431" t="s">
        <v>1672</v>
      </c>
      <c r="Q4" s="3432"/>
      <c r="R4" s="3437" t="s">
        <v>1668</v>
      </c>
      <c r="S4" s="3438"/>
      <c r="T4" s="3437" t="s">
        <v>1669</v>
      </c>
      <c r="U4" s="3438"/>
      <c r="V4" s="3413" t="s">
        <v>1670</v>
      </c>
      <c r="W4" s="3413"/>
      <c r="X4" s="1265"/>
      <c r="Y4" s="3437" t="s">
        <v>1672</v>
      </c>
      <c r="Z4" s="3438"/>
      <c r="AA4" s="3424" t="s">
        <v>1668</v>
      </c>
      <c r="AB4" s="3424" t="s">
        <v>1669</v>
      </c>
      <c r="AC4" s="3424" t="s">
        <v>1670</v>
      </c>
    </row>
    <row r="5" spans="1:29">
      <c r="A5" s="348"/>
      <c r="B5" s="349"/>
      <c r="C5" s="3445" t="s">
        <v>1673</v>
      </c>
      <c r="D5" s="3446"/>
      <c r="E5" s="3452" t="s">
        <v>1674</v>
      </c>
      <c r="F5" s="3453"/>
      <c r="G5" s="3445" t="s">
        <v>1675</v>
      </c>
      <c r="H5" s="3446"/>
      <c r="I5" s="3445" t="s">
        <v>1676</v>
      </c>
      <c r="J5" s="3446"/>
      <c r="K5" s="1745"/>
      <c r="L5" s="2484"/>
      <c r="M5" s="2485"/>
      <c r="N5" s="2485"/>
      <c r="O5" s="2485"/>
      <c r="P5" s="3433"/>
      <c r="Q5" s="3434"/>
      <c r="R5" s="3439"/>
      <c r="S5" s="3440"/>
      <c r="T5" s="3439"/>
      <c r="U5" s="3440"/>
      <c r="V5" s="3413"/>
      <c r="W5" s="3413"/>
      <c r="X5" s="1265"/>
      <c r="Y5" s="3439"/>
      <c r="Z5" s="3440"/>
      <c r="AA5" s="3425"/>
      <c r="AB5" s="3425"/>
      <c r="AC5" s="3425"/>
    </row>
    <row r="6" spans="1:29" ht="15" thickBot="1">
      <c r="A6" s="350"/>
      <c r="B6" s="351"/>
      <c r="C6" s="3443" t="s">
        <v>1677</v>
      </c>
      <c r="D6" s="3444"/>
      <c r="E6" s="3450" t="s">
        <v>1677</v>
      </c>
      <c r="F6" s="3451"/>
      <c r="G6" s="3443" t="s">
        <v>1677</v>
      </c>
      <c r="H6" s="3444"/>
      <c r="I6" s="3443" t="s">
        <v>1677</v>
      </c>
      <c r="J6" s="3444"/>
      <c r="K6" s="1745" t="s">
        <v>1678</v>
      </c>
      <c r="L6" s="2484"/>
      <c r="M6" s="2485"/>
      <c r="N6" s="2485"/>
      <c r="O6" s="2485"/>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47" t="s">
        <v>1680</v>
      </c>
      <c r="Q7" s="3449"/>
      <c r="R7" s="664" t="s">
        <v>20</v>
      </c>
      <c r="S7" s="665">
        <f t="shared" ref="S7:S15" si="0">F7</f>
        <v>0</v>
      </c>
      <c r="T7" s="664" t="s">
        <v>20</v>
      </c>
      <c r="U7" s="665">
        <f t="shared" ref="U7:U15" si="1">H7</f>
        <v>0</v>
      </c>
      <c r="V7" s="664" t="s">
        <v>20</v>
      </c>
      <c r="W7" s="665">
        <f t="shared" ref="W7:W15" si="2">J7</f>
        <v>0</v>
      </c>
      <c r="X7" s="666"/>
      <c r="Y7" s="3447" t="s">
        <v>1680</v>
      </c>
      <c r="Z7" s="344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47" t="s">
        <v>1683</v>
      </c>
      <c r="Q8" s="3448"/>
      <c r="R8" s="664" t="s">
        <v>20</v>
      </c>
      <c r="S8" s="665">
        <f t="shared" si="0"/>
        <v>100</v>
      </c>
      <c r="T8" s="664" t="s">
        <v>20</v>
      </c>
      <c r="U8" s="665">
        <f t="shared" si="1"/>
        <v>100</v>
      </c>
      <c r="V8" s="664" t="s">
        <v>20</v>
      </c>
      <c r="W8" s="665">
        <f t="shared" si="2"/>
        <v>100</v>
      </c>
      <c r="X8" s="666"/>
      <c r="Y8" s="3447" t="s">
        <v>1683</v>
      </c>
      <c r="Z8" s="344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3"/>
      <c r="Q11" s="530" t="str">
        <f t="shared" si="6"/>
        <v>容积率</v>
      </c>
      <c r="R11" s="664" t="s">
        <v>18</v>
      </c>
      <c r="S11" s="665" t="e">
        <f t="shared" si="0"/>
        <v>#N/A</v>
      </c>
      <c r="T11" s="664" t="s">
        <v>18</v>
      </c>
      <c r="U11" s="665" t="e">
        <f t="shared" si="1"/>
        <v>#N/A</v>
      </c>
      <c r="V11" s="664" t="s">
        <v>18</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3"/>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3"/>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3"/>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2"/>
      <c r="Q16" s="1263"/>
      <c r="R16" s="667"/>
      <c r="S16" s="668"/>
      <c r="T16" s="667"/>
      <c r="U16" s="668"/>
      <c r="V16" s="667"/>
      <c r="W16" s="668"/>
      <c r="X16" s="1265"/>
      <c r="Y16" s="3415"/>
      <c r="Z16" s="1264"/>
      <c r="AA16" s="1264">
        <v>1</v>
      </c>
      <c r="AB16" s="1264">
        <v>1</v>
      </c>
      <c r="AC16" s="1264">
        <v>1</v>
      </c>
    </row>
    <row r="17" spans="1:29" ht="124.2">
      <c r="A17" s="367"/>
      <c r="B17" s="390" t="s">
        <v>1259</v>
      </c>
      <c r="C17" s="1754" t="str">
        <f>估价对象房地状况!C6</f>
        <v>估价对象周边道路状况一般，有836、901、917等多条线路，公共交通通达情况较好、停车便捷程度较好，综合评价交通便捷度一般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2"/>
      <c r="Q18" s="1263"/>
      <c r="R18" s="667"/>
      <c r="S18" s="668"/>
      <c r="T18" s="667"/>
      <c r="U18" s="668"/>
      <c r="V18" s="667"/>
      <c r="W18" s="668"/>
      <c r="X18" s="1265"/>
      <c r="Y18" s="3415"/>
      <c r="Z18" s="1264"/>
      <c r="AA18" s="1264">
        <v>1</v>
      </c>
      <c r="AB18" s="1264">
        <v>1</v>
      </c>
      <c r="AC18" s="1264">
        <v>1</v>
      </c>
    </row>
    <row r="19" spans="1:29" ht="124.2">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2"/>
      <c r="Q20" s="1263"/>
      <c r="R20" s="667"/>
      <c r="S20" s="668"/>
      <c r="T20" s="667"/>
      <c r="U20" s="668"/>
      <c r="V20" s="667"/>
      <c r="W20" s="668"/>
      <c r="X20" s="1265"/>
      <c r="Y20" s="341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2"/>
      <c r="Q22" s="1263"/>
      <c r="R22" s="667"/>
      <c r="S22" s="668"/>
      <c r="T22" s="667"/>
      <c r="U22" s="668"/>
      <c r="V22" s="667"/>
      <c r="W22" s="668"/>
      <c r="X22" s="1265"/>
      <c r="Y22" s="3415"/>
      <c r="Z22" s="1264"/>
      <c r="AA22" s="1264">
        <v>1</v>
      </c>
      <c r="AB22" s="1264">
        <v>1</v>
      </c>
      <c r="AC22" s="1264">
        <v>1</v>
      </c>
    </row>
    <row r="23" spans="1:29" ht="69">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2" t="str">
        <f>A47</f>
        <v>成交单价（元/平方米）</v>
      </c>
      <c r="Q47" s="3412"/>
      <c r="R47" s="3413">
        <f>E47</f>
        <v>0</v>
      </c>
      <c r="S47" s="3413"/>
      <c r="T47" s="3413">
        <f>G47</f>
        <v>0</v>
      </c>
      <c r="U47" s="3413"/>
      <c r="V47" s="3413">
        <f>I47</f>
        <v>0</v>
      </c>
      <c r="W47" s="341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1515.5000000000002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31" t="s">
        <v>1775</v>
      </c>
      <c r="Q4" s="3432"/>
      <c r="R4" s="3437" t="s">
        <v>1771</v>
      </c>
      <c r="S4" s="3438"/>
      <c r="T4" s="3437" t="s">
        <v>1772</v>
      </c>
      <c r="U4" s="3438"/>
      <c r="V4" s="3413" t="s">
        <v>1773</v>
      </c>
      <c r="W4" s="3413"/>
      <c r="X4" s="1265"/>
      <c r="Y4" s="3437" t="s">
        <v>1775</v>
      </c>
      <c r="Z4" s="3438"/>
      <c r="AA4" s="3424" t="s">
        <v>1771</v>
      </c>
      <c r="AB4" s="3413" t="s">
        <v>1772</v>
      </c>
      <c r="AC4" s="3424" t="s">
        <v>1773</v>
      </c>
    </row>
    <row r="5" spans="1:29">
      <c r="A5" s="348"/>
      <c r="B5" s="349"/>
      <c r="C5" s="3445" t="s">
        <v>1673</v>
      </c>
      <c r="D5" s="3446"/>
      <c r="E5" s="3452" t="s">
        <v>1674</v>
      </c>
      <c r="F5" s="3453"/>
      <c r="G5" s="3445" t="s">
        <v>1675</v>
      </c>
      <c r="H5" s="3446"/>
      <c r="I5" s="3445" t="s">
        <v>1676</v>
      </c>
      <c r="J5" s="3446"/>
      <c r="K5" s="537"/>
      <c r="L5" s="2484"/>
      <c r="M5" s="2485"/>
      <c r="N5" s="2485"/>
      <c r="O5" s="2485"/>
      <c r="P5" s="3433"/>
      <c r="Q5" s="3434"/>
      <c r="R5" s="3439"/>
      <c r="S5" s="3440"/>
      <c r="T5" s="3439"/>
      <c r="U5" s="3440"/>
      <c r="V5" s="3413"/>
      <c r="W5" s="3413"/>
      <c r="X5" s="1265"/>
      <c r="Y5" s="3439"/>
      <c r="Z5" s="3440"/>
      <c r="AA5" s="3425"/>
      <c r="AB5" s="3413"/>
      <c r="AC5" s="3425"/>
    </row>
    <row r="6" spans="1:29" ht="15" thickBot="1">
      <c r="A6" s="350"/>
      <c r="B6" s="351"/>
      <c r="C6" s="3443" t="s">
        <v>1677</v>
      </c>
      <c r="D6" s="3444"/>
      <c r="E6" s="3450" t="s">
        <v>1677</v>
      </c>
      <c r="F6" s="3451"/>
      <c r="G6" s="3443" t="s">
        <v>1677</v>
      </c>
      <c r="H6" s="3444"/>
      <c r="I6" s="3443" t="s">
        <v>1677</v>
      </c>
      <c r="J6" s="3444"/>
      <c r="K6" s="537" t="s">
        <v>1678</v>
      </c>
      <c r="L6" s="2484"/>
      <c r="M6" s="2485"/>
      <c r="N6" s="2485"/>
      <c r="O6" s="2485"/>
      <c r="P6" s="3435"/>
      <c r="Q6" s="3436"/>
      <c r="R6" s="3439"/>
      <c r="S6" s="3440"/>
      <c r="T6" s="3441"/>
      <c r="U6" s="3442"/>
      <c r="V6" s="3413"/>
      <c r="W6" s="3413"/>
      <c r="X6" s="1265"/>
      <c r="Y6" s="3441"/>
      <c r="Z6" s="3442"/>
      <c r="AA6" s="3426"/>
      <c r="AB6" s="3413"/>
      <c r="AC6" s="3426"/>
    </row>
    <row r="7" spans="1:29" s="102" customFormat="1" ht="1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47" t="s">
        <v>1683</v>
      </c>
      <c r="Q8" s="3448"/>
      <c r="R8" s="664" t="s">
        <v>14</v>
      </c>
      <c r="S8" s="665">
        <f t="shared" si="0"/>
        <v>100</v>
      </c>
      <c r="T8" s="664" t="s">
        <v>14</v>
      </c>
      <c r="U8" s="665">
        <f t="shared" si="1"/>
        <v>100</v>
      </c>
      <c r="V8" s="664" t="s">
        <v>14</v>
      </c>
      <c r="W8" s="665">
        <f t="shared" si="2"/>
        <v>100</v>
      </c>
      <c r="X8" s="666"/>
      <c r="Y8" s="3447" t="s">
        <v>1683</v>
      </c>
      <c r="Z8" s="344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3"/>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3"/>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3"/>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3"/>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82.8">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1"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2"/>
      <c r="Q16" s="1263"/>
      <c r="R16" s="667"/>
      <c r="S16" s="668"/>
      <c r="T16" s="667"/>
      <c r="U16" s="668"/>
      <c r="V16" s="667"/>
      <c r="W16" s="668"/>
      <c r="X16" s="1265"/>
      <c r="Y16" s="3415"/>
      <c r="Z16" s="1264"/>
      <c r="AA16" s="1264">
        <v>1</v>
      </c>
      <c r="AB16" s="1264">
        <v>1</v>
      </c>
      <c r="AC16" s="1264">
        <v>1</v>
      </c>
    </row>
    <row r="17" spans="1:29" ht="124.2">
      <c r="A17" s="367"/>
      <c r="B17" s="390" t="s">
        <v>1259</v>
      </c>
      <c r="C17" s="1754" t="str">
        <f>估价对象房地状况!C6</f>
        <v>估价对象周边道路状况一般，有836、901、917等多条线路，公共交通通达情况较好、停车便捷程度较好，综合评价交通便捷度一般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2"/>
      <c r="Q18" s="1263"/>
      <c r="R18" s="667"/>
      <c r="S18" s="668"/>
      <c r="T18" s="667"/>
      <c r="U18" s="668"/>
      <c r="V18" s="667"/>
      <c r="W18" s="668"/>
      <c r="X18" s="1265"/>
      <c r="Y18" s="3415"/>
      <c r="Z18" s="1264"/>
      <c r="AA18" s="1264">
        <v>1</v>
      </c>
      <c r="AB18" s="1264">
        <v>1</v>
      </c>
      <c r="AC18" s="1264">
        <v>1</v>
      </c>
    </row>
    <row r="19" spans="1:29" ht="124.2">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2"/>
      <c r="Q20" s="1263"/>
      <c r="R20" s="667"/>
      <c r="S20" s="668"/>
      <c r="T20" s="667"/>
      <c r="U20" s="668"/>
      <c r="V20" s="667"/>
      <c r="W20" s="668"/>
      <c r="X20" s="1265"/>
      <c r="Y20" s="341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2"/>
      <c r="Q22" s="1263"/>
      <c r="R22" s="667"/>
      <c r="S22" s="668"/>
      <c r="T22" s="667"/>
      <c r="U22" s="668"/>
      <c r="V22" s="667"/>
      <c r="W22" s="668"/>
      <c r="X22" s="1265"/>
      <c r="Y22" s="3415"/>
      <c r="Z22" s="1264"/>
      <c r="AA22" s="1264">
        <v>1</v>
      </c>
      <c r="AB22" s="1264">
        <v>1</v>
      </c>
      <c r="AC22" s="1264">
        <v>1</v>
      </c>
    </row>
    <row r="23" spans="1:29" ht="69">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2"/>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2"/>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2"/>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7"/>
      <c r="Q33" s="531" t="str">
        <f t="shared" si="11"/>
        <v>项目建筑规模</v>
      </c>
      <c r="R33" s="669" t="s">
        <v>14</v>
      </c>
      <c r="S33" s="670" t="e">
        <f t="shared" si="12"/>
        <v>#N/A</v>
      </c>
      <c r="T33" s="669" t="s">
        <v>14</v>
      </c>
      <c r="U33" s="670" t="e">
        <f t="shared" si="13"/>
        <v>#N/A</v>
      </c>
      <c r="V33" s="669" t="s">
        <v>14</v>
      </c>
      <c r="W33" s="670" t="e">
        <f t="shared" si="14"/>
        <v>#N/A</v>
      </c>
      <c r="X33" s="671"/>
      <c r="Y33" s="341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7"/>
      <c r="Q36" s="1263" t="str">
        <f t="shared" si="11"/>
        <v>成新度</v>
      </c>
      <c r="R36" s="667" t="s">
        <v>14</v>
      </c>
      <c r="S36" s="668" t="e">
        <f t="shared" si="12"/>
        <v>#N/A</v>
      </c>
      <c r="T36" s="667" t="s">
        <v>14</v>
      </c>
      <c r="U36" s="668" t="e">
        <f t="shared" si="13"/>
        <v>#N/A</v>
      </c>
      <c r="V36" s="667" t="s">
        <v>14</v>
      </c>
      <c r="W36" s="668" t="e">
        <f t="shared" si="14"/>
        <v>#N/A</v>
      </c>
      <c r="X36" s="1265"/>
      <c r="Y36" s="341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2" t="str">
        <f>A47</f>
        <v>成交单价（元/平方米）</v>
      </c>
      <c r="Q47" s="3412"/>
      <c r="R47" s="3413">
        <f>E47</f>
        <v>0</v>
      </c>
      <c r="S47" s="3413"/>
      <c r="T47" s="3413">
        <f>G47</f>
        <v>0</v>
      </c>
      <c r="U47" s="3413"/>
      <c r="V47" s="3413">
        <f>I47</f>
        <v>0</v>
      </c>
      <c r="W47" s="341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85" zoomScaleNormal="70" zoomScaleSheetLayoutView="85" workbookViewId="0">
      <selection activeCell="M35" sqref="M35"/>
    </sheetView>
  </sheetViews>
  <sheetFormatPr defaultColWidth="9" defaultRowHeight="13.8"/>
  <cols>
    <col min="1" max="1" width="10.44140625" style="347" customWidth="1"/>
    <col min="2" max="2" width="18" style="347" customWidth="1"/>
    <col min="3" max="3" width="20" style="347" customWidth="1"/>
    <col min="4" max="4" width="12.21875" style="347" customWidth="1"/>
    <col min="5" max="5" width="18.44140625" style="347" customWidth="1"/>
    <col min="6" max="6" width="14.44140625" style="347" customWidth="1"/>
    <col min="7" max="7" width="15.88671875" style="347" customWidth="1"/>
    <col min="8" max="8" width="12.21875" style="347" customWidth="1"/>
    <col min="9" max="9" width="16.2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t="s">
        <v>3332</v>
      </c>
      <c r="E1" s="3129" t="s">
        <v>3506</v>
      </c>
      <c r="F1" s="1735" t="s">
        <v>3390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4.8500000000000001E-2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0.32</v>
      </c>
      <c r="C3" s="344" t="s">
        <v>1768</v>
      </c>
      <c r="D3" s="343">
        <f>SUMIF('数据-汇总表'!$C19:$C33,D1,'数据-汇总表'!$E19:$E33)</f>
        <v>1515.5000000000002</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ht="13.8" customHeight="1">
      <c r="A5" s="348"/>
      <c r="B5" s="349"/>
      <c r="C5" s="3445" t="s">
        <v>1673</v>
      </c>
      <c r="D5" s="3446"/>
      <c r="E5" s="3457" t="s">
        <v>3481</v>
      </c>
      <c r="F5" s="3453"/>
      <c r="G5" s="3457" t="s">
        <v>3498</v>
      </c>
      <c r="H5" s="3453"/>
      <c r="I5" s="3458" t="s">
        <v>3500</v>
      </c>
      <c r="J5" s="3446"/>
      <c r="K5" s="537"/>
      <c r="L5" s="2484"/>
      <c r="M5" s="2485"/>
      <c r="N5" s="2485"/>
      <c r="O5" s="2485"/>
      <c r="P5" s="3433"/>
      <c r="Q5" s="3434"/>
      <c r="R5" s="3439"/>
      <c r="S5" s="3440"/>
      <c r="T5" s="3439"/>
      <c r="U5" s="3440"/>
      <c r="V5" s="3413"/>
      <c r="W5" s="3413"/>
      <c r="X5" s="1265"/>
      <c r="Y5" s="3439"/>
      <c r="Z5" s="3440"/>
      <c r="AA5" s="3425"/>
      <c r="AB5" s="3425"/>
      <c r="AC5" s="3425"/>
    </row>
    <row r="6" spans="1:29" ht="15" thickBot="1">
      <c r="A6" s="350"/>
      <c r="B6" s="351"/>
      <c r="C6" s="3443" t="s">
        <v>1677</v>
      </c>
      <c r="D6" s="3444"/>
      <c r="E6" s="3450" t="s">
        <v>1677</v>
      </c>
      <c r="F6" s="3451"/>
      <c r="G6" s="3443" t="s">
        <v>1677</v>
      </c>
      <c r="H6" s="3444"/>
      <c r="I6" s="3443" t="s">
        <v>1677</v>
      </c>
      <c r="J6" s="3444"/>
      <c r="K6" s="537" t="s">
        <v>1678</v>
      </c>
      <c r="L6" s="2484"/>
      <c r="M6" s="2485"/>
      <c r="N6" s="2485"/>
      <c r="O6" s="2485"/>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47" t="s">
        <v>1680</v>
      </c>
      <c r="Q7" s="3449"/>
      <c r="R7" s="664" t="s">
        <v>14</v>
      </c>
      <c r="S7" s="665">
        <f t="shared" ref="S7:S14" si="0">F7</f>
        <v>100</v>
      </c>
      <c r="T7" s="664" t="s">
        <v>14</v>
      </c>
      <c r="U7" s="665">
        <f t="shared" ref="U7:U14" si="1">H7</f>
        <v>100</v>
      </c>
      <c r="V7" s="664" t="s">
        <v>14</v>
      </c>
      <c r="W7" s="665">
        <f t="shared" ref="W7:W14" si="2">J7</f>
        <v>100</v>
      </c>
      <c r="X7" s="666"/>
      <c r="Y7" s="3447" t="s">
        <v>1680</v>
      </c>
      <c r="Z7" s="3448"/>
      <c r="AA7" s="50">
        <f>D7/F7</f>
        <v>1</v>
      </c>
      <c r="AB7" s="50">
        <f>D7/H7</f>
        <v>1</v>
      </c>
      <c r="AC7" s="50">
        <f>D7/J7</f>
        <v>1</v>
      </c>
    </row>
    <row r="8" spans="1:29" s="102" customFormat="1" ht="15" thickBot="1">
      <c r="A8" s="352" t="s">
        <v>1681</v>
      </c>
      <c r="B8" s="353"/>
      <c r="C8" s="358" t="s">
        <v>3391</v>
      </c>
      <c r="D8" s="355">
        <v>100</v>
      </c>
      <c r="E8" s="358" t="s">
        <v>3392</v>
      </c>
      <c r="F8" s="357">
        <f>SUMIF(49:49,E8,50:50)-SUMIF(49:49,C8,50:50)+100</f>
        <v>102</v>
      </c>
      <c r="G8" s="358" t="s">
        <v>3392</v>
      </c>
      <c r="H8" s="355">
        <f>SUMIF(49:49,G8,50:50)-SUMIF(49:49,C8,50:50)+100</f>
        <v>102</v>
      </c>
      <c r="I8" s="358" t="s">
        <v>3392</v>
      </c>
      <c r="J8" s="355">
        <f>SUMIF(49:49,I8,50:50)-SUMIF(49:49,C8,50:50)+100</f>
        <v>102</v>
      </c>
      <c r="K8" s="38"/>
      <c r="L8" s="2486"/>
      <c r="M8" s="2438"/>
      <c r="N8" s="2438"/>
      <c r="O8" s="2438"/>
      <c r="P8" s="3447" t="s">
        <v>1683</v>
      </c>
      <c r="Q8" s="3448"/>
      <c r="R8" s="664" t="s">
        <v>14</v>
      </c>
      <c r="S8" s="665">
        <f t="shared" si="0"/>
        <v>102</v>
      </c>
      <c r="T8" s="664" t="s">
        <v>14</v>
      </c>
      <c r="U8" s="665">
        <f t="shared" si="1"/>
        <v>102</v>
      </c>
      <c r="V8" s="664" t="s">
        <v>14</v>
      </c>
      <c r="W8" s="665">
        <f t="shared" si="2"/>
        <v>102</v>
      </c>
      <c r="X8" s="666"/>
      <c r="Y8" s="3447" t="s">
        <v>1683</v>
      </c>
      <c r="Z8" s="3448"/>
      <c r="AA8" s="50">
        <f t="shared" ref="AA8:AA34" si="3">D8/F8</f>
        <v>0.98039215686274506</v>
      </c>
      <c r="AB8" s="50">
        <f t="shared" ref="AB8:AB34" si="4">D8/H8</f>
        <v>0.98039215686274506</v>
      </c>
      <c r="AC8" s="50">
        <f t="shared" ref="AC8:AC34" si="5">D8/J8</f>
        <v>0.98039215686274506</v>
      </c>
    </row>
    <row r="9" spans="1:29" s="102" customFormat="1" ht="14.4">
      <c r="A9" s="359" t="s">
        <v>1684</v>
      </c>
      <c r="B9" s="60" t="s">
        <v>1685</v>
      </c>
      <c r="C9" s="3145" t="s">
        <v>3480</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12"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2"/>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15.2">
      <c r="A14" s="379" t="s">
        <v>1690</v>
      </c>
      <c r="B14" s="58" t="s">
        <v>1833</v>
      </c>
      <c r="C14" s="1819" t="str">
        <f>IF(B1="工业",估价对象房地状况!G4,估价对象房地状况!C6)</f>
        <v>估价对象周边道路状况一般，有836、901、917等多条线路，公共交通通达情况较好、停车便捷程度较好，综合评价交通便捷度一般</v>
      </c>
      <c r="D14" s="380">
        <v>100</v>
      </c>
      <c r="E14" s="3185" t="s">
        <v>3503</v>
      </c>
      <c r="F14" s="382">
        <f>SUMIF(61:61,E15,62:62)-SUMIF(61:61,C15,62:62)+100</f>
        <v>100</v>
      </c>
      <c r="G14" s="3187" t="s">
        <v>3502</v>
      </c>
      <c r="H14" s="380">
        <f>SUMIF(61:61,G15,62:62)-SUMIF(61:61,C15,62:62)+100</f>
        <v>94</v>
      </c>
      <c r="I14" s="3188" t="s">
        <v>3501</v>
      </c>
      <c r="J14" s="380">
        <f>SUMIF(61:61,I15,62:62)-SUMIF(61:61,C15,62:62)+100</f>
        <v>97</v>
      </c>
      <c r="K14" s="540">
        <v>3</v>
      </c>
      <c r="L14" s="2490"/>
      <c r="M14" s="2485"/>
      <c r="N14" s="2485"/>
      <c r="O14" s="2540"/>
      <c r="P14" s="3414" t="s">
        <v>1691</v>
      </c>
      <c r="Q14" s="1263" t="str">
        <f t="shared" si="6"/>
        <v>交通便捷度</v>
      </c>
      <c r="R14" s="667" t="s">
        <v>14</v>
      </c>
      <c r="S14" s="668">
        <f t="shared" si="0"/>
        <v>100</v>
      </c>
      <c r="T14" s="667" t="s">
        <v>14</v>
      </c>
      <c r="U14" s="668">
        <f t="shared" si="1"/>
        <v>94</v>
      </c>
      <c r="V14" s="667" t="s">
        <v>14</v>
      </c>
      <c r="W14" s="668">
        <f t="shared" si="2"/>
        <v>97</v>
      </c>
      <c r="X14" s="1265"/>
      <c r="Y14" s="3414" t="s">
        <v>1691</v>
      </c>
      <c r="Z14" s="1264" t="str">
        <f t="shared" si="7"/>
        <v>交通便捷度</v>
      </c>
      <c r="AA14" s="1264">
        <f t="shared" si="3"/>
        <v>1</v>
      </c>
      <c r="AB14" s="1264">
        <f t="shared" si="4"/>
        <v>1.0638297872340425</v>
      </c>
      <c r="AC14" s="1264">
        <f t="shared" si="5"/>
        <v>1.0309278350515463</v>
      </c>
    </row>
    <row r="15" spans="1:29" ht="15">
      <c r="A15" s="367"/>
      <c r="B15" s="385"/>
      <c r="C15" s="386" t="s">
        <v>3422</v>
      </c>
      <c r="D15" s="387"/>
      <c r="E15" s="386" t="s">
        <v>3422</v>
      </c>
      <c r="F15" s="388"/>
      <c r="G15" s="386" t="s">
        <v>3494</v>
      </c>
      <c r="H15" s="389"/>
      <c r="I15" s="386" t="s">
        <v>3395</v>
      </c>
      <c r="J15" s="387"/>
      <c r="K15" s="541"/>
      <c r="L15" s="2490"/>
      <c r="M15" s="2485"/>
      <c r="N15" s="2485"/>
      <c r="O15" s="2540"/>
      <c r="P15" s="3415"/>
      <c r="Q15" s="1263"/>
      <c r="R15" s="667"/>
      <c r="S15" s="668"/>
      <c r="T15" s="667"/>
      <c r="U15" s="668"/>
      <c r="V15" s="667"/>
      <c r="W15" s="668"/>
      <c r="X15" s="1265"/>
      <c r="Y15" s="3415"/>
      <c r="Z15" s="1264"/>
      <c r="AA15" s="1264">
        <v>1</v>
      </c>
      <c r="AB15" s="1264">
        <v>1</v>
      </c>
      <c r="AC15" s="1264">
        <v>1</v>
      </c>
    </row>
    <row r="16" spans="1:29" ht="96.6">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154" t="s">
        <v>3508</v>
      </c>
      <c r="F16" s="397">
        <f>SUMIF(63:63,E17,64:64)-SUMIF(63:63,C17,64:64)+100</f>
        <v>97</v>
      </c>
      <c r="G16" s="3154" t="s">
        <v>3504</v>
      </c>
      <c r="H16" s="394">
        <f>SUMIF(63:63,G17,64:64)-SUMIF(63:63,C17,64:64)+100</f>
        <v>94</v>
      </c>
      <c r="I16" s="3154" t="s">
        <v>3507</v>
      </c>
      <c r="J16" s="394">
        <f>SUMIF(63:63,I17,64:64)-SUMIF(63:63,C17,64:64)+100</f>
        <v>94</v>
      </c>
      <c r="K16" s="540">
        <v>3</v>
      </c>
      <c r="L16" s="2490"/>
      <c r="M16" s="2485"/>
      <c r="N16" s="2485"/>
      <c r="O16" s="2540"/>
      <c r="P16" s="3415"/>
      <c r="Q16" s="1263" t="str">
        <f>B16</f>
        <v>公共配套设施</v>
      </c>
      <c r="R16" s="667" t="s">
        <v>14</v>
      </c>
      <c r="S16" s="668">
        <f>F16</f>
        <v>97</v>
      </c>
      <c r="T16" s="667" t="s">
        <v>14</v>
      </c>
      <c r="U16" s="668">
        <f>H16</f>
        <v>94</v>
      </c>
      <c r="V16" s="667" t="s">
        <v>14</v>
      </c>
      <c r="W16" s="668">
        <f>J16</f>
        <v>94</v>
      </c>
      <c r="X16" s="1265"/>
      <c r="Y16" s="3415"/>
      <c r="Z16" s="1264" t="str">
        <f>Q16</f>
        <v>公共配套设施</v>
      </c>
      <c r="AA16" s="1264">
        <f t="shared" si="3"/>
        <v>1.0309278350515463</v>
      </c>
      <c r="AB16" s="1264">
        <f t="shared" si="4"/>
        <v>1.0638297872340425</v>
      </c>
      <c r="AC16" s="1264">
        <f t="shared" si="5"/>
        <v>1.0638297872340425</v>
      </c>
    </row>
    <row r="17" spans="1:29" ht="15">
      <c r="A17" s="367"/>
      <c r="B17" s="395"/>
      <c r="C17" s="1755" t="s">
        <v>3422</v>
      </c>
      <c r="D17" s="387"/>
      <c r="E17" s="1755" t="s">
        <v>3395</v>
      </c>
      <c r="F17" s="388"/>
      <c r="G17" s="386" t="s">
        <v>3494</v>
      </c>
      <c r="H17" s="387"/>
      <c r="I17" s="386" t="s">
        <v>3494</v>
      </c>
      <c r="J17" s="387"/>
      <c r="K17" s="541"/>
      <c r="L17" s="2490"/>
      <c r="M17" s="2485"/>
      <c r="N17" s="2485"/>
      <c r="O17" s="2540"/>
      <c r="P17" s="3415"/>
      <c r="Q17" s="1263"/>
      <c r="R17" s="667"/>
      <c r="S17" s="668"/>
      <c r="T17" s="667"/>
      <c r="U17" s="668"/>
      <c r="V17" s="667"/>
      <c r="W17" s="668"/>
      <c r="X17" s="1265"/>
      <c r="Y17" s="3415"/>
      <c r="Z17" s="1264"/>
      <c r="AA17" s="1264">
        <v>1</v>
      </c>
      <c r="AB17" s="1264">
        <v>1</v>
      </c>
      <c r="AC17" s="1264">
        <v>1</v>
      </c>
    </row>
    <row r="18" spans="1:29" ht="27.6">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t="s">
        <v>3408</v>
      </c>
      <c r="D19" s="389"/>
      <c r="E19" s="1755" t="s">
        <v>3408</v>
      </c>
      <c r="F19" s="392"/>
      <c r="G19" s="1755" t="s">
        <v>3408</v>
      </c>
      <c r="H19" s="387"/>
      <c r="I19" s="1755" t="s">
        <v>3408</v>
      </c>
      <c r="J19" s="387"/>
      <c r="K19" s="1064"/>
      <c r="L19" s="2490"/>
      <c r="M19" s="2485"/>
      <c r="N19" s="2485"/>
      <c r="O19" s="2540"/>
      <c r="P19" s="3415"/>
      <c r="Q19" s="1263"/>
      <c r="R19" s="667"/>
      <c r="S19" s="668"/>
      <c r="T19" s="667"/>
      <c r="U19" s="668"/>
      <c r="V19" s="667"/>
      <c r="W19" s="668"/>
      <c r="X19" s="1265"/>
      <c r="Y19" s="3415"/>
      <c r="Z19" s="1264"/>
      <c r="AA19" s="1264">
        <v>1</v>
      </c>
      <c r="AB19" s="1264">
        <v>1</v>
      </c>
      <c r="AC19" s="1264">
        <v>1</v>
      </c>
    </row>
    <row r="20" spans="1:29" ht="86.4">
      <c r="A20" s="367"/>
      <c r="B20" s="390" t="s">
        <v>1834</v>
      </c>
      <c r="C20" s="1754" t="str">
        <f>IF(B1="工业",估价对象房地状况!G7,估价对象房地状况!C9)</f>
        <v>区域自然环境：朝曦公园、迎宾公园；人文环境：无；综合评价环境状况一般</v>
      </c>
      <c r="D20" s="394">
        <v>100</v>
      </c>
      <c r="E20" s="396" t="s">
        <v>3483</v>
      </c>
      <c r="F20" s="397">
        <f>SUMIF(67:67,E21,68:68)-SUMIF(67:67,C21,68:68)+100</f>
        <v>100</v>
      </c>
      <c r="G20" s="3157" t="s">
        <v>3499</v>
      </c>
      <c r="H20" s="389">
        <f>SUMIF(67:67,G21,68:68)-SUMIF(67:67,C21,68:68)+100</f>
        <v>100</v>
      </c>
      <c r="I20" s="3155" t="s">
        <v>3505</v>
      </c>
      <c r="J20" s="389">
        <f>SUMIF(67:67,I21,68:68)-SUMIF(67:67,C21,68:68)+100</f>
        <v>97</v>
      </c>
      <c r="K20" s="540">
        <v>3</v>
      </c>
      <c r="L20" s="2490"/>
      <c r="M20" s="2485"/>
      <c r="N20" s="2485"/>
      <c r="O20" s="2540"/>
      <c r="P20" s="3415"/>
      <c r="Q20" s="1263" t="str">
        <f>B20</f>
        <v>自然及人文环境</v>
      </c>
      <c r="R20" s="667" t="s">
        <v>14</v>
      </c>
      <c r="S20" s="668">
        <f>F20</f>
        <v>100</v>
      </c>
      <c r="T20" s="667" t="s">
        <v>14</v>
      </c>
      <c r="U20" s="668">
        <f>H20</f>
        <v>100</v>
      </c>
      <c r="V20" s="667" t="s">
        <v>14</v>
      </c>
      <c r="W20" s="668">
        <f>J20</f>
        <v>97</v>
      </c>
      <c r="X20" s="1265"/>
      <c r="Y20" s="3415"/>
      <c r="Z20" s="1264" t="str">
        <f>Q20</f>
        <v>自然及人文环境</v>
      </c>
      <c r="AA20" s="1264">
        <f t="shared" si="3"/>
        <v>1</v>
      </c>
      <c r="AB20" s="1264">
        <f t="shared" si="4"/>
        <v>1</v>
      </c>
      <c r="AC20" s="1264">
        <f t="shared" si="5"/>
        <v>1.0309278350515463</v>
      </c>
    </row>
    <row r="21" spans="1:29" ht="15">
      <c r="A21" s="367"/>
      <c r="B21" s="395"/>
      <c r="C21" s="386" t="s">
        <v>3395</v>
      </c>
      <c r="D21" s="387"/>
      <c r="E21" s="386" t="s">
        <v>3395</v>
      </c>
      <c r="F21" s="388"/>
      <c r="G21" s="386" t="s">
        <v>3395</v>
      </c>
      <c r="H21" s="387"/>
      <c r="I21" s="386" t="s">
        <v>3494</v>
      </c>
      <c r="J21" s="387"/>
      <c r="K21" s="541"/>
      <c r="L21" s="2490"/>
      <c r="M21" s="2485"/>
      <c r="N21" s="2485"/>
      <c r="O21" s="2540"/>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t="s">
        <v>3492</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5"/>
      <c r="Q23" s="1263" t="str">
        <f>B23</f>
        <v>现状利用</v>
      </c>
      <c r="R23" s="667" t="s">
        <v>14</v>
      </c>
      <c r="S23" s="668">
        <f>F23</f>
        <v>100</v>
      </c>
      <c r="T23" s="667" t="s">
        <v>14</v>
      </c>
      <c r="U23" s="668">
        <f>H23</f>
        <v>100</v>
      </c>
      <c r="V23" s="667" t="s">
        <v>14</v>
      </c>
      <c r="W23" s="668">
        <f>J23</f>
        <v>100</v>
      </c>
      <c r="X23" s="1265"/>
      <c r="Y23" s="3415"/>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404" t="s">
        <v>1694</v>
      </c>
      <c r="B26" s="60" t="s">
        <v>1838</v>
      </c>
      <c r="C26" s="1764" t="s">
        <v>3425</v>
      </c>
      <c r="D26" s="405">
        <v>100</v>
      </c>
      <c r="E26" s="1764" t="s">
        <v>3425</v>
      </c>
      <c r="F26" s="587">
        <f>SUMIF(77:77,E26,78:78)-SUMIF(77:77,C26,78:78)+100</f>
        <v>100</v>
      </c>
      <c r="G26" s="1764" t="s">
        <v>3425</v>
      </c>
      <c r="H26" s="405">
        <f>SUMIF(77:77,G26,78:78)-SUMIF(77:77,C26,78:78)+100</f>
        <v>100</v>
      </c>
      <c r="I26" s="1764" t="s">
        <v>3425</v>
      </c>
      <c r="J26" s="405">
        <f>SUMIF(77:77,I26,78:78)-SUMIF(77:77,C26,78:78)+100</f>
        <v>100</v>
      </c>
      <c r="K26" s="538">
        <v>2</v>
      </c>
      <c r="L26" s="2490"/>
      <c r="M26" s="2485"/>
      <c r="N26" s="2485"/>
      <c r="O26" s="2540"/>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0.65</v>
      </c>
      <c r="D27" s="119">
        <v>100</v>
      </c>
      <c r="E27" s="411">
        <v>0.65</v>
      </c>
      <c r="F27" s="400">
        <f>LOOKUP(E27,80:80,81:81)-LOOKUP(C27,80:80,81:81)+100</f>
        <v>100</v>
      </c>
      <c r="G27" s="411">
        <v>0.65</v>
      </c>
      <c r="H27" s="374">
        <f>LOOKUP(G27,80:80,81:81)-LOOKUP(C27,80:80,81:81)+100</f>
        <v>100</v>
      </c>
      <c r="I27" s="411">
        <v>0.65</v>
      </c>
      <c r="J27" s="374">
        <f>LOOKUP(I27,80:80,81:81)-LOOKUP(C27,80:80,81:81)+100</f>
        <v>100</v>
      </c>
      <c r="K27" s="538">
        <v>2</v>
      </c>
      <c r="L27" s="2489"/>
      <c r="M27" s="2491"/>
      <c r="N27" s="2491"/>
      <c r="O27" s="2541"/>
      <c r="P27" s="3419"/>
      <c r="Q27" s="531" t="str">
        <f t="shared" si="11"/>
        <v>成新率</v>
      </c>
      <c r="R27" s="669" t="s">
        <v>14</v>
      </c>
      <c r="S27" s="670">
        <f t="shared" si="12"/>
        <v>100</v>
      </c>
      <c r="T27" s="669" t="s">
        <v>14</v>
      </c>
      <c r="U27" s="670">
        <f t="shared" si="13"/>
        <v>100</v>
      </c>
      <c r="V27" s="669" t="s">
        <v>14</v>
      </c>
      <c r="W27" s="670">
        <f t="shared" si="14"/>
        <v>100</v>
      </c>
      <c r="X27" s="671"/>
      <c r="Y27" s="3419"/>
      <c r="Z27" s="672" t="str">
        <f t="shared" si="15"/>
        <v>成新率</v>
      </c>
      <c r="AA27" s="1264">
        <f t="shared" si="3"/>
        <v>1</v>
      </c>
      <c r="AB27" s="1264">
        <f t="shared" si="4"/>
        <v>1</v>
      </c>
      <c r="AC27" s="1264">
        <f t="shared" si="5"/>
        <v>1</v>
      </c>
    </row>
    <row r="28" spans="1:29" ht="15">
      <c r="A28" s="409"/>
      <c r="B28" s="364" t="s">
        <v>1840</v>
      </c>
      <c r="C28" s="399" t="s">
        <v>3407</v>
      </c>
      <c r="D28" s="374">
        <v>100</v>
      </c>
      <c r="E28" s="399" t="s">
        <v>3407</v>
      </c>
      <c r="F28" s="400">
        <f>SUMIF(82:82,E28,83:83)-SUMIF(82:82,C28,83:83)+100</f>
        <v>100</v>
      </c>
      <c r="G28" s="399" t="s">
        <v>3407</v>
      </c>
      <c r="H28" s="374">
        <f>SUMIF(82:82,G28,83:83)-SUMIF(82:82,C28,83:83)+100</f>
        <v>100</v>
      </c>
      <c r="I28" s="399" t="s">
        <v>3407</v>
      </c>
      <c r="J28" s="374">
        <f>SUMIF(82:82,I28,83:83)-SUMIF(82:82,C28,83:83)+100</f>
        <v>100</v>
      </c>
      <c r="K28" s="538">
        <v>2</v>
      </c>
      <c r="L28" s="2490"/>
      <c r="M28" s="2485"/>
      <c r="N28" s="2485"/>
      <c r="O28" s="2540"/>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t="s">
        <v>3489</v>
      </c>
      <c r="D29" s="374">
        <v>100</v>
      </c>
      <c r="E29" s="578" t="s">
        <v>3489</v>
      </c>
      <c r="F29" s="400">
        <f>SUMIF(84:84,E29,85:85)-SUMIF(84:84,C29,85:85)+100</f>
        <v>100</v>
      </c>
      <c r="G29" s="578" t="s">
        <v>3489</v>
      </c>
      <c r="H29" s="374">
        <f>SUMIF(84:84,G29,85:85)-SUMIF(84:84,C29,85:85)+100</f>
        <v>100</v>
      </c>
      <c r="I29" s="578" t="s">
        <v>3489</v>
      </c>
      <c r="J29" s="374">
        <f>SUMIF(84:84,I29,85:85)-SUMIF(84:84,C29,85:85)+100</f>
        <v>100</v>
      </c>
      <c r="K29" s="538"/>
      <c r="L29" s="2490"/>
      <c r="M29" s="2485"/>
      <c r="N29" s="2485"/>
      <c r="O29" s="2540"/>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f>'数据-基础表'!I13</f>
        <v>1515.5000000000002</v>
      </c>
      <c r="D30" s="374">
        <v>100</v>
      </c>
      <c r="E30" s="407">
        <v>400</v>
      </c>
      <c r="F30" s="400">
        <f>LOOKUP(E30,87:87,88:88)-LOOKUP(C30,87:87,88:88)+100</f>
        <v>102</v>
      </c>
      <c r="G30" s="407">
        <v>200</v>
      </c>
      <c r="H30" s="374">
        <f>LOOKUP(G30,87:87,88:88)-LOOKUP(C30,87:87,88:88)+100</f>
        <v>102</v>
      </c>
      <c r="I30" s="407">
        <v>100</v>
      </c>
      <c r="J30" s="374">
        <f>LOOKUP(I30,87:87,88:88)-LOOKUP(C30,87:87,88:88)+100</f>
        <v>103</v>
      </c>
      <c r="K30" s="539"/>
      <c r="L30" s="2490"/>
      <c r="M30" s="2485"/>
      <c r="N30" s="2485"/>
      <c r="O30" s="2540"/>
      <c r="P30" s="3419"/>
      <c r="Q30" s="1263" t="str">
        <f t="shared" si="11"/>
        <v>建筑面积</v>
      </c>
      <c r="R30" s="667" t="s">
        <v>14</v>
      </c>
      <c r="S30" s="668">
        <f t="shared" si="12"/>
        <v>102</v>
      </c>
      <c r="T30" s="667" t="s">
        <v>14</v>
      </c>
      <c r="U30" s="668">
        <f t="shared" si="13"/>
        <v>102</v>
      </c>
      <c r="V30" s="667" t="s">
        <v>14</v>
      </c>
      <c r="W30" s="668">
        <f t="shared" si="14"/>
        <v>103</v>
      </c>
      <c r="X30" s="1265"/>
      <c r="Y30" s="3419"/>
      <c r="Z30" s="1264" t="str">
        <f t="shared" si="15"/>
        <v>建筑面积</v>
      </c>
      <c r="AA30" s="1264">
        <f t="shared" si="3"/>
        <v>0.98039215686274506</v>
      </c>
      <c r="AB30" s="1264">
        <f t="shared" si="4"/>
        <v>0.98039215686274506</v>
      </c>
      <c r="AC30" s="1264">
        <f t="shared" si="5"/>
        <v>0.970873786407767</v>
      </c>
    </row>
    <row r="31" spans="1:29" s="102" customFormat="1" ht="15">
      <c r="A31" s="410"/>
      <c r="B31" s="364" t="s">
        <v>1862</v>
      </c>
      <c r="C31" s="578" t="s">
        <v>3388</v>
      </c>
      <c r="D31" s="119">
        <v>100</v>
      </c>
      <c r="E31" s="578" t="s">
        <v>3388</v>
      </c>
      <c r="F31" s="400">
        <f>SUMIF(89:89,E31,90:90)-SUMIF(89:89,C31,90:90)+100</f>
        <v>100</v>
      </c>
      <c r="G31" s="578" t="s">
        <v>3388</v>
      </c>
      <c r="H31" s="374">
        <f>SUMIF(89:89,G31,90:90)-SUMIF(89:89,C31,90:90)+100</f>
        <v>100</v>
      </c>
      <c r="I31" s="578" t="s">
        <v>3388</v>
      </c>
      <c r="J31" s="374">
        <f>SUMIF(89:89,I31,90:90)-SUMIF(89:89,C31,90:90)+100</f>
        <v>100</v>
      </c>
      <c r="K31" s="538">
        <v>2</v>
      </c>
      <c r="L31" s="2486"/>
      <c r="M31" s="2438"/>
      <c r="N31" s="2438"/>
      <c r="O31" s="2538"/>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c r="C32" s="3165"/>
      <c r="D32" s="374">
        <v>100</v>
      </c>
      <c r="E32" s="3165"/>
      <c r="F32" s="400">
        <f>SUMIF(91:91,E32,92:92)-SUMIF(91:91,C32,92:92)+100</f>
        <v>100</v>
      </c>
      <c r="G32" s="3165"/>
      <c r="H32" s="374">
        <f>SUMIF(91:91,G32,92:92)-SUMIF(91:91,C32,92:92)+100</f>
        <v>100</v>
      </c>
      <c r="I32" s="3165"/>
      <c r="J32" s="374">
        <f>SUMIF(91:91,I32,92:92)-SUMIF(91:91,C32,92:92)+100</f>
        <v>100</v>
      </c>
      <c r="K32" s="539"/>
      <c r="L32" s="2490"/>
      <c r="M32" s="2485"/>
      <c r="N32" s="2485"/>
      <c r="O32" s="2540"/>
      <c r="P32" s="3419" t="s">
        <v>1696</v>
      </c>
      <c r="Q32" s="1263">
        <f t="shared" si="11"/>
        <v>0</v>
      </c>
      <c r="R32" s="667" t="s">
        <v>14</v>
      </c>
      <c r="S32" s="668">
        <f t="shared" si="12"/>
        <v>100</v>
      </c>
      <c r="T32" s="667" t="s">
        <v>14</v>
      </c>
      <c r="U32" s="668">
        <f t="shared" si="13"/>
        <v>100</v>
      </c>
      <c r="V32" s="667" t="s">
        <v>14</v>
      </c>
      <c r="W32" s="668">
        <f t="shared" si="14"/>
        <v>100</v>
      </c>
      <c r="X32" s="1265"/>
      <c r="Y32" s="3419" t="s">
        <v>1696</v>
      </c>
      <c r="Z32" s="1264">
        <f t="shared" si="15"/>
        <v>0</v>
      </c>
      <c r="AA32" s="1264">
        <f t="shared" si="3"/>
        <v>1</v>
      </c>
      <c r="AB32" s="1264">
        <f t="shared" si="4"/>
        <v>1</v>
      </c>
      <c r="AC32" s="1264">
        <f t="shared" si="5"/>
        <v>1</v>
      </c>
    </row>
    <row r="33" spans="1:30" ht="15">
      <c r="A33" s="409"/>
      <c r="B33" s="447" t="s">
        <v>3493</v>
      </c>
      <c r="C33" s="3164" t="s">
        <v>3496</v>
      </c>
      <c r="D33" s="374">
        <v>100</v>
      </c>
      <c r="E33" s="3164" t="s">
        <v>3496</v>
      </c>
      <c r="F33" s="400">
        <f>SUMIF(93:93,E33,94:94)-SUMIF(93:93,C33,94:94)+100</f>
        <v>100</v>
      </c>
      <c r="G33" s="3164" t="s">
        <v>3496</v>
      </c>
      <c r="H33" s="374">
        <f>SUMIF(93:93,G33,94:94)-SUMIF(93:93,C33,94:94)+100</f>
        <v>100</v>
      </c>
      <c r="I33" s="3164" t="s">
        <v>3496</v>
      </c>
      <c r="J33" s="374">
        <f>SUMIF(93:93,I33,94:94)-SUMIF(93:93,C33,94:94)+100</f>
        <v>100</v>
      </c>
      <c r="K33" s="539"/>
      <c r="L33" s="2490"/>
      <c r="M33" s="2485"/>
      <c r="N33" s="2485"/>
      <c r="O33" s="2540"/>
      <c r="P33" s="3419"/>
      <c r="Q33" s="1263" t="str">
        <f t="shared" si="11"/>
        <v>内部装修维护情况</v>
      </c>
      <c r="R33" s="667" t="s">
        <v>14</v>
      </c>
      <c r="S33" s="668">
        <f t="shared" si="12"/>
        <v>100</v>
      </c>
      <c r="T33" s="667" t="s">
        <v>14</v>
      </c>
      <c r="U33" s="668">
        <f t="shared" si="13"/>
        <v>100</v>
      </c>
      <c r="V33" s="667" t="s">
        <v>14</v>
      </c>
      <c r="W33" s="668">
        <f t="shared" si="14"/>
        <v>100</v>
      </c>
      <c r="X33" s="1265"/>
      <c r="Y33" s="3419"/>
      <c r="Z33" s="1264" t="str">
        <f t="shared" si="15"/>
        <v>内部装修维护情况</v>
      </c>
      <c r="AA33" s="1264">
        <f t="shared" si="3"/>
        <v>1</v>
      </c>
      <c r="AB33" s="1264">
        <f t="shared" si="4"/>
        <v>1</v>
      </c>
      <c r="AC33" s="1264">
        <f t="shared" si="5"/>
        <v>1</v>
      </c>
    </row>
    <row r="34" spans="1:30" ht="15.6" thickBot="1">
      <c r="A34" s="415"/>
      <c r="B34" s="3193" t="s">
        <v>3509</v>
      </c>
      <c r="C34" s="3194" t="s">
        <v>3510</v>
      </c>
      <c r="D34" s="377">
        <v>100</v>
      </c>
      <c r="E34" s="3194" t="s">
        <v>3511</v>
      </c>
      <c r="F34" s="378">
        <f>SUMIF(95:95,E34,96:96)-SUMIF(95:95,C34,96:96)+100</f>
        <v>103</v>
      </c>
      <c r="G34" s="3194" t="s">
        <v>3511</v>
      </c>
      <c r="H34" s="377">
        <f>SUMIF(95:95,G34,96:96)-SUMIF(95:95,C34,96:96)+100</f>
        <v>103</v>
      </c>
      <c r="I34" s="3194" t="s">
        <v>3511</v>
      </c>
      <c r="J34" s="377">
        <f>SUMIF(95:95,I34,96:96)-SUMIF(95:95,C34,96:96)+100</f>
        <v>103</v>
      </c>
      <c r="K34" s="539"/>
      <c r="L34" s="2490"/>
      <c r="M34" s="2485"/>
      <c r="N34" s="2485"/>
      <c r="O34" s="2540"/>
      <c r="P34" s="3419"/>
      <c r="Q34" s="1263" t="str">
        <f t="shared" si="11"/>
        <v>是否整体利用</v>
      </c>
      <c r="R34" s="667" t="s">
        <v>14</v>
      </c>
      <c r="S34" s="668">
        <f t="shared" si="12"/>
        <v>103</v>
      </c>
      <c r="T34" s="667" t="s">
        <v>14</v>
      </c>
      <c r="U34" s="668">
        <f t="shared" si="13"/>
        <v>103</v>
      </c>
      <c r="V34" s="667" t="s">
        <v>14</v>
      </c>
      <c r="W34" s="668">
        <f t="shared" si="14"/>
        <v>103</v>
      </c>
      <c r="X34" s="1265"/>
      <c r="Y34" s="3419"/>
      <c r="Z34" s="1264" t="str">
        <f t="shared" si="15"/>
        <v>是否整体利用</v>
      </c>
      <c r="AA34" s="1264">
        <f t="shared" si="3"/>
        <v>0.970873786407767</v>
      </c>
      <c r="AB34" s="1264">
        <f t="shared" si="4"/>
        <v>0.970873786407767</v>
      </c>
      <c r="AC34" s="1264">
        <f t="shared" si="5"/>
        <v>0.970873786407767</v>
      </c>
    </row>
    <row r="35" spans="1:30" ht="14.4">
      <c r="A35" s="416" t="s">
        <v>1708</v>
      </c>
      <c r="B35" s="417"/>
      <c r="C35" s="1081" t="s">
        <v>0</v>
      </c>
      <c r="D35" s="418"/>
      <c r="E35" s="419">
        <v>0.33</v>
      </c>
      <c r="F35" s="420"/>
      <c r="G35" s="421">
        <v>0.33</v>
      </c>
      <c r="H35" s="422"/>
      <c r="I35" s="419">
        <v>0.27</v>
      </c>
      <c r="J35" s="422"/>
      <c r="K35" s="674"/>
      <c r="L35" s="2492"/>
      <c r="M35" s="2485"/>
      <c r="N35" s="2485"/>
      <c r="O35" s="2485"/>
      <c r="P35" s="3412" t="str">
        <f>A35</f>
        <v>成交单价（元/平方米）</v>
      </c>
      <c r="Q35" s="3412"/>
      <c r="R35" s="3413">
        <f>E35</f>
        <v>0.33</v>
      </c>
      <c r="S35" s="3413"/>
      <c r="T35" s="3413">
        <f>G35</f>
        <v>0.33</v>
      </c>
      <c r="U35" s="3413"/>
      <c r="V35" s="3413">
        <f>I35</f>
        <v>0.27</v>
      </c>
      <c r="W35" s="3413"/>
      <c r="X35" s="385"/>
      <c r="Y35" s="673"/>
      <c r="Z35" s="385"/>
      <c r="AA35" s="385"/>
      <c r="AB35" s="385"/>
      <c r="AC35" s="385"/>
    </row>
    <row r="36" spans="1:30" ht="15" thickBot="1">
      <c r="A36" s="423" t="s">
        <v>1793</v>
      </c>
      <c r="B36" s="424"/>
      <c r="C36" s="3189">
        <f>R37</f>
        <v>0.32</v>
      </c>
      <c r="D36" s="2141" t="s">
        <v>2138</v>
      </c>
      <c r="E36" s="3191">
        <f>R36</f>
        <v>0.32</v>
      </c>
      <c r="F36" s="2142"/>
      <c r="G36" s="1082">
        <f>T36</f>
        <v>0.35</v>
      </c>
      <c r="H36" s="2142"/>
      <c r="I36" s="1083">
        <f>V36</f>
        <v>0.28000000000000003</v>
      </c>
      <c r="J36" s="2142"/>
      <c r="K36" s="2144">
        <f>F36+H36+J36</f>
        <v>0</v>
      </c>
      <c r="L36" s="2492"/>
      <c r="M36" s="2485"/>
      <c r="N36" s="2485"/>
      <c r="O36" s="2485"/>
      <c r="P36" s="3412" t="str">
        <f>A36</f>
        <v>比较价值（元/平方米）</v>
      </c>
      <c r="Q36" s="3412"/>
      <c r="R36" s="3454">
        <f>IF(F1="售价",ROUND(PRODUCT(R35,AA7:AA34),0),ROUND(PRODUCT(R35,AA7:AA34),2))</f>
        <v>0.32</v>
      </c>
      <c r="S36" s="3454"/>
      <c r="T36" s="3413">
        <f>IF(F1="售价",ROUND(PRODUCT(T35,AB7:AB34),0),ROUND(PRODUCT(T35,AB7:AB34),2))</f>
        <v>0.35</v>
      </c>
      <c r="U36" s="3413"/>
      <c r="V36" s="3413">
        <f>IF(F1="售价",ROUND(PRODUCT(V35,AC7:AC34),0),ROUND(PRODUCT(V35,AC7:AC34),2))</f>
        <v>0.28000000000000003</v>
      </c>
      <c r="W36" s="3413"/>
      <c r="X36" s="385"/>
      <c r="Y36" s="385"/>
      <c r="Z36" s="385"/>
      <c r="AA36" s="385"/>
      <c r="AB36" s="385"/>
      <c r="AC36" s="385"/>
    </row>
    <row r="37" spans="1:30" ht="15" thickBot="1">
      <c r="A37" s="427" t="s">
        <v>1794</v>
      </c>
      <c r="B37" s="428"/>
      <c r="C37" s="3190">
        <f>R37</f>
        <v>0.32</v>
      </c>
      <c r="D37" s="351"/>
      <c r="E37" s="351"/>
      <c r="F37" s="351"/>
      <c r="G37" s="351"/>
      <c r="H37" s="351"/>
      <c r="I37" s="351"/>
      <c r="J37" s="351"/>
      <c r="K37" s="675"/>
      <c r="L37" s="2492"/>
      <c r="M37" s="2485"/>
      <c r="N37" s="2485"/>
      <c r="O37" s="2485"/>
      <c r="P37" s="3409" t="str">
        <f>A37</f>
        <v>估价对象XX用房的比较价值（楼面单价，元/平方米）</v>
      </c>
      <c r="Q37" s="3410"/>
      <c r="R37" s="3455">
        <f>IF(F1="售价",ROUND(IF(D36="简单平均",AVERAGE(R36:W36),R36*F36+T36*H36+V36*J36),0),ROUND(IF(D36="简单平均",AVERAGE(R36:V36),R36*F36+T36*H36+V36*J36),2))</f>
        <v>0.32</v>
      </c>
      <c r="S37" s="3455"/>
      <c r="T37" s="3455"/>
      <c r="U37" s="3455"/>
      <c r="V37" s="3455"/>
      <c r="W37" s="345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3.125E-2</v>
      </c>
      <c r="F40" s="435" t="str">
        <f>IF(OR(E40&gt;=0.3,E40&lt;=-0.3),"超过30%","")</f>
        <v/>
      </c>
      <c r="G40" s="434">
        <f>IF(G35&lt;G36,G36/G35-1,G35/G36-1)</f>
        <v>6.0606060606060552E-2</v>
      </c>
      <c r="H40" s="435" t="str">
        <f>IF(OR(G40&gt;=0.3,G40&lt;=-0.3),"超过30%","")</f>
        <v/>
      </c>
      <c r="I40" s="434">
        <f>IF(I35&lt;I36,I36/I35-1,I35/I36-1)</f>
        <v>3.7037037037036979E-2</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9.375E-2</v>
      </c>
      <c r="F41" s="435" t="str">
        <f>IF(OR(E41&gt;=0.2,E41&lt;=-0.2),"超过20%","")</f>
        <v/>
      </c>
      <c r="G41" s="434">
        <f>IF(G36&lt;I36,I36/G36-1,G36/I36-1)</f>
        <v>0.24999999999999978</v>
      </c>
      <c r="H41" s="435" t="str">
        <f>IF(OR(G41&gt;=0.2,G41&lt;=-0.2),"超过20%","")</f>
        <v>超过20%</v>
      </c>
      <c r="I41" s="434">
        <f>IF(I36&lt;E36,E36/I36-1,I36/E36-1)</f>
        <v>0.14285714285714279</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44" t="s">
        <v>3393</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v>102</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 thickTop="1">
      <c r="A71" s="370"/>
      <c r="B71" s="469" t="str">
        <f>B23</f>
        <v>现状利用</v>
      </c>
      <c r="C71" s="480"/>
      <c r="D71" s="3186"/>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t="s">
        <v>3487</v>
      </c>
      <c r="D77" s="485" t="s">
        <v>3424</v>
      </c>
      <c r="E77" s="462" t="s">
        <v>3425</v>
      </c>
      <c r="F77" s="462" t="s">
        <v>3488</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6" t="s">
        <v>3491</v>
      </c>
      <c r="D82" s="3146" t="s">
        <v>3497</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6" t="s">
        <v>3490</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v>100</v>
      </c>
      <c r="D88" s="467">
        <f>C88-1</f>
        <v>99</v>
      </c>
      <c r="E88" s="467">
        <f t="shared" ref="E88:H88" si="22">D88-1</f>
        <v>98</v>
      </c>
      <c r="F88" s="467">
        <f t="shared" si="22"/>
        <v>97</v>
      </c>
      <c r="G88" s="467">
        <f t="shared" si="22"/>
        <v>96</v>
      </c>
      <c r="H88" s="467">
        <f t="shared" si="22"/>
        <v>95</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6" t="s">
        <v>3484</v>
      </c>
      <c r="D89" s="3146" t="s">
        <v>3485</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0</v>
      </c>
      <c r="C91" s="480" t="s">
        <v>3432</v>
      </c>
      <c r="D91" s="480" t="s">
        <v>3429</v>
      </c>
      <c r="E91" s="480" t="s">
        <v>3428</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t="str">
        <f>B33</f>
        <v>内部装修维护情况</v>
      </c>
      <c r="C93" s="480" t="s">
        <v>3482</v>
      </c>
      <c r="D93" s="480" t="s">
        <v>3422</v>
      </c>
      <c r="E93" s="480" t="s">
        <v>3395</v>
      </c>
      <c r="F93" s="480" t="s">
        <v>3494</v>
      </c>
      <c r="G93" s="485" t="s">
        <v>3495</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t="str">
        <f>B34</f>
        <v>是否整体利用</v>
      </c>
      <c r="C95" s="3186" t="s">
        <v>3511</v>
      </c>
      <c r="D95" s="480" t="s">
        <v>3440</v>
      </c>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v>100</v>
      </c>
      <c r="D96" s="491">
        <v>97</v>
      </c>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受贵公司委托，我公司对北京市房山区城关街道北大街17号房地产市场价值进行了预评估。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估价对象为北京市房山区城关街道北大街17号房地产，为所有。根据《国有土地使用证》[]，估价对象（分摊）出让国有建设用地使用权面积为0平方米，建筑面积为1515.5平方米。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估价对象为北京市房山区城关街道北大街17号房地产,属开发建设的，该项目尚在开发建设中。根据《国有土地使用证》[]，估价对象（分摊）出让国有建设用地使用权面积为0平方米，规划建筑面积为1515.5平方米。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2024年11月28日（评估专业人员实地查勘之日）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B25" zoomScale="85" zoomScaleNormal="70" zoomScaleSheetLayoutView="85" workbookViewId="0">
      <selection activeCell="M34" sqref="M34"/>
    </sheetView>
  </sheetViews>
  <sheetFormatPr defaultColWidth="9" defaultRowHeight="13.8"/>
  <cols>
    <col min="1" max="1" width="10.44140625" style="347" customWidth="1"/>
    <col min="2" max="2" width="15.77734375" style="347" customWidth="1"/>
    <col min="3" max="3" width="28.21875" style="347" customWidth="1"/>
    <col min="4" max="4" width="13.5546875" style="347" customWidth="1"/>
    <col min="5" max="5" width="19.44140625" style="347" customWidth="1"/>
    <col min="6" max="6" width="12.21875" style="347" customWidth="1"/>
    <col min="7" max="7" width="19.33203125" style="347" customWidth="1"/>
    <col min="8" max="8" width="12.21875" style="347" customWidth="1"/>
    <col min="9" max="9" width="18.218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c r="F1" s="1735" t="s">
        <v>3390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0.67</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65" t="s">
        <v>1775</v>
      </c>
      <c r="Q4" s="3466"/>
      <c r="R4" s="3469" t="s">
        <v>1771</v>
      </c>
      <c r="S4" s="3470"/>
      <c r="T4" s="3469" t="s">
        <v>1772</v>
      </c>
      <c r="U4" s="3470"/>
      <c r="V4" s="3471" t="s">
        <v>1773</v>
      </c>
      <c r="W4" s="3471"/>
      <c r="X4" s="1809"/>
      <c r="Y4" s="3469" t="s">
        <v>1775</v>
      </c>
      <c r="Z4" s="3470"/>
      <c r="AA4" s="3473" t="s">
        <v>1771</v>
      </c>
      <c r="AB4" s="3473" t="s">
        <v>1772</v>
      </c>
      <c r="AC4" s="3462" t="s">
        <v>1773</v>
      </c>
    </row>
    <row r="5" spans="1:29" ht="13.8" customHeight="1">
      <c r="A5" s="348"/>
      <c r="B5" s="349"/>
      <c r="C5" s="3458" t="s">
        <v>3516</v>
      </c>
      <c r="D5" s="3446"/>
      <c r="E5" s="3457" t="s">
        <v>3522</v>
      </c>
      <c r="F5" s="3453"/>
      <c r="G5" s="3457" t="s">
        <v>3526</v>
      </c>
      <c r="H5" s="3453"/>
      <c r="I5" s="3457" t="s">
        <v>3523</v>
      </c>
      <c r="J5" s="3453"/>
      <c r="K5" s="537"/>
      <c r="L5" s="2484"/>
      <c r="M5" s="2485"/>
      <c r="N5" s="2485"/>
      <c r="O5" s="2485"/>
      <c r="P5" s="3467"/>
      <c r="Q5" s="3434"/>
      <c r="R5" s="3439"/>
      <c r="S5" s="3440"/>
      <c r="T5" s="3439"/>
      <c r="U5" s="3440"/>
      <c r="V5" s="3413"/>
      <c r="W5" s="3413"/>
      <c r="X5" s="1265"/>
      <c r="Y5" s="3439"/>
      <c r="Z5" s="3440"/>
      <c r="AA5" s="3425"/>
      <c r="AB5" s="3425"/>
      <c r="AC5" s="3463"/>
    </row>
    <row r="6" spans="1:29" ht="15" thickBot="1">
      <c r="A6" s="350"/>
      <c r="B6" s="351"/>
      <c r="C6" s="3443" t="s">
        <v>1677</v>
      </c>
      <c r="D6" s="3444"/>
      <c r="E6" s="3450" t="s">
        <v>1677</v>
      </c>
      <c r="F6" s="3451"/>
      <c r="G6" s="3443" t="s">
        <v>1677</v>
      </c>
      <c r="H6" s="3444"/>
      <c r="I6" s="3443" t="s">
        <v>1677</v>
      </c>
      <c r="J6" s="3444"/>
      <c r="K6" s="537" t="s">
        <v>1678</v>
      </c>
      <c r="L6" s="2484"/>
      <c r="M6" s="2485"/>
      <c r="N6" s="2485"/>
      <c r="O6" s="2485"/>
      <c r="P6" s="3468"/>
      <c r="Q6" s="3436"/>
      <c r="R6" s="3439"/>
      <c r="S6" s="3440"/>
      <c r="T6" s="3441"/>
      <c r="U6" s="3442"/>
      <c r="V6" s="3413"/>
      <c r="W6" s="3413"/>
      <c r="X6" s="1265"/>
      <c r="Y6" s="3441"/>
      <c r="Z6" s="3442"/>
      <c r="AA6" s="3426"/>
      <c r="AB6" s="3426"/>
      <c r="AC6" s="3464"/>
    </row>
    <row r="7" spans="1:29" s="102" customFormat="1" ht="1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72" t="s">
        <v>1680</v>
      </c>
      <c r="Q7" s="3449"/>
      <c r="R7" s="664" t="s">
        <v>14</v>
      </c>
      <c r="S7" s="665">
        <f t="shared" ref="S7:S15" si="0">F7</f>
        <v>100</v>
      </c>
      <c r="T7" s="664" t="s">
        <v>14</v>
      </c>
      <c r="U7" s="665">
        <f t="shared" ref="U7:U15" si="1">H7</f>
        <v>100</v>
      </c>
      <c r="V7" s="664" t="s">
        <v>14</v>
      </c>
      <c r="W7" s="665">
        <f t="shared" ref="W7:W15" si="2">J7</f>
        <v>100</v>
      </c>
      <c r="X7" s="666"/>
      <c r="Y7" s="3447" t="s">
        <v>1680</v>
      </c>
      <c r="Z7" s="3448"/>
      <c r="AA7" s="50">
        <f>D7/F7</f>
        <v>1</v>
      </c>
      <c r="AB7" s="50">
        <f>D7/H7</f>
        <v>1</v>
      </c>
      <c r="AC7" s="802">
        <f>D7/J7</f>
        <v>1</v>
      </c>
    </row>
    <row r="8" spans="1:29" s="102" customFormat="1" ht="15" thickBot="1">
      <c r="A8" s="352" t="s">
        <v>1681</v>
      </c>
      <c r="B8" s="353"/>
      <c r="C8" s="358" t="s">
        <v>3391</v>
      </c>
      <c r="D8" s="355">
        <v>100</v>
      </c>
      <c r="E8" s="358" t="s">
        <v>3392</v>
      </c>
      <c r="F8" s="357">
        <f>SUMIF(62:62,E8,63:63)-SUMIF(62:62,C8,63:63)+100</f>
        <v>103</v>
      </c>
      <c r="G8" s="358" t="s">
        <v>3392</v>
      </c>
      <c r="H8" s="355">
        <f>SUMIF(62:62,G8,63:63)-SUMIF(62:62,C8,63:63)+100</f>
        <v>103</v>
      </c>
      <c r="I8" s="358" t="s">
        <v>3392</v>
      </c>
      <c r="J8" s="355">
        <f>SUMIF(62:62,I8,63:63)-SUMIF(62:62,C8,63:63)+100</f>
        <v>103</v>
      </c>
      <c r="K8" s="38"/>
      <c r="L8" s="2486"/>
      <c r="M8" s="2438"/>
      <c r="N8" s="2438"/>
      <c r="O8" s="2438"/>
      <c r="P8" s="3472" t="s">
        <v>1683</v>
      </c>
      <c r="Q8" s="3448"/>
      <c r="R8" s="664" t="s">
        <v>14</v>
      </c>
      <c r="S8" s="665">
        <f t="shared" si="0"/>
        <v>103</v>
      </c>
      <c r="T8" s="664" t="s">
        <v>14</v>
      </c>
      <c r="U8" s="665">
        <f t="shared" si="1"/>
        <v>103</v>
      </c>
      <c r="V8" s="664" t="s">
        <v>14</v>
      </c>
      <c r="W8" s="665">
        <f t="shared" si="2"/>
        <v>103</v>
      </c>
      <c r="X8" s="666"/>
      <c r="Y8" s="3447" t="s">
        <v>1683</v>
      </c>
      <c r="Z8" s="3448"/>
      <c r="AA8" s="50">
        <f t="shared" ref="AA8:AA47" si="3">D8/F8</f>
        <v>0.970873786407767</v>
      </c>
      <c r="AB8" s="50">
        <f t="shared" ref="AB8:AB47" si="4">D8/H8</f>
        <v>0.970873786407767</v>
      </c>
      <c r="AC8" s="802">
        <f t="shared" ref="AC8:AC47" si="5">D8/J8</f>
        <v>0.970873786407767</v>
      </c>
    </row>
    <row r="9" spans="1:29" s="102" customFormat="1" ht="14.4">
      <c r="A9" s="359" t="s">
        <v>1684</v>
      </c>
      <c r="B9" s="60" t="s">
        <v>1685</v>
      </c>
      <c r="C9" s="3145" t="s">
        <v>3394</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3"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3"/>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3"/>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3"/>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3"/>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3"/>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64.2" customHeight="1">
      <c r="A15" s="379" t="s">
        <v>1690</v>
      </c>
      <c r="B15" s="554" t="s">
        <v>1811</v>
      </c>
      <c r="C15" s="1811" t="str">
        <f>估价对象房地状况!C5</f>
        <v>周边商业氛围较成熟，有华冠天地、房山商业大楼等项目，人流量较大，办公项目较少，综合评价集聚程度较好</v>
      </c>
      <c r="D15" s="380">
        <v>100</v>
      </c>
      <c r="E15" s="3160"/>
      <c r="F15" s="380">
        <f>SUMIF(77:77,E16,78:78)-SUMIF(77:77,C16,78:78)+100</f>
        <v>97</v>
      </c>
      <c r="G15" s="3160"/>
      <c r="H15" s="380">
        <f>SUMIF(77:77,G16,78:78)-SUMIF(77:77,C16,78:78)+100</f>
        <v>97</v>
      </c>
      <c r="I15" s="3160"/>
      <c r="J15" s="380">
        <f>SUMIF(77:77,I16,78:78)-SUMIF(77:77,C16,78:78)+100</f>
        <v>97</v>
      </c>
      <c r="K15" s="3166">
        <v>3</v>
      </c>
      <c r="L15" s="2490"/>
      <c r="M15" s="2485"/>
      <c r="N15" s="2485"/>
      <c r="O15" s="2485"/>
      <c r="P15" s="3421" t="s">
        <v>1691</v>
      </c>
      <c r="Q15" s="1263" t="str">
        <f t="shared" si="6"/>
        <v>办公集聚程度</v>
      </c>
      <c r="R15" s="667" t="s">
        <v>14</v>
      </c>
      <c r="S15" s="668">
        <f t="shared" si="0"/>
        <v>97</v>
      </c>
      <c r="T15" s="667" t="s">
        <v>14</v>
      </c>
      <c r="U15" s="668">
        <f t="shared" si="1"/>
        <v>97</v>
      </c>
      <c r="V15" s="667" t="s">
        <v>14</v>
      </c>
      <c r="W15" s="668">
        <f t="shared" si="2"/>
        <v>97</v>
      </c>
      <c r="X15" s="1265"/>
      <c r="Y15" s="3414" t="s">
        <v>1691</v>
      </c>
      <c r="Z15" s="1264" t="str">
        <f t="shared" si="7"/>
        <v>办公集聚程度</v>
      </c>
      <c r="AA15" s="1264">
        <f t="shared" si="3"/>
        <v>1.0309278350515463</v>
      </c>
      <c r="AB15" s="1264">
        <f t="shared" si="4"/>
        <v>1.0309278350515463</v>
      </c>
      <c r="AC15" s="1812">
        <f t="shared" si="5"/>
        <v>1.0309278350515463</v>
      </c>
    </row>
    <row r="16" spans="1:29" ht="15">
      <c r="A16" s="367"/>
      <c r="B16" s="555"/>
      <c r="C16" s="1758" t="s">
        <v>3395</v>
      </c>
      <c r="D16" s="387"/>
      <c r="E16" s="386" t="s">
        <v>3494</v>
      </c>
      <c r="F16" s="387"/>
      <c r="G16" s="386" t="s">
        <v>3494</v>
      </c>
      <c r="H16" s="389"/>
      <c r="I16" s="386" t="s">
        <v>3494</v>
      </c>
      <c r="J16" s="387"/>
      <c r="K16" s="541"/>
      <c r="L16" s="2490"/>
      <c r="M16" s="2485"/>
      <c r="N16" s="2485"/>
      <c r="O16" s="2485"/>
      <c r="P16" s="3422"/>
      <c r="Q16" s="1263"/>
      <c r="R16" s="667"/>
      <c r="S16" s="668"/>
      <c r="T16" s="667"/>
      <c r="U16" s="668"/>
      <c r="V16" s="667"/>
      <c r="W16" s="668"/>
      <c r="X16" s="1265"/>
      <c r="Y16" s="3415"/>
      <c r="Z16" s="1264"/>
      <c r="AA16" s="1264">
        <v>1</v>
      </c>
      <c r="AB16" s="1264">
        <v>1</v>
      </c>
      <c r="AC16" s="1812">
        <v>1</v>
      </c>
    </row>
    <row r="17" spans="1:29" ht="69">
      <c r="A17" s="367"/>
      <c r="B17" s="556" t="s">
        <v>1259</v>
      </c>
      <c r="C17" s="1813" t="str">
        <f>估价对象房地状况!C6</f>
        <v>估价对象周边道路状况一般，有836、901、917等多条线路，公共交通通达情况较好、停车便捷程度较好，综合评价交通便捷度一般</v>
      </c>
      <c r="D17" s="389">
        <v>100</v>
      </c>
      <c r="E17" s="3156"/>
      <c r="F17" s="389">
        <f>SUMIF(79:79,E18,80:80)-SUMIF(79:79,C18,80:80)+100</f>
        <v>100</v>
      </c>
      <c r="G17" s="3156"/>
      <c r="H17" s="394">
        <f>SUMIF(79:79,G18,80:80)-SUMIF(79:79,C18,80:80)+100</f>
        <v>98</v>
      </c>
      <c r="I17" s="3156"/>
      <c r="J17" s="394">
        <f>SUMIF(79:79,I18,80:80)-SUMIF(79:79,C18,80:80)+100</f>
        <v>98</v>
      </c>
      <c r="K17" s="540">
        <v>2</v>
      </c>
      <c r="L17" s="2490"/>
      <c r="M17" s="2485"/>
      <c r="N17" s="2485"/>
      <c r="O17" s="2485"/>
      <c r="P17" s="3422"/>
      <c r="Q17" s="1263" t="str">
        <f>B17</f>
        <v>交通便捷度</v>
      </c>
      <c r="R17" s="667" t="s">
        <v>14</v>
      </c>
      <c r="S17" s="668">
        <f>F17</f>
        <v>100</v>
      </c>
      <c r="T17" s="667" t="s">
        <v>14</v>
      </c>
      <c r="U17" s="668">
        <f>H17</f>
        <v>98</v>
      </c>
      <c r="V17" s="667" t="s">
        <v>14</v>
      </c>
      <c r="W17" s="668">
        <f>J17</f>
        <v>98</v>
      </c>
      <c r="X17" s="1265"/>
      <c r="Y17" s="3415"/>
      <c r="Z17" s="1264" t="str">
        <f>Q17</f>
        <v>交通便捷度</v>
      </c>
      <c r="AA17" s="1264">
        <f t="shared" si="3"/>
        <v>1</v>
      </c>
      <c r="AB17" s="1264">
        <f t="shared" si="4"/>
        <v>1.0204081632653061</v>
      </c>
      <c r="AC17" s="1812">
        <f t="shared" si="5"/>
        <v>1.0204081632653061</v>
      </c>
    </row>
    <row r="18" spans="1:29" ht="15">
      <c r="A18" s="367"/>
      <c r="B18" s="401"/>
      <c r="C18" s="1814" t="s">
        <v>3422</v>
      </c>
      <c r="D18" s="389"/>
      <c r="E18" s="1756" t="s">
        <v>3422</v>
      </c>
      <c r="F18" s="389"/>
      <c r="G18" s="1756" t="s">
        <v>3395</v>
      </c>
      <c r="H18" s="387"/>
      <c r="I18" s="1757" t="s">
        <v>3395</v>
      </c>
      <c r="J18" s="387"/>
      <c r="K18" s="541"/>
      <c r="L18" s="2490"/>
      <c r="M18" s="2485"/>
      <c r="N18" s="2485"/>
      <c r="O18" s="2485"/>
      <c r="P18" s="3422"/>
      <c r="Q18" s="1263"/>
      <c r="R18" s="667"/>
      <c r="S18" s="668"/>
      <c r="T18" s="667"/>
      <c r="U18" s="668"/>
      <c r="V18" s="667"/>
      <c r="W18" s="668"/>
      <c r="X18" s="1265"/>
      <c r="Y18" s="3415"/>
      <c r="Z18" s="1264"/>
      <c r="AA18" s="1264">
        <v>1</v>
      </c>
      <c r="AB18" s="1264">
        <v>1</v>
      </c>
      <c r="AC18" s="1812">
        <v>1</v>
      </c>
    </row>
    <row r="19" spans="1:29" ht="69">
      <c r="A19" s="367"/>
      <c r="B19" s="556" t="s">
        <v>1812</v>
      </c>
      <c r="C19" s="1813" t="str">
        <f>估价对象房地状况!C7</f>
        <v>商场（华冠天地、房山商业大楼）、医院（房山区中医院、房山区第一医院）、学校（房山中学）、餐饮等，公共配套设施较好。</v>
      </c>
      <c r="D19" s="394">
        <v>100</v>
      </c>
      <c r="E19" s="3157"/>
      <c r="F19" s="394">
        <f>SUMIF(81:81,E20,82:82)-SUMIF(81:81,C20,82:82)+100</f>
        <v>97</v>
      </c>
      <c r="G19" s="3154"/>
      <c r="H19" s="389">
        <f>SUMIF(81:81,G20,82:82)-SUMIF(81:81,C20,82:82)+100</f>
        <v>97</v>
      </c>
      <c r="I19" s="3154"/>
      <c r="J19" s="389">
        <f>SUMIF(81:81,I20,82:82)-SUMIF(81:81,C20,82:82)+100</f>
        <v>97</v>
      </c>
      <c r="K19" s="3166">
        <v>3</v>
      </c>
      <c r="L19" s="2490"/>
      <c r="M19" s="2485"/>
      <c r="N19" s="2485"/>
      <c r="O19" s="2485"/>
      <c r="P19" s="3422"/>
      <c r="Q19" s="1263" t="str">
        <f>B19</f>
        <v>公共配套设施</v>
      </c>
      <c r="R19" s="667" t="s">
        <v>14</v>
      </c>
      <c r="S19" s="668">
        <f>F19</f>
        <v>97</v>
      </c>
      <c r="T19" s="667" t="s">
        <v>14</v>
      </c>
      <c r="U19" s="668">
        <f>H19</f>
        <v>97</v>
      </c>
      <c r="V19" s="667" t="s">
        <v>14</v>
      </c>
      <c r="W19" s="668">
        <f>J19</f>
        <v>97</v>
      </c>
      <c r="X19" s="1265"/>
      <c r="Y19" s="3415"/>
      <c r="Z19" s="1264" t="str">
        <f>Q19</f>
        <v>公共配套设施</v>
      </c>
      <c r="AA19" s="1264">
        <f t="shared" si="3"/>
        <v>1.0309278350515463</v>
      </c>
      <c r="AB19" s="1264">
        <f t="shared" si="4"/>
        <v>1.0309278350515463</v>
      </c>
      <c r="AC19" s="1812">
        <f t="shared" si="5"/>
        <v>1.0309278350515463</v>
      </c>
    </row>
    <row r="20" spans="1:29" ht="15">
      <c r="A20" s="367"/>
      <c r="B20" s="401"/>
      <c r="C20" s="1758" t="s">
        <v>3422</v>
      </c>
      <c r="D20" s="387"/>
      <c r="E20" s="1756" t="s">
        <v>3395</v>
      </c>
      <c r="F20" s="387"/>
      <c r="G20" s="1756" t="s">
        <v>3395</v>
      </c>
      <c r="H20" s="387"/>
      <c r="I20" s="386" t="s">
        <v>3395</v>
      </c>
      <c r="J20" s="387"/>
      <c r="K20" s="541"/>
      <c r="L20" s="2490"/>
      <c r="M20" s="2485"/>
      <c r="N20" s="2485"/>
      <c r="O20" s="2485"/>
      <c r="P20" s="3422"/>
      <c r="Q20" s="1263"/>
      <c r="R20" s="667"/>
      <c r="S20" s="668"/>
      <c r="T20" s="667"/>
      <c r="U20" s="668"/>
      <c r="V20" s="667"/>
      <c r="W20" s="668"/>
      <c r="X20" s="1265"/>
      <c r="Y20" s="341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t="s">
        <v>3408</v>
      </c>
      <c r="D22" s="387"/>
      <c r="E22" s="386" t="s">
        <v>3408</v>
      </c>
      <c r="F22" s="387"/>
      <c r="G22" s="386" t="s">
        <v>3408</v>
      </c>
      <c r="H22" s="387"/>
      <c r="I22" s="386" t="s">
        <v>3408</v>
      </c>
      <c r="J22" s="387"/>
      <c r="K22" s="1064"/>
      <c r="L22" s="2490"/>
      <c r="M22" s="2485"/>
      <c r="N22" s="2485"/>
      <c r="O22" s="2485"/>
      <c r="P22" s="3422"/>
      <c r="Q22" s="1263"/>
      <c r="R22" s="667"/>
      <c r="S22" s="668"/>
      <c r="T22" s="667"/>
      <c r="U22" s="668"/>
      <c r="V22" s="667"/>
      <c r="W22" s="668"/>
      <c r="X22" s="1265"/>
      <c r="Y22" s="3415"/>
      <c r="Z22" s="1264"/>
      <c r="AA22" s="1264">
        <v>1</v>
      </c>
      <c r="AB22" s="1264">
        <v>1</v>
      </c>
      <c r="AC22" s="1812">
        <v>1</v>
      </c>
    </row>
    <row r="23" spans="1:29" ht="41.4">
      <c r="A23" s="367"/>
      <c r="B23" s="556" t="s">
        <v>1814</v>
      </c>
      <c r="C23" s="1813" t="str">
        <f>估价对象房地状况!C9</f>
        <v>区域自然环境：朝曦公园、迎宾公园；人文环境：无；综合评价环境状况一般</v>
      </c>
      <c r="D23" s="389">
        <v>100</v>
      </c>
      <c r="E23" s="3155"/>
      <c r="F23" s="389">
        <f>SUMIF(85:85,E24,86:86)-SUMIF(85:85,C24,86:86)+100</f>
        <v>100</v>
      </c>
      <c r="G23" s="3155"/>
      <c r="H23" s="389">
        <f>SUMIF(85:85,G24,86:86)-SUMIF(85:85,C24,86:86)+100</f>
        <v>100</v>
      </c>
      <c r="I23" s="3155"/>
      <c r="J23" s="389">
        <f>SUMIF(85:85,I24,86:86)-SUMIF(85:85,C24,86:86)+100</f>
        <v>100</v>
      </c>
      <c r="K23" s="540">
        <v>2</v>
      </c>
      <c r="L23" s="2490"/>
      <c r="M23" s="2485"/>
      <c r="N23" s="2485"/>
      <c r="O23" s="2485"/>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t="s">
        <v>3395</v>
      </c>
      <c r="D24" s="387"/>
      <c r="E24" s="1758" t="s">
        <v>3395</v>
      </c>
      <c r="F24" s="387"/>
      <c r="G24" s="1758" t="s">
        <v>3395</v>
      </c>
      <c r="H24" s="387"/>
      <c r="I24" s="1758" t="s">
        <v>3395</v>
      </c>
      <c r="J24" s="387"/>
      <c r="K24" s="541"/>
      <c r="L24" s="2490"/>
      <c r="M24" s="2485"/>
      <c r="N24" s="2485"/>
      <c r="O24" s="2485"/>
      <c r="P24" s="3422"/>
      <c r="Q24" s="1263"/>
      <c r="R24" s="667"/>
      <c r="S24" s="668"/>
      <c r="T24" s="667"/>
      <c r="U24" s="668"/>
      <c r="V24" s="667"/>
      <c r="W24" s="668"/>
      <c r="X24" s="1265"/>
      <c r="Y24" s="3415"/>
      <c r="Z24" s="1264"/>
      <c r="AA24" s="1264">
        <v>1</v>
      </c>
      <c r="AB24" s="1264">
        <v>1</v>
      </c>
      <c r="AC24" s="1812">
        <v>1</v>
      </c>
    </row>
    <row r="25" spans="1:29" ht="28.8">
      <c r="A25" s="348"/>
      <c r="B25" s="556" t="s">
        <v>1815</v>
      </c>
      <c r="C25" s="3149"/>
      <c r="D25" s="374">
        <v>100</v>
      </c>
      <c r="E25" s="373"/>
      <c r="F25" s="374">
        <f>SUMIF(87:87,E26,88:88)-SUMIF(87:87,C26,88:88)+100</f>
        <v>100</v>
      </c>
      <c r="G25" s="1762"/>
      <c r="H25" s="374">
        <f>SUMIF(87:87,G26,88:88)-SUMIF(87:87,C26,88:88)+100</f>
        <v>100</v>
      </c>
      <c r="I25" s="3153"/>
      <c r="J25" s="374">
        <f>SUMIF(87:87,I26,88:88)-SUMIF(87:87,C26,88:88)+100</f>
        <v>100</v>
      </c>
      <c r="K25" s="540">
        <v>2</v>
      </c>
      <c r="L25" s="2490"/>
      <c r="M25" s="2485"/>
      <c r="N25" s="2485"/>
      <c r="O25" s="2485"/>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t="s">
        <v>3519</v>
      </c>
      <c r="D26" s="374"/>
      <c r="E26" s="558" t="s">
        <v>3519</v>
      </c>
      <c r="F26" s="374"/>
      <c r="G26" s="558" t="s">
        <v>3519</v>
      </c>
      <c r="H26" s="374"/>
      <c r="I26" s="558" t="s">
        <v>3519</v>
      </c>
      <c r="J26" s="374"/>
      <c r="K26" s="541"/>
      <c r="L26" s="2490"/>
      <c r="M26" s="2485"/>
      <c r="N26" s="2485"/>
      <c r="O26" s="2485"/>
      <c r="P26" s="3422"/>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1515.5000000000002</v>
      </c>
      <c r="D34" s="119">
        <v>100</v>
      </c>
      <c r="E34" s="369">
        <v>700</v>
      </c>
      <c r="F34" s="364">
        <f>LOOKUP(E34,104:104,105:105)-LOOKUP(C34,104:104,105:105)+100</f>
        <v>103</v>
      </c>
      <c r="G34" s="368">
        <v>650</v>
      </c>
      <c r="H34" s="119">
        <f>LOOKUP(G34,104:104,105:105)-LOOKUP(C34,104:104,105:105)+100</f>
        <v>103</v>
      </c>
      <c r="I34" s="368">
        <v>150</v>
      </c>
      <c r="J34" s="119">
        <f>LOOKUP(I34,104:104,105:105)-LOOKUP(C34,104:104,105:105)+100</f>
        <v>105</v>
      </c>
      <c r="K34" s="539"/>
      <c r="L34" s="2489"/>
      <c r="M34" s="3158"/>
      <c r="N34" s="2491"/>
      <c r="O34" s="2491"/>
      <c r="P34" s="3417"/>
      <c r="Q34" s="531" t="str">
        <f t="shared" si="11"/>
        <v>项目建筑规模</v>
      </c>
      <c r="R34" s="669" t="s">
        <v>14</v>
      </c>
      <c r="S34" s="670">
        <f t="shared" si="12"/>
        <v>103</v>
      </c>
      <c r="T34" s="669" t="s">
        <v>14</v>
      </c>
      <c r="U34" s="670">
        <f t="shared" si="13"/>
        <v>103</v>
      </c>
      <c r="V34" s="669" t="s">
        <v>14</v>
      </c>
      <c r="W34" s="670">
        <f t="shared" si="14"/>
        <v>105</v>
      </c>
      <c r="X34" s="671"/>
      <c r="Y34" s="3419"/>
      <c r="Z34" s="672" t="str">
        <f t="shared" si="15"/>
        <v>项目建筑规模</v>
      </c>
      <c r="AA34" s="1264">
        <f t="shared" si="3"/>
        <v>0.970873786407767</v>
      </c>
      <c r="AB34" s="1264">
        <f t="shared" si="4"/>
        <v>0.970873786407767</v>
      </c>
      <c r="AC34" s="1812">
        <f t="shared" si="5"/>
        <v>0.95238095238095233</v>
      </c>
    </row>
    <row r="35" spans="1:29" ht="15">
      <c r="A35" s="409"/>
      <c r="B35" s="364" t="s">
        <v>1698</v>
      </c>
      <c r="C35" s="399" t="s">
        <v>3423</v>
      </c>
      <c r="D35" s="374">
        <v>100</v>
      </c>
      <c r="E35" s="399" t="s">
        <v>3423</v>
      </c>
      <c r="F35" s="400">
        <f>SUMIF(106:106,E35,107:107)-SUMIF(106:106,C35,107:107)+100</f>
        <v>100</v>
      </c>
      <c r="G35" s="399" t="s">
        <v>3423</v>
      </c>
      <c r="H35" s="374">
        <f>SUMIF(106:106,G35,107:107)-SUMIF(106:106,C35,107:107)+100</f>
        <v>100</v>
      </c>
      <c r="I35" s="399" t="s">
        <v>3423</v>
      </c>
      <c r="J35" s="374">
        <f>SUMIF(106:106,I35,107:107)-SUMIF(106:106,C35,107:107)+100</f>
        <v>100</v>
      </c>
      <c r="K35" s="538">
        <v>3</v>
      </c>
      <c r="L35" s="2490"/>
      <c r="M35" s="3159"/>
      <c r="N35" s="2485"/>
      <c r="O35" s="2485"/>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v>0.6</v>
      </c>
      <c r="D37" s="374">
        <v>100</v>
      </c>
      <c r="E37" s="411">
        <v>0.7</v>
      </c>
      <c r="F37" s="400">
        <f>LOOKUP(E37,111:111,112:112)-LOOKUP(C37,111:111,112:112)+100</f>
        <v>102</v>
      </c>
      <c r="G37" s="411">
        <v>0.7</v>
      </c>
      <c r="H37" s="400">
        <f>LOOKUP(G37,111:111,112:112)-LOOKUP(C37,111:111,112:112)+100</f>
        <v>102</v>
      </c>
      <c r="I37" s="411">
        <v>0.7</v>
      </c>
      <c r="J37" s="374">
        <f>LOOKUP(I37,111:111,112:112)-LOOKUP(C37,111:111,112:112)+100</f>
        <v>102</v>
      </c>
      <c r="K37" s="538">
        <v>2</v>
      </c>
      <c r="L37" s="2490"/>
      <c r="M37" s="2485"/>
      <c r="N37" s="2485"/>
      <c r="O37" s="2485"/>
      <c r="P37" s="3417"/>
      <c r="Q37" s="1263" t="str">
        <f t="shared" si="11"/>
        <v>成新度</v>
      </c>
      <c r="R37" s="667" t="s">
        <v>14</v>
      </c>
      <c r="S37" s="668">
        <f t="shared" si="12"/>
        <v>102</v>
      </c>
      <c r="T37" s="667" t="s">
        <v>14</v>
      </c>
      <c r="U37" s="668">
        <f t="shared" si="13"/>
        <v>102</v>
      </c>
      <c r="V37" s="667" t="s">
        <v>14</v>
      </c>
      <c r="W37" s="668">
        <f t="shared" si="14"/>
        <v>102</v>
      </c>
      <c r="X37" s="1265"/>
      <c r="Y37" s="3419"/>
      <c r="Z37" s="1264" t="str">
        <f t="shared" si="15"/>
        <v>成新度</v>
      </c>
      <c r="AA37" s="1264">
        <f t="shared" si="3"/>
        <v>0.98039215686274506</v>
      </c>
      <c r="AB37" s="1264">
        <f t="shared" si="4"/>
        <v>0.98039215686274506</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t="s">
        <v>3407</v>
      </c>
      <c r="D39" s="374">
        <v>100</v>
      </c>
      <c r="E39" s="399" t="s">
        <v>3407</v>
      </c>
      <c r="F39" s="400">
        <f>SUMIF(115:115,E39,116:116)-SUMIF(115:115,C39,116:116)+100</f>
        <v>100</v>
      </c>
      <c r="G39" s="399" t="s">
        <v>3407</v>
      </c>
      <c r="H39" s="374">
        <f>SUMIF(115:115,G39,116:116)-SUMIF(115:115,C39,116:116)+100</f>
        <v>100</v>
      </c>
      <c r="I39" s="399" t="s">
        <v>3407</v>
      </c>
      <c r="J39" s="374">
        <f>SUMIF(115:115,I39,116:116)-SUMIF(115:115,C39,116:116)+100</f>
        <v>100</v>
      </c>
      <c r="K39" s="3162">
        <v>2</v>
      </c>
      <c r="L39" s="2490"/>
      <c r="M39" s="2485"/>
      <c r="N39" s="2485"/>
      <c r="O39" s="2485"/>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c r="A40" s="409"/>
      <c r="B40" s="364" t="s">
        <v>1787</v>
      </c>
      <c r="C40" s="399" t="s">
        <v>3410</v>
      </c>
      <c r="D40" s="374">
        <v>100</v>
      </c>
      <c r="E40" s="399" t="s">
        <v>3410</v>
      </c>
      <c r="F40" s="400">
        <f>SUMIF(117:117,E40,118:118)-SUMIF(117:117,C40,118:118)+100</f>
        <v>100</v>
      </c>
      <c r="G40" s="399" t="s">
        <v>3410</v>
      </c>
      <c r="H40" s="374">
        <f>SUMIF(117:117,G40,118:118)-SUMIF(117:117,C40,118:118)+100</f>
        <v>100</v>
      </c>
      <c r="I40" s="399" t="s">
        <v>3410</v>
      </c>
      <c r="J40" s="374">
        <f>SUMIF(117:117,I40,118:118)-SUMIF(117:117,C40,118:118)+100</f>
        <v>100</v>
      </c>
      <c r="K40" s="538">
        <v>1</v>
      </c>
      <c r="L40" s="2490"/>
      <c r="M40" s="2485"/>
      <c r="N40" s="2485"/>
      <c r="O40" s="2485"/>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542" t="s">
        <v>3416</v>
      </c>
      <c r="D41" s="374">
        <v>100</v>
      </c>
      <c r="E41" s="542" t="s">
        <v>3416</v>
      </c>
      <c r="F41" s="400">
        <f>SUMIF(119:119,E41,120:120)-SUMIF(119:119,C41,120:120)+100</f>
        <v>100</v>
      </c>
      <c r="G41" s="542" t="s">
        <v>3416</v>
      </c>
      <c r="H41" s="374">
        <f>SUMIF(119:119,G41,120:120)-SUMIF(119:119,C41,120:120)+100</f>
        <v>100</v>
      </c>
      <c r="I41" s="542" t="s">
        <v>3416</v>
      </c>
      <c r="J41" s="374">
        <f>SUMIF(119:119,I41,120:120)-SUMIF(119:119,C41,120:120)+100</f>
        <v>100</v>
      </c>
      <c r="K41" s="538">
        <v>2</v>
      </c>
      <c r="L41" s="2490"/>
      <c r="M41" s="2485"/>
      <c r="N41" s="2485"/>
      <c r="O41" s="2485"/>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99" t="s">
        <v>3425</v>
      </c>
      <c r="D43" s="374">
        <v>100</v>
      </c>
      <c r="E43" s="399" t="s">
        <v>3424</v>
      </c>
      <c r="F43" s="400">
        <f>SUMIF(123:123,E43,124:124)-SUMIF(123:123,C43,124:124)+100</f>
        <v>102</v>
      </c>
      <c r="G43" s="399" t="s">
        <v>3424</v>
      </c>
      <c r="H43" s="374">
        <f>SUMIF(123:123,G43,124:124)-SUMIF(123:123,C43,124:124)+100</f>
        <v>102</v>
      </c>
      <c r="I43" s="399" t="s">
        <v>3424</v>
      </c>
      <c r="J43" s="374">
        <f>SUMIF(123:123,I43,124:124)-SUMIF(123:123,C43,124:124)+100</f>
        <v>102</v>
      </c>
      <c r="K43" s="538">
        <v>2</v>
      </c>
      <c r="L43" s="2490"/>
      <c r="M43" s="2485"/>
      <c r="N43" s="2485"/>
      <c r="O43" s="2485"/>
      <c r="P43" s="3417"/>
      <c r="Q43" s="1263" t="str">
        <f t="shared" si="11"/>
        <v>内部装修</v>
      </c>
      <c r="R43" s="667" t="s">
        <v>14</v>
      </c>
      <c r="S43" s="668">
        <f t="shared" si="12"/>
        <v>102</v>
      </c>
      <c r="T43" s="667" t="s">
        <v>14</v>
      </c>
      <c r="U43" s="668">
        <f t="shared" si="13"/>
        <v>102</v>
      </c>
      <c r="V43" s="667" t="s">
        <v>14</v>
      </c>
      <c r="W43" s="668">
        <f t="shared" si="14"/>
        <v>102</v>
      </c>
      <c r="X43" s="1265"/>
      <c r="Y43" s="3419"/>
      <c r="Z43" s="1264" t="str">
        <f t="shared" si="15"/>
        <v>内部装修</v>
      </c>
      <c r="AA43" s="1264">
        <f t="shared" si="3"/>
        <v>0.98039215686274506</v>
      </c>
      <c r="AB43" s="1264">
        <f t="shared" si="4"/>
        <v>0.98039215686274506</v>
      </c>
      <c r="AC43" s="1812">
        <f t="shared" si="5"/>
        <v>0.98039215686274506</v>
      </c>
    </row>
    <row r="44" spans="1:29" ht="29.4" thickBot="1">
      <c r="A44" s="409"/>
      <c r="B44" s="364" t="s">
        <v>1707</v>
      </c>
      <c r="C44" s="399" t="s">
        <v>3395</v>
      </c>
      <c r="D44" s="374">
        <v>100</v>
      </c>
      <c r="E44" s="399" t="s">
        <v>3422</v>
      </c>
      <c r="F44" s="400">
        <f>SUMIF(125:125,E44,126:126)-SUMIF(125:125,C44,126:126)+100</f>
        <v>102</v>
      </c>
      <c r="G44" s="399" t="s">
        <v>3422</v>
      </c>
      <c r="H44" s="374">
        <f>SUMIF(125:125,G44,126:126)-SUMIF(125:125,C44,126:126)+100</f>
        <v>102</v>
      </c>
      <c r="I44" s="399" t="s">
        <v>3422</v>
      </c>
      <c r="J44" s="374">
        <f>SUMIF(125:125,I44,126:126)-SUMIF(125:125,C44,126:126)+100</f>
        <v>102</v>
      </c>
      <c r="K44" s="538">
        <v>2</v>
      </c>
      <c r="L44" s="2490"/>
      <c r="M44" s="2485"/>
      <c r="N44" s="2485"/>
      <c r="O44" s="2485"/>
      <c r="P44" s="3417"/>
      <c r="Q44" s="1263" t="str">
        <f t="shared" si="11"/>
        <v>内部装修维护情况</v>
      </c>
      <c r="R44" s="667" t="s">
        <v>14</v>
      </c>
      <c r="S44" s="668">
        <f t="shared" si="12"/>
        <v>102</v>
      </c>
      <c r="T44" s="667" t="s">
        <v>14</v>
      </c>
      <c r="U44" s="668">
        <f t="shared" si="13"/>
        <v>102</v>
      </c>
      <c r="V44" s="667" t="s">
        <v>14</v>
      </c>
      <c r="W44" s="668">
        <f t="shared" si="14"/>
        <v>102</v>
      </c>
      <c r="X44" s="1265"/>
      <c r="Y44" s="3419"/>
      <c r="Z44" s="1264" t="str">
        <f t="shared" si="15"/>
        <v>内部装修维护情况</v>
      </c>
      <c r="AA44" s="1264">
        <f t="shared" si="3"/>
        <v>0.98039215686274506</v>
      </c>
      <c r="AB44" s="1264">
        <f t="shared" si="4"/>
        <v>0.98039215686274506</v>
      </c>
      <c r="AC44" s="1812">
        <f t="shared" si="5"/>
        <v>0.98039215686274506</v>
      </c>
    </row>
    <row r="45" spans="1:29" s="102" customFormat="1" ht="15.6" thickTop="1">
      <c r="A45" s="410"/>
      <c r="B45" s="3163" t="s">
        <v>3524</v>
      </c>
      <c r="C45" s="3146" t="s">
        <v>3434</v>
      </c>
      <c r="D45" s="119">
        <v>100</v>
      </c>
      <c r="E45" s="3146" t="s">
        <v>3435</v>
      </c>
      <c r="F45" s="364">
        <f>SUMIF(127:127,E45,128:128)-SUMIF(127:127,C45,128:128)+100</f>
        <v>108</v>
      </c>
      <c r="G45" s="3146" t="s">
        <v>3435</v>
      </c>
      <c r="H45" s="119">
        <f>SUMIF(127:127,G45,128:128)-SUMIF(127:127,C45,128:128)+100</f>
        <v>108</v>
      </c>
      <c r="I45" s="3165" t="s">
        <v>3525</v>
      </c>
      <c r="J45" s="119">
        <f>SUMIF(127:127,I45,128:128)-SUMIF(127:127,C45,128:128)+100</f>
        <v>96</v>
      </c>
      <c r="K45" s="539"/>
      <c r="L45" s="2486"/>
      <c r="M45" s="2438"/>
      <c r="N45" s="2438"/>
      <c r="O45" s="2438"/>
      <c r="P45" s="3417"/>
      <c r="Q45" s="530" t="str">
        <f t="shared" si="11"/>
        <v>带院子</v>
      </c>
      <c r="R45" s="664" t="s">
        <v>14</v>
      </c>
      <c r="S45" s="665">
        <f t="shared" si="12"/>
        <v>108</v>
      </c>
      <c r="T45" s="664" t="s">
        <v>14</v>
      </c>
      <c r="U45" s="665">
        <f t="shared" si="13"/>
        <v>108</v>
      </c>
      <c r="V45" s="664" t="s">
        <v>14</v>
      </c>
      <c r="W45" s="665">
        <f t="shared" si="14"/>
        <v>96</v>
      </c>
      <c r="X45" s="666"/>
      <c r="Y45" s="3419"/>
      <c r="Z45" s="50" t="str">
        <f t="shared" si="15"/>
        <v>带院子</v>
      </c>
      <c r="AA45" s="50">
        <f t="shared" si="3"/>
        <v>0.92592592592592593</v>
      </c>
      <c r="AB45" s="50">
        <f t="shared" si="4"/>
        <v>0.92592592592592593</v>
      </c>
      <c r="AC45" s="802">
        <f t="shared" si="5"/>
        <v>1.0416666666666667</v>
      </c>
    </row>
    <row r="46" spans="1:29" ht="15">
      <c r="A46" s="409"/>
      <c r="B46" s="3163"/>
      <c r="C46" s="3153"/>
      <c r="D46" s="374">
        <v>100</v>
      </c>
      <c r="E46" s="3165"/>
      <c r="F46" s="400">
        <f>SUMIF(129:129,E46,130:130)-SUMIF(129:129,C46,130:130)+100</f>
        <v>100</v>
      </c>
      <c r="G46" s="3165"/>
      <c r="H46" s="374">
        <f>SUMIF(129:129,G46,130:130)-SUMIF(129:129,C46,130:130)+100</f>
        <v>100</v>
      </c>
      <c r="I46" s="3165"/>
      <c r="J46" s="374">
        <f>SUMIF(129:129,I46,130:130)-SUMIF(129:129,C46,130:130)+100</f>
        <v>100</v>
      </c>
      <c r="K46" s="539"/>
      <c r="L46" s="2490"/>
      <c r="M46" s="2485"/>
      <c r="N46" s="2485"/>
      <c r="O46" s="2485"/>
      <c r="P46" s="3417"/>
      <c r="Q46" s="1263">
        <f t="shared" si="11"/>
        <v>0</v>
      </c>
      <c r="R46" s="667" t="s">
        <v>14</v>
      </c>
      <c r="S46" s="668">
        <f t="shared" si="12"/>
        <v>100</v>
      </c>
      <c r="T46" s="667" t="s">
        <v>14</v>
      </c>
      <c r="U46" s="668">
        <f t="shared" si="13"/>
        <v>100</v>
      </c>
      <c r="V46" s="667" t="s">
        <v>14</v>
      </c>
      <c r="W46" s="668">
        <f t="shared" si="14"/>
        <v>100</v>
      </c>
      <c r="X46" s="1265"/>
      <c r="Y46" s="3419"/>
      <c r="Z46" s="1264">
        <f t="shared" si="15"/>
        <v>0</v>
      </c>
      <c r="AA46" s="1264">
        <f t="shared" si="3"/>
        <v>1</v>
      </c>
      <c r="AB46" s="1264">
        <f t="shared" si="4"/>
        <v>1</v>
      </c>
      <c r="AC46" s="1812">
        <f t="shared" si="5"/>
        <v>1</v>
      </c>
    </row>
    <row r="47" spans="1:29" ht="15.6" thickBot="1">
      <c r="A47" s="415"/>
      <c r="B47" s="1749"/>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v>0.1</v>
      </c>
      <c r="M47" s="2485"/>
      <c r="N47" s="2485"/>
      <c r="O47" s="2485"/>
      <c r="P47" s="3418"/>
      <c r="Q47" s="1263">
        <f t="shared" si="11"/>
        <v>0</v>
      </c>
      <c r="R47" s="667" t="s">
        <v>14</v>
      </c>
      <c r="S47" s="668">
        <f t="shared" si="12"/>
        <v>100</v>
      </c>
      <c r="T47" s="667" t="s">
        <v>14</v>
      </c>
      <c r="U47" s="668">
        <f t="shared" si="13"/>
        <v>100</v>
      </c>
      <c r="V47" s="667" t="s">
        <v>14</v>
      </c>
      <c r="W47" s="668">
        <f t="shared" si="14"/>
        <v>100</v>
      </c>
      <c r="X47" s="1265"/>
      <c r="Y47" s="3420"/>
      <c r="Z47" s="1264">
        <f t="shared" si="15"/>
        <v>0</v>
      </c>
      <c r="AA47" s="1264">
        <f t="shared" si="3"/>
        <v>1</v>
      </c>
      <c r="AB47" s="1264">
        <f t="shared" si="4"/>
        <v>1</v>
      </c>
      <c r="AC47" s="1812">
        <f t="shared" si="5"/>
        <v>1</v>
      </c>
    </row>
    <row r="48" spans="1:29" ht="14.4">
      <c r="A48" s="416" t="s">
        <v>1708</v>
      </c>
      <c r="B48" s="417"/>
      <c r="C48" s="1081" t="s">
        <v>0</v>
      </c>
      <c r="D48" s="418"/>
      <c r="E48" s="419">
        <v>0.78</v>
      </c>
      <c r="F48" s="420"/>
      <c r="G48" s="419">
        <v>0.8</v>
      </c>
      <c r="H48" s="422"/>
      <c r="I48" s="419">
        <v>0.64</v>
      </c>
      <c r="J48" s="422"/>
      <c r="K48" s="674"/>
      <c r="L48" s="2492"/>
      <c r="M48" s="2485"/>
      <c r="N48" s="2485"/>
      <c r="O48" s="2485"/>
      <c r="P48" s="3423" t="str">
        <f>A48</f>
        <v>成交单价（元/平方米）</v>
      </c>
      <c r="Q48" s="3412"/>
      <c r="R48" s="3413">
        <f>E48</f>
        <v>0.78</v>
      </c>
      <c r="S48" s="3413"/>
      <c r="T48" s="3413">
        <f>G48</f>
        <v>0.8</v>
      </c>
      <c r="U48" s="3413"/>
      <c r="V48" s="3413">
        <f>I48</f>
        <v>0.64</v>
      </c>
      <c r="W48" s="3413"/>
      <c r="X48" s="385"/>
      <c r="Y48" s="673"/>
      <c r="Z48" s="385"/>
      <c r="AA48" s="385"/>
      <c r="AB48" s="385"/>
      <c r="AC48" s="555"/>
    </row>
    <row r="49" spans="1:29" ht="15" thickBot="1">
      <c r="A49" s="423" t="s">
        <v>1793</v>
      </c>
      <c r="B49" s="424"/>
      <c r="C49" s="3189">
        <f>R50</f>
        <v>0.67</v>
      </c>
      <c r="D49" s="2141" t="s">
        <v>2138</v>
      </c>
      <c r="E49" s="1083">
        <f>R49</f>
        <v>0.68</v>
      </c>
      <c r="F49" s="2142"/>
      <c r="G49" s="1082">
        <f>T49</f>
        <v>0.71</v>
      </c>
      <c r="H49" s="2142"/>
      <c r="I49" s="1083">
        <f>V49</f>
        <v>0.63</v>
      </c>
      <c r="J49" s="2142"/>
      <c r="K49" s="2144">
        <f>F49+H49+J49</f>
        <v>0</v>
      </c>
      <c r="L49" s="3196" t="s">
        <v>3520</v>
      </c>
      <c r="M49" s="3159" t="s">
        <v>3521</v>
      </c>
      <c r="N49" s="2485"/>
      <c r="O49" s="2485"/>
      <c r="P49" s="3423" t="str">
        <f>A49</f>
        <v>比较价值（元/平方米）</v>
      </c>
      <c r="Q49" s="3412"/>
      <c r="R49" s="3413">
        <f>IF(F1="售价",ROUND(PRODUCT(R48,AA7:AA47),0),ROUND(PRODUCT(R48,AA7:AA47),2))</f>
        <v>0.68</v>
      </c>
      <c r="S49" s="3413"/>
      <c r="T49" s="3413">
        <f>IF(F1="售价",ROUND(PRODUCT(T48,AB7:AB47),0),ROUND(PRODUCT(T48,AB7:AB47),2))</f>
        <v>0.71</v>
      </c>
      <c r="U49" s="3413"/>
      <c r="V49" s="3413">
        <f>IF(F1="售价",ROUND(PRODUCT(V48,AC7:AC47),0),ROUND(PRODUCT(V48,AC7:AC47),2))</f>
        <v>0.63</v>
      </c>
      <c r="W49" s="3413"/>
      <c r="X49" s="385"/>
      <c r="Y49" s="385"/>
      <c r="Z49" s="385"/>
      <c r="AA49" s="385"/>
      <c r="AB49" s="385"/>
      <c r="AC49" s="555"/>
    </row>
    <row r="50" spans="1:29" ht="15" thickBot="1">
      <c r="A50" s="427" t="s">
        <v>1794</v>
      </c>
      <c r="B50" s="428"/>
      <c r="C50" s="3190">
        <f>R50</f>
        <v>0.67</v>
      </c>
      <c r="D50" s="351"/>
      <c r="E50" s="351"/>
      <c r="F50" s="351"/>
      <c r="G50" s="351"/>
      <c r="H50" s="351"/>
      <c r="I50" s="351"/>
      <c r="J50" s="429"/>
      <c r="K50" s="675"/>
      <c r="L50" s="3197">
        <f>ROUND(C50*(1-L47),2)</f>
        <v>0.6</v>
      </c>
      <c r="M50" s="3197">
        <f>ROUND(C50*(1+L47),2)</f>
        <v>0.74</v>
      </c>
      <c r="N50" s="2485"/>
      <c r="O50" s="2485"/>
      <c r="P50" s="3459" t="str">
        <f>A50</f>
        <v>估价对象XX用房的比较价值（楼面单价，元/平方米）</v>
      </c>
      <c r="Q50" s="3460"/>
      <c r="R50" s="3461">
        <f>IF(F1="售价",ROUND(IF(D49="简单平均",AVERAGE(R49:V49),R49*F49+T49*H49+V49*J49),0),ROUND(IF(D49="简单平均",AVERAGE(R49:V49),R49*F49+T49*H49+V49*J49),2))</f>
        <v>0.67</v>
      </c>
      <c r="S50" s="3461"/>
      <c r="T50" s="3461"/>
      <c r="U50" s="3461"/>
      <c r="V50" s="3461"/>
      <c r="W50" s="3461"/>
      <c r="X50" s="1798"/>
      <c r="Y50" s="1798"/>
      <c r="Z50" s="1798"/>
      <c r="AA50" s="1798"/>
      <c r="AB50" s="1798"/>
      <c r="AC50" s="1799"/>
    </row>
    <row r="51" spans="1:29" ht="14.4">
      <c r="A51" s="2485"/>
      <c r="B51" s="2485"/>
      <c r="C51" s="3159" t="s">
        <v>3443</v>
      </c>
      <c r="D51" s="3169">
        <f>ROUND(C50*C34*365,0)</f>
        <v>370616</v>
      </c>
      <c r="E51" s="2485"/>
      <c r="F51" s="3159" t="s">
        <v>3444</v>
      </c>
      <c r="G51" s="3170">
        <f>C50*H51</f>
        <v>0.60300000000000009</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f>C49*H52</f>
        <v>0.7370000000000001</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0.14705882352941169</v>
      </c>
      <c r="F53" s="435" t="str">
        <f>IF(OR(E53&gt;=0.3,E53&lt;=-0.3),"超过30%","")</f>
        <v/>
      </c>
      <c r="G53" s="434">
        <f>IF(G48&lt;G49,G49/G48-1,G48/G49-1)</f>
        <v>0.12676056338028174</v>
      </c>
      <c r="H53" s="435" t="str">
        <f>IF(OR(G53&gt;=0.3,G53&lt;=-0.3),"超过30%","")</f>
        <v/>
      </c>
      <c r="I53" s="434">
        <f>IF(I48&lt;I49,I49/I48-1,I48/I49-1)</f>
        <v>1.5873015873015817E-2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4.4117647058823373E-2</v>
      </c>
      <c r="F54" s="435" t="str">
        <f>IF(OR(E54&gt;=0.2,E54&lt;=-0.2),"超过20%","")</f>
        <v/>
      </c>
      <c r="G54" s="434">
        <f>IF(G49&lt;I49,I49/G49-1,G49/I49-1)</f>
        <v>0.12698412698412698</v>
      </c>
      <c r="H54" s="435" t="str">
        <f>IF(OR(G54&gt;=0.2,G54&lt;=-0.2),"超过20%","")</f>
        <v/>
      </c>
      <c r="I54" s="434">
        <f>IF(I49&lt;E49,E49/I49-1,I49/E49-1)</f>
        <v>7.9365079365079527E-2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2.5641025641025772E-2</v>
      </c>
      <c r="F55" s="435" t="str">
        <f>IF(OR(E55&gt;=0.3,E55&lt;=-0.3),"超过30%","")</f>
        <v/>
      </c>
      <c r="G55" s="434">
        <f>IF(G48&lt;I48,I48/G48-1,G48/I48-1)</f>
        <v>0.25</v>
      </c>
      <c r="H55" s="435" t="str">
        <f>IF(OR(G55&gt;=0.3,G55&lt;=-0.3),"超过30%","")</f>
        <v/>
      </c>
      <c r="I55" s="434">
        <f>IF(I48&lt;E48,E48/I48-1,I48/E48-1)</f>
        <v>0.21875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44" t="s">
        <v>3393</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103</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3147"/>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97</v>
      </c>
      <c r="E82" s="475">
        <f>D82-$K19</f>
        <v>94</v>
      </c>
      <c r="F82" s="475">
        <f>E82-$K19</f>
        <v>91</v>
      </c>
      <c r="G82" s="475">
        <f>F82-$K19</f>
        <v>88</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46" t="s">
        <v>3396</v>
      </c>
      <c r="D87" s="3146" t="s">
        <v>3397</v>
      </c>
      <c r="E87" s="3146" t="s">
        <v>3398</v>
      </c>
      <c r="F87" s="3146" t="s">
        <v>3399</v>
      </c>
      <c r="G87" s="3146" t="s">
        <v>3400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46" t="s">
        <v>3401</v>
      </c>
      <c r="D89" s="3146" t="s">
        <v>3402</v>
      </c>
      <c r="E89" s="3146" t="s">
        <v>3403</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47" t="s">
        <v>3433</v>
      </c>
      <c r="D101" s="3147" t="s">
        <v>3429</v>
      </c>
      <c r="E101" s="462" t="s">
        <v>3428</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0(含)-300</v>
      </c>
      <c r="D103" s="509" t="str">
        <f t="shared" ref="D103:L103" si="23">D104&amp;"(含)"&amp;"-"&amp;E104</f>
        <v>300(含)-600</v>
      </c>
      <c r="E103" s="509" t="str">
        <f t="shared" si="23"/>
        <v>600(含)-900</v>
      </c>
      <c r="F103" s="509" t="str">
        <f t="shared" si="23"/>
        <v>900(含)-1200</v>
      </c>
      <c r="G103" s="509" t="str">
        <f t="shared" si="23"/>
        <v>1200(含)-1500</v>
      </c>
      <c r="H103" s="509" t="str">
        <f t="shared" si="23"/>
        <v>1500(含)-2000</v>
      </c>
      <c r="I103" s="509" t="str">
        <f t="shared" si="23"/>
        <v>2000(含)-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300</v>
      </c>
      <c r="E104" s="6">
        <v>600</v>
      </c>
      <c r="F104" s="6">
        <v>900</v>
      </c>
      <c r="G104" s="6">
        <v>1200</v>
      </c>
      <c r="H104" s="6">
        <v>1500</v>
      </c>
      <c r="I104" s="6">
        <v>2000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I105" si="24">D105-1</f>
        <v>98</v>
      </c>
      <c r="F105" s="467">
        <f t="shared" si="24"/>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6" t="s">
        <v>3404</v>
      </c>
      <c r="D106" s="3146" t="s">
        <v>3405</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97</v>
      </c>
      <c r="E107" s="475">
        <f t="shared" si="25"/>
        <v>94</v>
      </c>
      <c r="F107" s="475">
        <f t="shared" si="25"/>
        <v>91</v>
      </c>
      <c r="G107" s="475">
        <f t="shared" si="25"/>
        <v>88</v>
      </c>
      <c r="H107" s="475">
        <f t="shared" si="25"/>
        <v>85</v>
      </c>
      <c r="I107" s="475">
        <f t="shared" si="25"/>
        <v>82</v>
      </c>
      <c r="J107" s="475">
        <f t="shared" si="25"/>
        <v>79</v>
      </c>
      <c r="K107" s="475">
        <f t="shared" si="25"/>
        <v>76</v>
      </c>
      <c r="L107" s="475">
        <f t="shared" si="25"/>
        <v>73</v>
      </c>
      <c r="M107" s="476">
        <f t="shared" si="25"/>
        <v>70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6"/>
      <c r="D108" s="3146"/>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6" t="s">
        <v>3426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6" t="s">
        <v>3406</v>
      </c>
      <c r="D115" s="3146" t="s">
        <v>3430</v>
      </c>
      <c r="E115" s="3148" t="s">
        <v>3431</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6" t="s">
        <v>3409</v>
      </c>
      <c r="D117" s="3146" t="s">
        <v>3411</v>
      </c>
      <c r="E117" s="3146" t="s">
        <v>3412</v>
      </c>
      <c r="F117" s="3146" t="s">
        <v>3413</v>
      </c>
      <c r="G117" s="3146" t="s">
        <v>3414</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8" t="s">
        <v>3415</v>
      </c>
      <c r="D119" s="3148" t="s">
        <v>3417</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29.4" thickTop="1">
      <c r="A123" s="409"/>
      <c r="B123" s="469" t="s">
        <v>1744</v>
      </c>
      <c r="C123" s="3146" t="s">
        <v>3418</v>
      </c>
      <c r="D123" s="3146" t="s">
        <v>3419</v>
      </c>
      <c r="E123" s="3146" t="s">
        <v>3420</v>
      </c>
      <c r="F123" s="3148" t="s">
        <v>3421</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带院子</v>
      </c>
      <c r="C127" s="3146" t="s">
        <v>3435</v>
      </c>
      <c r="D127" s="3146" t="s">
        <v>3434</v>
      </c>
      <c r="E127" s="3146" t="s">
        <v>3427</v>
      </c>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91">
        <v>92</v>
      </c>
      <c r="E128" s="491">
        <v>88</v>
      </c>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0</v>
      </c>
      <c r="C129" s="3146"/>
      <c r="D129" s="3146"/>
      <c r="E129" s="3146"/>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0</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I35 G35 E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C18 I18 G18" xr:uid="{00000000-0002-0000-1C00-000002000000}">
      <formula1>交通便捷度</formula1>
    </dataValidation>
    <dataValidation type="list" allowBlank="1" showInputMessage="1" showErrorMessage="1" sqref="E20 C20 G20" xr:uid="{00000000-0002-0000-1C00-000003000000}">
      <formula1>公共配套设施</formula1>
    </dataValidation>
    <dataValidation type="list" allowBlank="1" showInputMessage="1" showErrorMessage="1" sqref="C44 G44 E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I20"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G39 I39 E39" xr:uid="{00000000-0002-0000-1C00-00000E000000}">
      <formula1>办公物业管理</formula1>
    </dataValidation>
    <dataValidation type="list" allowBlank="1" showInputMessage="1" showErrorMessage="1" sqref="C40 G40 E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G43 E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A4E13-7DB5-4980-BF3E-C55605C70F2D}">
  <dimension ref="A1"/>
  <sheetViews>
    <sheetView topLeftCell="A97" zoomScale="55" zoomScaleNormal="55" workbookViewId="0">
      <selection activeCell="AF100" sqref="AF100"/>
    </sheetView>
  </sheetViews>
  <sheetFormatPr defaultRowHeight="14.4"/>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1515.5000000000002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7" t="s">
        <v>1770</v>
      </c>
      <c r="D4" s="3428"/>
      <c r="E4" s="3429" t="s">
        <v>1771</v>
      </c>
      <c r="F4" s="3430"/>
      <c r="G4" s="3427" t="s">
        <v>1772</v>
      </c>
      <c r="H4" s="3428"/>
      <c r="I4" s="3427" t="s">
        <v>1773</v>
      </c>
      <c r="J4" s="3428"/>
      <c r="K4" s="537" t="s">
        <v>1774</v>
      </c>
      <c r="L4" s="860"/>
      <c r="M4" s="861"/>
      <c r="N4" s="861"/>
      <c r="O4" s="861"/>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c r="A5" s="348"/>
      <c r="B5" s="349"/>
      <c r="C5" s="3445" t="s">
        <v>1673</v>
      </c>
      <c r="D5" s="3446"/>
      <c r="E5" s="3452" t="s">
        <v>1674</v>
      </c>
      <c r="F5" s="3453"/>
      <c r="G5" s="3445" t="s">
        <v>1675</v>
      </c>
      <c r="H5" s="3446"/>
      <c r="I5" s="3445" t="s">
        <v>1676</v>
      </c>
      <c r="J5" s="3446"/>
      <c r="K5" s="537"/>
      <c r="L5" s="860"/>
      <c r="M5" s="861"/>
      <c r="N5" s="861"/>
      <c r="O5" s="861"/>
      <c r="P5" s="3433"/>
      <c r="Q5" s="3434"/>
      <c r="R5" s="3439"/>
      <c r="S5" s="3440"/>
      <c r="T5" s="3439"/>
      <c r="U5" s="3440"/>
      <c r="V5" s="3413"/>
      <c r="W5" s="3413"/>
      <c r="X5" s="1265"/>
      <c r="Y5" s="3439"/>
      <c r="Z5" s="3440"/>
      <c r="AA5" s="3425"/>
      <c r="AB5" s="3425"/>
      <c r="AC5" s="3425"/>
    </row>
    <row r="6" spans="1:29" ht="15" thickBot="1">
      <c r="A6" s="350"/>
      <c r="B6" s="351"/>
      <c r="C6" s="3443" t="s">
        <v>1677</v>
      </c>
      <c r="D6" s="3444"/>
      <c r="E6" s="3450" t="s">
        <v>1677</v>
      </c>
      <c r="F6" s="3451"/>
      <c r="G6" s="3443" t="s">
        <v>1677</v>
      </c>
      <c r="H6" s="3444"/>
      <c r="I6" s="3443" t="s">
        <v>1677</v>
      </c>
      <c r="J6" s="3444"/>
      <c r="K6" s="537" t="s">
        <v>1678</v>
      </c>
      <c r="L6" s="860"/>
      <c r="M6" s="861"/>
      <c r="N6" s="861"/>
      <c r="O6" s="861"/>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7" t="s">
        <v>1683</v>
      </c>
      <c r="Q8" s="3448"/>
      <c r="R8" s="664" t="s">
        <v>14</v>
      </c>
      <c r="S8" s="665">
        <f t="shared" si="0"/>
        <v>100</v>
      </c>
      <c r="T8" s="664" t="s">
        <v>14</v>
      </c>
      <c r="U8" s="665">
        <f t="shared" si="1"/>
        <v>100</v>
      </c>
      <c r="V8" s="664" t="s">
        <v>14</v>
      </c>
      <c r="W8" s="665">
        <f t="shared" si="2"/>
        <v>100</v>
      </c>
      <c r="X8" s="666"/>
      <c r="Y8" s="3447" t="s">
        <v>1683</v>
      </c>
      <c r="Z8" s="344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2" t="str">
        <f>A41</f>
        <v>成交单价（元/平方米）</v>
      </c>
      <c r="Q41" s="3412"/>
      <c r="R41" s="3413">
        <f>E41</f>
        <v>0</v>
      </c>
      <c r="S41" s="3413"/>
      <c r="T41" s="3413">
        <f>G41</f>
        <v>0</v>
      </c>
      <c r="U41" s="3413"/>
      <c r="V41" s="3413">
        <f>I41</f>
        <v>0</v>
      </c>
      <c r="W41" s="341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c r="A5" s="348"/>
      <c r="B5" s="349"/>
      <c r="C5" s="3445" t="s">
        <v>1673</v>
      </c>
      <c r="D5" s="3446"/>
      <c r="E5" s="3452" t="s">
        <v>1674</v>
      </c>
      <c r="F5" s="3453"/>
      <c r="G5" s="3445" t="s">
        <v>1675</v>
      </c>
      <c r="H5" s="3446"/>
      <c r="I5" s="3445" t="s">
        <v>1676</v>
      </c>
      <c r="J5" s="3446"/>
      <c r="K5" s="537"/>
      <c r="L5" s="2484"/>
      <c r="M5" s="2485"/>
      <c r="N5" s="2485"/>
      <c r="O5" s="2485"/>
      <c r="P5" s="3433"/>
      <c r="Q5" s="3434"/>
      <c r="R5" s="3439"/>
      <c r="S5" s="3440"/>
      <c r="T5" s="3439"/>
      <c r="U5" s="3440"/>
      <c r="V5" s="3413"/>
      <c r="W5" s="3413"/>
      <c r="X5" s="1265"/>
      <c r="Y5" s="3439"/>
      <c r="Z5" s="3440"/>
      <c r="AA5" s="3425"/>
      <c r="AB5" s="3425"/>
      <c r="AC5" s="3425"/>
    </row>
    <row r="6" spans="1:29" ht="15" thickBot="1">
      <c r="A6" s="350"/>
      <c r="B6" s="351"/>
      <c r="C6" s="3443" t="s">
        <v>1677</v>
      </c>
      <c r="D6" s="3444"/>
      <c r="E6" s="3450" t="s">
        <v>1677</v>
      </c>
      <c r="F6" s="3451"/>
      <c r="G6" s="3443" t="s">
        <v>1677</v>
      </c>
      <c r="H6" s="3444"/>
      <c r="I6" s="3443" t="s">
        <v>1677</v>
      </c>
      <c r="J6" s="3444"/>
      <c r="K6" s="537" t="s">
        <v>1678</v>
      </c>
      <c r="L6" s="2484"/>
      <c r="M6" s="2485"/>
      <c r="N6" s="2485"/>
      <c r="O6" s="2485"/>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47" t="s">
        <v>1680</v>
      </c>
      <c r="Q7" s="3449"/>
      <c r="R7" s="664" t="s">
        <v>14</v>
      </c>
      <c r="S7" s="665">
        <f t="shared" ref="S7:S14" si="0">F7</f>
        <v>0</v>
      </c>
      <c r="T7" s="664" t="s">
        <v>14</v>
      </c>
      <c r="U7" s="665">
        <f t="shared" ref="U7:U14" si="1">H7</f>
        <v>0</v>
      </c>
      <c r="V7" s="664" t="s">
        <v>14</v>
      </c>
      <c r="W7" s="665">
        <f t="shared" ref="W7:W14" si="2">J7</f>
        <v>0</v>
      </c>
      <c r="X7" s="666"/>
      <c r="Y7" s="3447" t="s">
        <v>1680</v>
      </c>
      <c r="Z7" s="344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47" t="s">
        <v>1683</v>
      </c>
      <c r="Q8" s="3448"/>
      <c r="R8" s="664" t="s">
        <v>14</v>
      </c>
      <c r="S8" s="665">
        <f t="shared" si="0"/>
        <v>100</v>
      </c>
      <c r="T8" s="664" t="s">
        <v>14</v>
      </c>
      <c r="U8" s="665">
        <f t="shared" si="1"/>
        <v>100</v>
      </c>
      <c r="V8" s="664" t="s">
        <v>14</v>
      </c>
      <c r="W8" s="665">
        <f t="shared" si="2"/>
        <v>100</v>
      </c>
      <c r="X8" s="666"/>
      <c r="Y8" s="3447" t="s">
        <v>1683</v>
      </c>
      <c r="Z8" s="344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2"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2"/>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38">
      <c r="A14" s="345" t="s">
        <v>1690</v>
      </c>
      <c r="B14" s="554" t="s">
        <v>1833</v>
      </c>
      <c r="C14" s="1819" t="str">
        <f>IF(B1="工业",估价对象房地状况!G4,估价对象房地状况!C6)</f>
        <v>估价对象周边道路状况一般，有836、901、917等多条线路，公共交通通达情况较好、停车便捷程度较好，综合评价交通便捷度一般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5"/>
      <c r="Q15" s="1263"/>
      <c r="R15" s="667"/>
      <c r="S15" s="668"/>
      <c r="T15" s="667"/>
      <c r="U15" s="668"/>
      <c r="V15" s="667"/>
      <c r="W15" s="668"/>
      <c r="X15" s="1265"/>
      <c r="Y15" s="3415"/>
      <c r="Z15" s="1264"/>
      <c r="AA15" s="1264">
        <v>1</v>
      </c>
      <c r="AB15" s="1264">
        <v>1</v>
      </c>
      <c r="AC15" s="1264">
        <v>1</v>
      </c>
    </row>
    <row r="16" spans="1:29" ht="138">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5"/>
      <c r="Q17" s="1263"/>
      <c r="R17" s="667"/>
      <c r="S17" s="668"/>
      <c r="T17" s="667"/>
      <c r="U17" s="668"/>
      <c r="V17" s="667"/>
      <c r="W17" s="668"/>
      <c r="X17" s="1265"/>
      <c r="Y17" s="341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5"/>
      <c r="Q19" s="1263"/>
      <c r="R19" s="667"/>
      <c r="S19" s="668"/>
      <c r="T19" s="667"/>
      <c r="U19" s="668"/>
      <c r="V19" s="667"/>
      <c r="W19" s="668"/>
      <c r="X19" s="1265"/>
      <c r="Y19" s="3415"/>
      <c r="Z19" s="1264"/>
      <c r="AA19" s="1264">
        <v>1</v>
      </c>
      <c r="AB19" s="1264">
        <v>1</v>
      </c>
      <c r="AC19" s="1264">
        <v>1</v>
      </c>
    </row>
    <row r="20" spans="1:29" ht="82.8">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12" t="str">
        <f>A37</f>
        <v>成交单价</v>
      </c>
      <c r="Q37" s="3412"/>
      <c r="R37" s="3413">
        <f>E37</f>
        <v>0</v>
      </c>
      <c r="S37" s="3413"/>
      <c r="T37" s="3413">
        <f>G37</f>
        <v>0</v>
      </c>
      <c r="U37" s="3413"/>
      <c r="V37" s="3413">
        <f>I37</f>
        <v>0</v>
      </c>
      <c r="W37" s="341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9" t="str">
        <f>A39</f>
        <v>估价对象XX用房的比较价值（楼面单价，元/平方米）</v>
      </c>
      <c r="Q39" s="3410"/>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c r="A5" s="348"/>
      <c r="B5" s="349"/>
      <c r="C5" s="3445" t="s">
        <v>1673</v>
      </c>
      <c r="D5" s="3446"/>
      <c r="E5" s="3452" t="s">
        <v>1674</v>
      </c>
      <c r="F5" s="3453"/>
      <c r="G5" s="3445" t="s">
        <v>1675</v>
      </c>
      <c r="H5" s="3446"/>
      <c r="I5" s="3445" t="s">
        <v>1676</v>
      </c>
      <c r="J5" s="3446"/>
      <c r="K5" s="537"/>
      <c r="L5" s="2484"/>
      <c r="M5" s="2485"/>
      <c r="N5" s="2485"/>
      <c r="O5" s="2485"/>
      <c r="P5" s="3433"/>
      <c r="Q5" s="3434"/>
      <c r="R5" s="3439"/>
      <c r="S5" s="3440"/>
      <c r="T5" s="3439"/>
      <c r="U5" s="3440"/>
      <c r="V5" s="3413"/>
      <c r="W5" s="3413"/>
      <c r="X5" s="1265"/>
      <c r="Y5" s="3439"/>
      <c r="Z5" s="3440"/>
      <c r="AA5" s="3425"/>
      <c r="AB5" s="3425"/>
      <c r="AC5" s="3425"/>
    </row>
    <row r="6" spans="1:29" ht="15" thickBot="1">
      <c r="A6" s="350"/>
      <c r="B6" s="351"/>
      <c r="C6" s="3443" t="s">
        <v>1677</v>
      </c>
      <c r="D6" s="3444"/>
      <c r="E6" s="3450" t="s">
        <v>1677</v>
      </c>
      <c r="F6" s="3451"/>
      <c r="G6" s="3443" t="s">
        <v>1677</v>
      </c>
      <c r="H6" s="3444"/>
      <c r="I6" s="3443" t="s">
        <v>1677</v>
      </c>
      <c r="J6" s="3444"/>
      <c r="K6" s="537" t="s">
        <v>1678</v>
      </c>
      <c r="L6" s="2484"/>
      <c r="M6" s="2485"/>
      <c r="N6" s="2485"/>
      <c r="O6" s="2485"/>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47" t="s">
        <v>1683</v>
      </c>
      <c r="Q8" s="3448"/>
      <c r="R8" s="664" t="s">
        <v>14</v>
      </c>
      <c r="S8" s="665">
        <f t="shared" si="0"/>
        <v>0</v>
      </c>
      <c r="T8" s="664" t="s">
        <v>14</v>
      </c>
      <c r="U8" s="665">
        <f t="shared" si="1"/>
        <v>0</v>
      </c>
      <c r="V8" s="664" t="s">
        <v>14</v>
      </c>
      <c r="W8" s="665">
        <f t="shared" si="2"/>
        <v>0</v>
      </c>
      <c r="X8" s="666"/>
      <c r="Y8" s="3447" t="s">
        <v>1683</v>
      </c>
      <c r="Z8" s="344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2"/>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2"/>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2"/>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5"/>
      <c r="Q16" s="1263"/>
      <c r="R16" s="667"/>
      <c r="S16" s="668"/>
      <c r="T16" s="667"/>
      <c r="U16" s="668"/>
      <c r="V16" s="667"/>
      <c r="W16" s="668"/>
      <c r="X16" s="1265"/>
      <c r="Y16" s="3415"/>
      <c r="Z16" s="1264"/>
      <c r="AA16" s="1264">
        <v>1</v>
      </c>
      <c r="AB16" s="1264">
        <v>1</v>
      </c>
      <c r="AC16" s="1264">
        <v>1</v>
      </c>
    </row>
    <row r="17" spans="1:29" ht="96.6">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5"/>
      <c r="Q18" s="1263"/>
      <c r="R18" s="667"/>
      <c r="S18" s="668"/>
      <c r="T18" s="667"/>
      <c r="U18" s="668"/>
      <c r="V18" s="667"/>
      <c r="W18" s="668"/>
      <c r="X18" s="1265"/>
      <c r="Y18" s="3415"/>
      <c r="Z18" s="1264"/>
      <c r="AA18" s="1264">
        <v>1</v>
      </c>
      <c r="AB18" s="1264">
        <v>1</v>
      </c>
      <c r="AC18" s="1264">
        <v>1</v>
      </c>
    </row>
    <row r="19" spans="1:29" ht="124.2">
      <c r="A19" s="367"/>
      <c r="B19" s="390" t="s">
        <v>1811</v>
      </c>
      <c r="C19" s="1806" t="str">
        <f>估价对象房地状况!C17</f>
        <v>周边商业氛围较成熟，有华冠天地、房山商业大楼等项目，人流量较大，办公项目较少，综合评价集聚程度较好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5"/>
      <c r="Q20" s="1263"/>
      <c r="R20" s="667"/>
      <c r="S20" s="668"/>
      <c r="T20" s="667"/>
      <c r="U20" s="668"/>
      <c r="V20" s="667"/>
      <c r="W20" s="668"/>
      <c r="X20" s="1265"/>
      <c r="Y20" s="3415"/>
      <c r="Z20" s="1264"/>
      <c r="AA20" s="1264">
        <v>1</v>
      </c>
      <c r="AB20" s="1264">
        <v>1</v>
      </c>
      <c r="AC20" s="1264">
        <v>1</v>
      </c>
    </row>
    <row r="21" spans="1:29" ht="138">
      <c r="A21" s="367"/>
      <c r="B21" s="390" t="s">
        <v>1833</v>
      </c>
      <c r="C21" s="1754" t="str">
        <f>估价对象房地状况!C18</f>
        <v>估价对象周边道路状况一般，有836、901、917等多条线路，公共交通通达情况较好、停车便捷程度较好，综合评价交通便捷度一般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5"/>
      <c r="Q22" s="1263"/>
      <c r="R22" s="667"/>
      <c r="S22" s="668"/>
      <c r="T22" s="667"/>
      <c r="U22" s="668"/>
      <c r="V22" s="667"/>
      <c r="W22" s="668"/>
      <c r="X22" s="1265"/>
      <c r="Y22" s="341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5"/>
      <c r="Q24" s="1263"/>
      <c r="R24" s="667"/>
      <c r="S24" s="668"/>
      <c r="T24" s="667"/>
      <c r="U24" s="668"/>
      <c r="V24" s="667"/>
      <c r="W24" s="668"/>
      <c r="X24" s="1265"/>
      <c r="Y24" s="3415"/>
      <c r="Z24" s="1264"/>
      <c r="AA24" s="1264"/>
      <c r="AB24" s="1264"/>
      <c r="AC24" s="1264"/>
    </row>
    <row r="25" spans="1:29" ht="82.8">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5"/>
      <c r="Q26" s="1263"/>
      <c r="R26" s="667"/>
      <c r="S26" s="668"/>
      <c r="T26" s="667"/>
      <c r="U26" s="668"/>
      <c r="V26" s="667"/>
      <c r="W26" s="668"/>
      <c r="X26" s="1265"/>
      <c r="Y26" s="3415"/>
      <c r="Z26" s="1264"/>
      <c r="AA26" s="1264">
        <v>1</v>
      </c>
      <c r="AB26" s="1264">
        <v>1</v>
      </c>
      <c r="AC26" s="1264">
        <v>1</v>
      </c>
    </row>
    <row r="27" spans="1:29" s="102" customFormat="1" ht="138">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5"/>
      <c r="Q28" s="530"/>
      <c r="R28" s="664"/>
      <c r="S28" s="665"/>
      <c r="T28" s="664"/>
      <c r="U28" s="665"/>
      <c r="V28" s="664"/>
      <c r="W28" s="665"/>
      <c r="X28" s="666"/>
      <c r="Y28" s="341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6"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2" t="str">
        <f>A46</f>
        <v>成交单价</v>
      </c>
      <c r="Q46" s="3412"/>
      <c r="R46" s="3413">
        <f>E46</f>
        <v>0</v>
      </c>
      <c r="S46" s="3413"/>
      <c r="T46" s="3413">
        <f>G46</f>
        <v>0</v>
      </c>
      <c r="U46" s="3413"/>
      <c r="V46" s="3413">
        <f>I46</f>
        <v>0</v>
      </c>
      <c r="W46" s="341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12" t="str">
        <f>A47</f>
        <v>比较价值（元/平方米）</v>
      </c>
      <c r="Q47" s="3412"/>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9" t="str">
        <f>A48</f>
        <v>估价对象XX用房的比较价值（楼面单价，元/平方米）</v>
      </c>
      <c r="Q48" s="3410"/>
      <c r="R48" s="3476" t="e">
        <f>ROUND(IF(D47="简单平均",AVERAGE(R47:W47),R47*F47+T47*H47+V47*J47),0)</f>
        <v>#DIV/0!</v>
      </c>
      <c r="S48" s="3476"/>
      <c r="T48" s="3476"/>
      <c r="U48" s="3476"/>
      <c r="V48" s="3476"/>
      <c r="W48" s="347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7" t="s">
        <v>1887</v>
      </c>
      <c r="H55" s="347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1515.5000000000002</v>
      </c>
      <c r="F56" s="833" t="e">
        <f t="shared" ref="F56:F64" si="15">ROUND(B56*E56/10000,0)</f>
        <v>#DIV/0!</v>
      </c>
      <c r="G56" s="3423"/>
      <c r="H56" s="341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1515.5000000000002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7" t="s">
        <v>1770</v>
      </c>
      <c r="D4" s="3428"/>
      <c r="E4" s="3429" t="s">
        <v>1771</v>
      </c>
      <c r="F4" s="3430"/>
      <c r="G4" s="3427" t="s">
        <v>1772</v>
      </c>
      <c r="H4" s="3428"/>
      <c r="I4" s="3427" t="s">
        <v>1773</v>
      </c>
      <c r="J4" s="3428"/>
      <c r="K4" s="537" t="s">
        <v>1774</v>
      </c>
      <c r="L4" s="2484"/>
      <c r="M4" s="2485"/>
      <c r="N4" s="2485"/>
      <c r="O4" s="2485"/>
      <c r="P4" s="3431" t="s">
        <v>1775</v>
      </c>
      <c r="Q4" s="3432"/>
      <c r="R4" s="3437" t="s">
        <v>1771</v>
      </c>
      <c r="S4" s="3438"/>
      <c r="T4" s="3437" t="s">
        <v>1772</v>
      </c>
      <c r="U4" s="3438"/>
      <c r="V4" s="3413" t="s">
        <v>1773</v>
      </c>
      <c r="W4" s="3413"/>
      <c r="X4" s="1265"/>
      <c r="Y4" s="3437" t="s">
        <v>1775</v>
      </c>
      <c r="Z4" s="3438"/>
      <c r="AA4" s="3424" t="s">
        <v>1771</v>
      </c>
      <c r="AB4" s="3425" t="s">
        <v>1772</v>
      </c>
      <c r="AC4" s="3424" t="s">
        <v>1773</v>
      </c>
    </row>
    <row r="5" spans="1:29">
      <c r="A5" s="348"/>
      <c r="B5" s="349"/>
      <c r="C5" s="3445" t="s">
        <v>1673</v>
      </c>
      <c r="D5" s="3446"/>
      <c r="E5" s="3452" t="s">
        <v>1674</v>
      </c>
      <c r="F5" s="3453"/>
      <c r="G5" s="3445" t="s">
        <v>1675</v>
      </c>
      <c r="H5" s="3446"/>
      <c r="I5" s="3445" t="s">
        <v>1676</v>
      </c>
      <c r="J5" s="3446"/>
      <c r="K5" s="537"/>
      <c r="L5" s="2484"/>
      <c r="M5" s="2485"/>
      <c r="N5" s="2485"/>
      <c r="O5" s="2485"/>
      <c r="P5" s="3433"/>
      <c r="Q5" s="3434"/>
      <c r="R5" s="3439"/>
      <c r="S5" s="3440"/>
      <c r="T5" s="3439"/>
      <c r="U5" s="3440"/>
      <c r="V5" s="3413"/>
      <c r="W5" s="3413"/>
      <c r="X5" s="1265"/>
      <c r="Y5" s="3439"/>
      <c r="Z5" s="3440"/>
      <c r="AA5" s="3425"/>
      <c r="AB5" s="3425"/>
      <c r="AC5" s="3425"/>
    </row>
    <row r="6" spans="1:29" ht="15" thickBot="1">
      <c r="A6" s="350"/>
      <c r="B6" s="351"/>
      <c r="C6" s="3478" t="s">
        <v>1919</v>
      </c>
      <c r="D6" s="3479"/>
      <c r="E6" s="3480" t="s">
        <v>1919</v>
      </c>
      <c r="F6" s="3481"/>
      <c r="G6" s="3478" t="s">
        <v>1919</v>
      </c>
      <c r="H6" s="3479"/>
      <c r="I6" s="3478" t="s">
        <v>1919</v>
      </c>
      <c r="J6" s="3479"/>
      <c r="K6" s="537" t="s">
        <v>1678</v>
      </c>
      <c r="L6" s="2484"/>
      <c r="M6" s="2485"/>
      <c r="N6" s="2485"/>
      <c r="O6" s="2485"/>
      <c r="P6" s="3435"/>
      <c r="Q6" s="3436"/>
      <c r="R6" s="3439"/>
      <c r="S6" s="3440"/>
      <c r="T6" s="3441"/>
      <c r="U6" s="3442"/>
      <c r="V6" s="3413"/>
      <c r="W6" s="3413"/>
      <c r="X6" s="1265"/>
      <c r="Y6" s="3441"/>
      <c r="Z6" s="3442"/>
      <c r="AA6" s="3426"/>
      <c r="AB6" s="3426"/>
      <c r="AC6" s="3426"/>
    </row>
    <row r="7" spans="1:29" s="102" customFormat="1" ht="1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47" t="s">
        <v>1680</v>
      </c>
      <c r="Q7" s="3449"/>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47" t="s">
        <v>1683</v>
      </c>
      <c r="Q8" s="3448"/>
      <c r="R8" s="664" t="s">
        <v>14</v>
      </c>
      <c r="S8" s="665">
        <f t="shared" si="0"/>
        <v>0</v>
      </c>
      <c r="T8" s="664" t="s">
        <v>14</v>
      </c>
      <c r="U8" s="665">
        <f t="shared" si="1"/>
        <v>0</v>
      </c>
      <c r="V8" s="664" t="s">
        <v>14</v>
      </c>
      <c r="W8" s="665">
        <f t="shared" si="2"/>
        <v>0</v>
      </c>
      <c r="X8" s="666"/>
      <c r="Y8" s="3447" t="s">
        <v>1683</v>
      </c>
      <c r="Z8" s="344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2"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2"/>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2"/>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2"/>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2"/>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2"/>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5"/>
      <c r="Q16" s="1263"/>
      <c r="R16" s="667"/>
      <c r="S16" s="668"/>
      <c r="T16" s="667"/>
      <c r="U16" s="668"/>
      <c r="V16" s="667"/>
      <c r="W16" s="668"/>
      <c r="X16" s="1265"/>
      <c r="Y16" s="341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5"/>
      <c r="Q18" s="1263"/>
      <c r="R18" s="667"/>
      <c r="S18" s="668"/>
      <c r="T18" s="667"/>
      <c r="U18" s="668"/>
      <c r="V18" s="667"/>
      <c r="W18" s="668"/>
      <c r="X18" s="1265"/>
      <c r="Y18" s="341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5"/>
      <c r="Q20" s="1263"/>
      <c r="R20" s="667"/>
      <c r="S20" s="668"/>
      <c r="T20" s="667"/>
      <c r="U20" s="668"/>
      <c r="V20" s="667"/>
      <c r="W20" s="668"/>
      <c r="X20" s="1265"/>
      <c r="Y20" s="341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5"/>
      <c r="Q22" s="1263"/>
      <c r="R22" s="667"/>
      <c r="S22" s="668"/>
      <c r="T22" s="667"/>
      <c r="U22" s="668"/>
      <c r="V22" s="667"/>
      <c r="W22" s="668"/>
      <c r="X22" s="1265"/>
      <c r="Y22" s="341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5"/>
      <c r="Q24" s="530"/>
      <c r="R24" s="664"/>
      <c r="S24" s="665"/>
      <c r="T24" s="664"/>
      <c r="U24" s="665"/>
      <c r="V24" s="664"/>
      <c r="W24" s="665"/>
      <c r="X24" s="666"/>
      <c r="Y24" s="341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6"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2" t="str">
        <f>A41</f>
        <v>成交单价</v>
      </c>
      <c r="Q41" s="3412"/>
      <c r="R41" s="3413">
        <f>E41</f>
        <v>0</v>
      </c>
      <c r="S41" s="3413"/>
      <c r="T41" s="3413">
        <f>G41</f>
        <v>0</v>
      </c>
      <c r="U41" s="3413"/>
      <c r="V41" s="3413">
        <f>I41</f>
        <v>0</v>
      </c>
      <c r="W41" s="341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12" t="str">
        <f>A42</f>
        <v>比较价值（元/平方米）</v>
      </c>
      <c r="Q42" s="3412"/>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9" t="str">
        <f>A43</f>
        <v>估价对象XX用房的比较价值（楼面单价，元/平方米）</v>
      </c>
      <c r="Q43" s="3410"/>
      <c r="R43" s="3476" t="e">
        <f>ROUND(IF(D42="简单平均",AVERAGE(R42:W42),R42*F42+T42*H42+V42*J42),0)</f>
        <v>#DIV/0!</v>
      </c>
      <c r="S43" s="3476"/>
      <c r="T43" s="3476"/>
      <c r="U43" s="3476"/>
      <c r="V43" s="3476"/>
      <c r="W43" s="347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7" t="s">
        <v>1887</v>
      </c>
      <c r="H50" s="347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1515.5000000000002</v>
      </c>
      <c r="F51" s="611" t="e">
        <f t="shared" ref="F51:F60" si="15">ROUND(B51*E51/10000,0)</f>
        <v>#DIV/0!</v>
      </c>
      <c r="G51" s="3423"/>
      <c r="H51" s="341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95"/>
      <c r="B4" s="3496"/>
      <c r="C4" s="3496"/>
      <c r="D4" s="3497"/>
      <c r="E4" s="3497"/>
      <c r="F4" s="3497"/>
      <c r="G4" s="3497"/>
      <c r="H4" s="3497"/>
      <c r="I4" s="3497"/>
      <c r="J4" s="349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94"/>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9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9" t="s">
        <v>3252</v>
      </c>
      <c r="B20" s="159" t="s">
        <v>1994</v>
      </c>
      <c r="C20" s="3029" t="e">
        <f>ROUND(IF(F21="与级别开发程度一致",0,(G21-E21)/C21),0)</f>
        <v>#DIV/0!</v>
      </c>
      <c r="D20" s="3044" t="s">
        <v>1998</v>
      </c>
      <c r="E20" s="3045"/>
      <c r="F20" s="3505" t="s">
        <v>1995</v>
      </c>
      <c r="G20" s="3506"/>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50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52.8">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2053</v>
      </c>
      <c r="B51" s="1262" t="str">
        <f>估价对象房地状况!C18</f>
        <v>估价对象周边道路状况一般，有836、901、917等多条线路，公共交通通达情况较好、停车便捷程度较好，综合评价交通便捷度一般</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79.2">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周边商业氛围较成熟，有华冠天地、房山商业大楼等项目，人流量较大，办公项目较少，综合评价集聚程度较好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2053</v>
      </c>
      <c r="B62" s="1262" t="str">
        <f>估价对象房地状况!C18</f>
        <v>估价对象周边道路状况一般，有836、901、917等多条线路，公共交通通达情况较好、停车便捷程度较好，综合评价交通便捷度一般</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2053</v>
      </c>
      <c r="B73" s="1262" t="str">
        <f>估价对象房地状况!C18</f>
        <v>估价对象周边道路状况一般，有836、901、917等多条线路，公共交通通达情况较好、停车便捷程度较好，综合评价交通便捷度一般</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5"/>
      <c r="F91" s="1675"/>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79.2">
      <c r="A94" s="3078" t="s">
        <v>3271</v>
      </c>
      <c r="B94" s="3069" t="str">
        <f>估价对象房地状况!C18</f>
        <v>估价对象周边道路状况一般，有836、901、917等多条线路，公共交通通达情况较好、停车便捷程度较好，综合评价交通便捷度一般</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79.2">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53.4"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1" t="s">
        <v>3292</v>
      </c>
      <c r="B103" s="3501"/>
      <c r="C103" s="3501"/>
      <c r="D103" s="3501"/>
      <c r="E103" s="3501"/>
      <c r="F103" s="3501"/>
      <c r="G103" s="3501"/>
      <c r="H103" s="3501"/>
      <c r="I103" s="3501"/>
      <c r="J103" s="3501"/>
      <c r="K103" s="1667"/>
      <c r="L103" s="1667"/>
      <c r="M103" s="1667"/>
      <c r="N103" s="1667"/>
    </row>
    <row r="104" spans="1:14">
      <c r="A104" s="3502" t="s">
        <v>3293</v>
      </c>
      <c r="B104" s="3502" t="s">
        <v>3294</v>
      </c>
      <c r="C104" s="3088" t="s">
        <v>3295</v>
      </c>
      <c r="D104" s="3089"/>
      <c r="E104" s="3089"/>
      <c r="F104" s="3089"/>
      <c r="G104" s="3089"/>
      <c r="H104" s="3089"/>
      <c r="I104" s="3089"/>
      <c r="J104" s="3090"/>
      <c r="K104" s="3091"/>
      <c r="L104" s="3091"/>
      <c r="M104" s="3091"/>
      <c r="N104" s="3091"/>
    </row>
    <row r="105" spans="1:14">
      <c r="A105" s="3502"/>
      <c r="B105" s="3502"/>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88"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9"/>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1" t="s">
        <v>3309</v>
      </c>
      <c r="B113" s="3491"/>
      <c r="C113" s="3491"/>
      <c r="D113" s="3491"/>
      <c r="E113" s="3491"/>
      <c r="F113" s="3491"/>
      <c r="G113" s="3491"/>
      <c r="H113" s="3491"/>
      <c r="I113" s="3491"/>
      <c r="J113" s="3491"/>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6" t="s">
        <v>2605</v>
      </c>
      <c r="B20" s="3511" t="s">
        <v>2626</v>
      </c>
      <c r="C20" s="2840" t="s">
        <v>2437</v>
      </c>
      <c r="D20" s="2841"/>
      <c r="E20" s="2842">
        <v>1</v>
      </c>
      <c r="F20" s="2843" t="s">
        <v>2438</v>
      </c>
      <c r="G20" s="2843"/>
    </row>
    <row r="21" spans="1:13" ht="19.5" customHeight="1">
      <c r="A21" s="3517"/>
      <c r="B21" s="3510"/>
      <c r="C21" s="2844" t="s">
        <v>2439</v>
      </c>
      <c r="D21" s="2845"/>
      <c r="E21" s="2846">
        <v>1</v>
      </c>
      <c r="F21" s="2843" t="s">
        <v>2440</v>
      </c>
      <c r="G21" s="2843"/>
    </row>
    <row r="22" spans="1:13" ht="19.5" customHeight="1">
      <c r="A22" s="3517"/>
      <c r="B22" s="3510"/>
      <c r="C22" s="2844" t="s">
        <v>2441</v>
      </c>
      <c r="D22" s="2845"/>
      <c r="E22" s="2846">
        <v>0.9</v>
      </c>
      <c r="F22" s="2843" t="s">
        <v>2442</v>
      </c>
      <c r="G22" s="2843"/>
    </row>
    <row r="23" spans="1:13" ht="19.5" customHeight="1">
      <c r="A23" s="3517"/>
      <c r="B23" s="3510"/>
      <c r="C23" s="2844" t="s">
        <v>2443</v>
      </c>
      <c r="D23" s="2845"/>
      <c r="E23" s="2846">
        <v>0.9</v>
      </c>
      <c r="F23" s="2843" t="s">
        <v>2444</v>
      </c>
      <c r="G23" s="2843"/>
    </row>
    <row r="24" spans="1:13" ht="19.5" customHeight="1">
      <c r="A24" s="3517"/>
      <c r="B24" s="3510"/>
      <c r="C24" s="2844" t="s">
        <v>2445</v>
      </c>
      <c r="D24" s="2845"/>
      <c r="E24" s="2846">
        <v>0.8</v>
      </c>
      <c r="F24" s="2843" t="s">
        <v>2446</v>
      </c>
      <c r="G24" s="2843"/>
    </row>
    <row r="25" spans="1:13" ht="19.5" customHeight="1" thickBot="1">
      <c r="A25" s="3518"/>
      <c r="B25" s="3512"/>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13" t="s">
        <v>2629</v>
      </c>
      <c r="B27" s="3511" t="s">
        <v>2610</v>
      </c>
      <c r="C27" s="2840" t="s">
        <v>2450</v>
      </c>
      <c r="D27" s="2841"/>
      <c r="E27" s="2842">
        <v>1</v>
      </c>
      <c r="F27" s="2843" t="s">
        <v>2451</v>
      </c>
      <c r="G27" s="2843"/>
    </row>
    <row r="28" spans="1:13" ht="19.5" customHeight="1">
      <c r="A28" s="3514"/>
      <c r="B28" s="3510"/>
      <c r="C28" s="2844" t="s">
        <v>2452</v>
      </c>
      <c r="D28" s="2845"/>
      <c r="E28" s="2846">
        <v>1</v>
      </c>
      <c r="F28" s="2843" t="s">
        <v>2453</v>
      </c>
      <c r="G28" s="2843"/>
    </row>
    <row r="29" spans="1:13" ht="19.5" customHeight="1">
      <c r="A29" s="3514"/>
      <c r="B29" s="3510"/>
      <c r="C29" s="2844" t="s">
        <v>2454</v>
      </c>
      <c r="D29" s="2845"/>
      <c r="E29" s="2846">
        <v>0.8</v>
      </c>
      <c r="F29" s="2843" t="s">
        <v>2455</v>
      </c>
      <c r="G29" s="2843"/>
    </row>
    <row r="30" spans="1:13" ht="19.5" customHeight="1">
      <c r="A30" s="3514"/>
      <c r="B30" s="3510"/>
      <c r="C30" s="2844" t="s">
        <v>2456</v>
      </c>
      <c r="D30" s="2845"/>
      <c r="E30" s="2846">
        <v>0.8</v>
      </c>
      <c r="F30" s="2843" t="s">
        <v>2457</v>
      </c>
      <c r="G30" s="2843"/>
    </row>
    <row r="31" spans="1:13" ht="19.5" customHeight="1">
      <c r="A31" s="3514"/>
      <c r="B31" s="3510"/>
      <c r="C31" s="2844" t="s">
        <v>2458</v>
      </c>
      <c r="D31" s="2845"/>
      <c r="E31" s="2846">
        <v>0.8</v>
      </c>
      <c r="F31" s="2843" t="s">
        <v>2459</v>
      </c>
      <c r="G31" s="2843"/>
    </row>
    <row r="32" spans="1:13" ht="19.5" customHeight="1">
      <c r="A32" s="3514"/>
      <c r="B32" s="3510"/>
      <c r="C32" s="2844" t="s">
        <v>2460</v>
      </c>
      <c r="D32" s="2845"/>
      <c r="E32" s="2846">
        <v>0.7</v>
      </c>
      <c r="F32" s="2843" t="s">
        <v>2461</v>
      </c>
      <c r="G32" s="2843"/>
    </row>
    <row r="33" spans="1:7" ht="19.5" customHeight="1">
      <c r="A33" s="3514"/>
      <c r="B33" s="3510"/>
      <c r="C33" s="2844" t="s">
        <v>2462</v>
      </c>
      <c r="D33" s="2845"/>
      <c r="E33" s="2846">
        <v>0.8</v>
      </c>
      <c r="F33" s="2843" t="s">
        <v>2463</v>
      </c>
      <c r="G33" s="2843"/>
    </row>
    <row r="34" spans="1:7" ht="19.5" customHeight="1">
      <c r="A34" s="3514"/>
      <c r="B34" s="3510"/>
      <c r="C34" s="2844" t="s">
        <v>2464</v>
      </c>
      <c r="D34" s="2845"/>
      <c r="E34" s="2846">
        <v>0.6</v>
      </c>
      <c r="F34" s="2843" t="s">
        <v>2465</v>
      </c>
      <c r="G34" s="2843"/>
    </row>
    <row r="35" spans="1:7" ht="19.5" customHeight="1">
      <c r="A35" s="3514"/>
      <c r="B35" s="3510"/>
      <c r="C35" s="2844" t="s">
        <v>2466</v>
      </c>
      <c r="D35" s="2845"/>
      <c r="E35" s="2846">
        <v>0.2</v>
      </c>
      <c r="F35" s="2843" t="s">
        <v>2467</v>
      </c>
      <c r="G35" s="2843"/>
    </row>
    <row r="36" spans="1:7" ht="19.5" customHeight="1">
      <c r="A36" s="3514"/>
      <c r="B36" s="3510"/>
      <c r="C36" s="2844" t="s">
        <v>2468</v>
      </c>
      <c r="D36" s="2845"/>
      <c r="E36" s="2846">
        <v>0.2</v>
      </c>
      <c r="F36" s="2843" t="s">
        <v>2469</v>
      </c>
      <c r="G36" s="2843"/>
    </row>
    <row r="37" spans="1:7" ht="19.5" customHeight="1">
      <c r="A37" s="3514"/>
      <c r="B37" s="3508" t="s">
        <v>2630</v>
      </c>
      <c r="C37" s="2844" t="s">
        <v>2470</v>
      </c>
      <c r="D37" s="2845"/>
      <c r="E37" s="2846">
        <v>0.6</v>
      </c>
      <c r="F37" s="2843" t="s">
        <v>2471</v>
      </c>
      <c r="G37" s="2843"/>
    </row>
    <row r="38" spans="1:7" ht="19.5" customHeight="1">
      <c r="A38" s="3514"/>
      <c r="B38" s="3510"/>
      <c r="C38" s="2844" t="s">
        <v>2472</v>
      </c>
      <c r="D38" s="2845"/>
      <c r="E38" s="2846">
        <v>0.6</v>
      </c>
      <c r="F38" s="2843" t="s">
        <v>2473</v>
      </c>
      <c r="G38" s="2843"/>
    </row>
    <row r="39" spans="1:7" ht="19.5" customHeight="1" thickBot="1">
      <c r="A39" s="3515"/>
      <c r="B39" s="3512"/>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16" t="s">
        <v>2608</v>
      </c>
      <c r="B41" s="3511" t="s">
        <v>2632</v>
      </c>
      <c r="C41" s="2840" t="s">
        <v>2477</v>
      </c>
      <c r="D41" s="2841"/>
      <c r="E41" s="2842">
        <v>1</v>
      </c>
      <c r="F41" s="2843" t="s">
        <v>2478</v>
      </c>
      <c r="G41" s="2843"/>
    </row>
    <row r="42" spans="1:7" ht="19.5" customHeight="1">
      <c r="A42" s="3517"/>
      <c r="B42" s="3510"/>
      <c r="C42" s="2844" t="s">
        <v>2479</v>
      </c>
      <c r="D42" s="2845"/>
      <c r="E42" s="2846">
        <v>1</v>
      </c>
      <c r="F42" s="2843" t="s">
        <v>2480</v>
      </c>
      <c r="G42" s="2843"/>
    </row>
    <row r="43" spans="1:7" ht="19.5" customHeight="1">
      <c r="A43" s="3517"/>
      <c r="B43" s="3509"/>
      <c r="C43" s="2844" t="s">
        <v>2481</v>
      </c>
      <c r="D43" s="2845"/>
      <c r="E43" s="2846">
        <v>1.5</v>
      </c>
      <c r="F43" s="2843" t="s">
        <v>2482</v>
      </c>
      <c r="G43" s="2843"/>
    </row>
    <row r="44" spans="1:7" ht="19.5" customHeight="1">
      <c r="A44" s="3517"/>
      <c r="B44" s="2855" t="s">
        <v>2633</v>
      </c>
      <c r="C44" s="2844" t="s">
        <v>2634</v>
      </c>
      <c r="D44" s="2845"/>
      <c r="E44" s="2846">
        <v>2</v>
      </c>
      <c r="F44" s="2843" t="s">
        <v>2483</v>
      </c>
      <c r="G44" s="2843"/>
    </row>
    <row r="45" spans="1:7" ht="19.5" customHeight="1">
      <c r="A45" s="3517"/>
      <c r="B45" s="3508" t="s">
        <v>2635</v>
      </c>
      <c r="C45" s="2844" t="s">
        <v>2484</v>
      </c>
      <c r="D45" s="2845"/>
      <c r="E45" s="2846">
        <v>1</v>
      </c>
      <c r="F45" s="2843" t="s">
        <v>2485</v>
      </c>
      <c r="G45" s="2843"/>
    </row>
    <row r="46" spans="1:7" ht="19.5" customHeight="1">
      <c r="A46" s="3517"/>
      <c r="B46" s="3510"/>
      <c r="C46" s="2844" t="s">
        <v>2486</v>
      </c>
      <c r="D46" s="2845"/>
      <c r="E46" s="2846">
        <v>1</v>
      </c>
      <c r="F46" s="2843" t="s">
        <v>2487</v>
      </c>
      <c r="G46" s="2843"/>
    </row>
    <row r="47" spans="1:7" ht="19.5" customHeight="1">
      <c r="A47" s="3517"/>
      <c r="B47" s="3510"/>
      <c r="C47" s="2844" t="s">
        <v>2488</v>
      </c>
      <c r="D47" s="2845"/>
      <c r="E47" s="2846">
        <v>1</v>
      </c>
      <c r="F47" s="2843" t="s">
        <v>2489</v>
      </c>
      <c r="G47" s="2843"/>
    </row>
    <row r="48" spans="1:7" ht="19.5" customHeight="1">
      <c r="A48" s="3517"/>
      <c r="B48" s="3510"/>
      <c r="C48" s="2844" t="s">
        <v>2490</v>
      </c>
      <c r="D48" s="2845"/>
      <c r="E48" s="2846">
        <v>1</v>
      </c>
      <c r="F48" s="2843" t="s">
        <v>2491</v>
      </c>
      <c r="G48" s="2843"/>
    </row>
    <row r="49" spans="1:7" ht="19.5" customHeight="1">
      <c r="A49" s="3517"/>
      <c r="B49" s="3510"/>
      <c r="C49" s="2844" t="s">
        <v>2492</v>
      </c>
      <c r="D49" s="2845"/>
      <c r="E49" s="2846">
        <v>1</v>
      </c>
      <c r="F49" s="2843" t="s">
        <v>2493</v>
      </c>
      <c r="G49" s="2843"/>
    </row>
    <row r="50" spans="1:7" ht="19.5" customHeight="1">
      <c r="A50" s="3517"/>
      <c r="B50" s="3510"/>
      <c r="C50" s="2844" t="s">
        <v>2494</v>
      </c>
      <c r="D50" s="2845"/>
      <c r="E50" s="2846">
        <v>1</v>
      </c>
      <c r="F50" s="2843" t="s">
        <v>2495</v>
      </c>
      <c r="G50" s="2843"/>
    </row>
    <row r="51" spans="1:7" ht="19.5" customHeight="1" thickBot="1">
      <c r="A51" s="3518"/>
      <c r="B51" s="3512"/>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508" t="s">
        <v>2649</v>
      </c>
      <c r="C73" s="2829" t="s">
        <v>2650</v>
      </c>
      <c r="D73" s="2829" t="s">
        <v>2651</v>
      </c>
      <c r="E73" s="2855">
        <v>0.2</v>
      </c>
      <c r="F73" s="2855">
        <v>25</v>
      </c>
    </row>
    <row r="74" spans="1:7" ht="24">
      <c r="A74" s="2855">
        <v>2</v>
      </c>
      <c r="B74" s="3510"/>
      <c r="C74" s="2829" t="s">
        <v>2652</v>
      </c>
      <c r="D74" s="2829" t="s">
        <v>2653</v>
      </c>
      <c r="E74" s="2855">
        <v>0.2</v>
      </c>
      <c r="F74" s="2855">
        <v>25</v>
      </c>
    </row>
    <row r="75" spans="1:7" ht="24">
      <c r="A75" s="2855">
        <v>3</v>
      </c>
      <c r="B75" s="3510"/>
      <c r="C75" s="2829" t="s">
        <v>2654</v>
      </c>
      <c r="D75" s="2829" t="s">
        <v>2655</v>
      </c>
      <c r="E75" s="2855">
        <v>0.2</v>
      </c>
      <c r="F75" s="2855">
        <v>25</v>
      </c>
    </row>
    <row r="76" spans="1:7" ht="14.4">
      <c r="A76" s="2855">
        <v>4</v>
      </c>
      <c r="B76" s="3510"/>
      <c r="C76" s="2829" t="s">
        <v>2656</v>
      </c>
      <c r="D76" s="2829" t="s">
        <v>2657</v>
      </c>
      <c r="E76" s="2855">
        <v>0.15</v>
      </c>
      <c r="F76" s="2855">
        <v>20</v>
      </c>
    </row>
    <row r="77" spans="1:7" ht="24">
      <c r="A77" s="2855">
        <v>5</v>
      </c>
      <c r="B77" s="3510"/>
      <c r="C77" s="2829" t="s">
        <v>2658</v>
      </c>
      <c r="D77" s="2829" t="s">
        <v>2659</v>
      </c>
      <c r="E77" s="2855">
        <v>0.15</v>
      </c>
      <c r="F77" s="2855">
        <v>20</v>
      </c>
    </row>
    <row r="78" spans="1:7" ht="24">
      <c r="A78" s="2855">
        <v>6</v>
      </c>
      <c r="B78" s="3510"/>
      <c r="C78" s="2829" t="s">
        <v>2660</v>
      </c>
      <c r="D78" s="2829" t="s">
        <v>2661</v>
      </c>
      <c r="E78" s="2855">
        <v>0.15</v>
      </c>
      <c r="F78" s="2855">
        <v>20</v>
      </c>
    </row>
    <row r="79" spans="1:7" ht="24">
      <c r="A79" s="2855">
        <v>7</v>
      </c>
      <c r="B79" s="3510"/>
      <c r="C79" s="2829" t="s">
        <v>2662</v>
      </c>
      <c r="D79" s="2829" t="s">
        <v>2663</v>
      </c>
      <c r="E79" s="2855">
        <v>0.15</v>
      </c>
      <c r="F79" s="2855">
        <v>20</v>
      </c>
    </row>
    <row r="80" spans="1:7" ht="24">
      <c r="A80" s="2855">
        <v>8</v>
      </c>
      <c r="B80" s="3510"/>
      <c r="C80" s="2829" t="s">
        <v>2664</v>
      </c>
      <c r="D80" s="2829" t="s">
        <v>2665</v>
      </c>
      <c r="E80" s="2855">
        <v>0.1</v>
      </c>
      <c r="F80" s="2855">
        <v>15</v>
      </c>
    </row>
    <row r="81" spans="1:6" ht="24">
      <c r="A81" s="2855">
        <v>9</v>
      </c>
      <c r="B81" s="3510"/>
      <c r="C81" s="2829" t="s">
        <v>2666</v>
      </c>
      <c r="D81" s="2829" t="s">
        <v>2667</v>
      </c>
      <c r="E81" s="2855">
        <v>0.1</v>
      </c>
      <c r="F81" s="2855">
        <v>15</v>
      </c>
    </row>
    <row r="82" spans="1:6" ht="24">
      <c r="A82" s="2855">
        <v>10</v>
      </c>
      <c r="B82" s="3510"/>
      <c r="C82" s="2829" t="s">
        <v>2668</v>
      </c>
      <c r="D82" s="2829" t="s">
        <v>2669</v>
      </c>
      <c r="E82" s="2855">
        <v>0.1</v>
      </c>
      <c r="F82" s="2855">
        <v>15</v>
      </c>
    </row>
    <row r="83" spans="1:6" ht="24">
      <c r="A83" s="2855">
        <v>11</v>
      </c>
      <c r="B83" s="3510"/>
      <c r="C83" s="2829" t="s">
        <v>2670</v>
      </c>
      <c r="D83" s="2829" t="s">
        <v>2671</v>
      </c>
      <c r="E83" s="2855">
        <v>0.1</v>
      </c>
      <c r="F83" s="2855">
        <v>15</v>
      </c>
    </row>
    <row r="84" spans="1:6" ht="24">
      <c r="A84" s="2855">
        <v>12</v>
      </c>
      <c r="B84" s="3510"/>
      <c r="C84" s="2829" t="s">
        <v>2672</v>
      </c>
      <c r="D84" s="2829" t="s">
        <v>2673</v>
      </c>
      <c r="E84" s="2855">
        <v>0.1</v>
      </c>
      <c r="F84" s="2855">
        <v>15</v>
      </c>
    </row>
    <row r="85" spans="1:6" ht="24">
      <c r="A85" s="2855">
        <v>13</v>
      </c>
      <c r="B85" s="3510"/>
      <c r="C85" s="2829" t="s">
        <v>2674</v>
      </c>
      <c r="D85" s="2829" t="s">
        <v>2675</v>
      </c>
      <c r="E85" s="2855">
        <v>0.1</v>
      </c>
      <c r="F85" s="2855">
        <v>15</v>
      </c>
    </row>
    <row r="86" spans="1:6" ht="24">
      <c r="A86" s="2855">
        <v>14</v>
      </c>
      <c r="B86" s="3510"/>
      <c r="C86" s="2829" t="s">
        <v>2676</v>
      </c>
      <c r="D86" s="2829" t="s">
        <v>2677</v>
      </c>
      <c r="E86" s="2855">
        <v>0.1</v>
      </c>
      <c r="F86" s="2855">
        <v>15</v>
      </c>
    </row>
    <row r="87" spans="1:6" ht="24">
      <c r="A87" s="2855">
        <v>15</v>
      </c>
      <c r="B87" s="3510"/>
      <c r="C87" s="2829" t="s">
        <v>2678</v>
      </c>
      <c r="D87" s="2829" t="s">
        <v>2679</v>
      </c>
      <c r="E87" s="2855">
        <v>0.1</v>
      </c>
      <c r="F87" s="2855">
        <v>15</v>
      </c>
    </row>
    <row r="88" spans="1:6" ht="24">
      <c r="A88" s="2855">
        <v>16</v>
      </c>
      <c r="B88" s="3510"/>
      <c r="C88" s="2829" t="s">
        <v>2680</v>
      </c>
      <c r="D88" s="2829" t="s">
        <v>2681</v>
      </c>
      <c r="E88" s="2855">
        <v>0.1</v>
      </c>
      <c r="F88" s="2855">
        <v>15</v>
      </c>
    </row>
    <row r="89" spans="1:6" ht="24">
      <c r="A89" s="2855">
        <v>17</v>
      </c>
      <c r="B89" s="3509"/>
      <c r="C89" s="2829" t="s">
        <v>2682</v>
      </c>
      <c r="D89" s="2829" t="s">
        <v>2683</v>
      </c>
      <c r="E89" s="2855">
        <v>0.1</v>
      </c>
      <c r="F89" s="2855">
        <v>15</v>
      </c>
    </row>
    <row r="90" spans="1:6" ht="14.4">
      <c r="A90" s="2855">
        <v>18</v>
      </c>
      <c r="B90" s="3508" t="s">
        <v>2684</v>
      </c>
      <c r="C90" s="2829" t="s">
        <v>2685</v>
      </c>
      <c r="D90" s="2829" t="s">
        <v>2686</v>
      </c>
      <c r="E90" s="2855">
        <v>0.2</v>
      </c>
      <c r="F90" s="2855">
        <v>25</v>
      </c>
    </row>
    <row r="91" spans="1:6" ht="24">
      <c r="A91" s="2855">
        <v>19</v>
      </c>
      <c r="B91" s="3510"/>
      <c r="C91" s="2829" t="s">
        <v>2687</v>
      </c>
      <c r="D91" s="2829" t="s">
        <v>2688</v>
      </c>
      <c r="E91" s="2855">
        <v>0.2</v>
      </c>
      <c r="F91" s="2855">
        <v>25</v>
      </c>
    </row>
    <row r="92" spans="1:6" ht="14.4">
      <c r="A92" s="2855">
        <v>20</v>
      </c>
      <c r="B92" s="3510"/>
      <c r="C92" s="2829" t="s">
        <v>2689</v>
      </c>
      <c r="D92" s="2829" t="s">
        <v>2690</v>
      </c>
      <c r="E92" s="2855">
        <v>0.15</v>
      </c>
      <c r="F92" s="2855">
        <v>20</v>
      </c>
    </row>
    <row r="93" spans="1:6" ht="24">
      <c r="A93" s="2855">
        <v>21</v>
      </c>
      <c r="B93" s="3510"/>
      <c r="C93" s="2829" t="s">
        <v>2691</v>
      </c>
      <c r="D93" s="2829" t="s">
        <v>2692</v>
      </c>
      <c r="E93" s="2855">
        <v>0.15</v>
      </c>
      <c r="F93" s="2855">
        <v>20</v>
      </c>
    </row>
    <row r="94" spans="1:6" ht="24">
      <c r="A94" s="2855">
        <v>22</v>
      </c>
      <c r="B94" s="3510"/>
      <c r="C94" s="2829" t="s">
        <v>2693</v>
      </c>
      <c r="D94" s="2829" t="s">
        <v>2694</v>
      </c>
      <c r="E94" s="2855">
        <v>0.15</v>
      </c>
      <c r="F94" s="2855">
        <v>20</v>
      </c>
    </row>
    <row r="95" spans="1:6" ht="36">
      <c r="A95" s="2855">
        <v>23</v>
      </c>
      <c r="B95" s="3510"/>
      <c r="C95" s="2829" t="s">
        <v>2695</v>
      </c>
      <c r="D95" s="2829" t="s">
        <v>2696</v>
      </c>
      <c r="E95" s="2855">
        <v>0.15</v>
      </c>
      <c r="F95" s="2855">
        <v>20</v>
      </c>
    </row>
    <row r="96" spans="1:6" ht="24">
      <c r="A96" s="2855">
        <v>24</v>
      </c>
      <c r="B96" s="3510"/>
      <c r="C96" s="2829" t="s">
        <v>2697</v>
      </c>
      <c r="D96" s="2829" t="s">
        <v>2698</v>
      </c>
      <c r="E96" s="2855">
        <v>0.1</v>
      </c>
      <c r="F96" s="2855">
        <v>15</v>
      </c>
    </row>
    <row r="97" spans="1:6" ht="24">
      <c r="A97" s="2855">
        <v>25</v>
      </c>
      <c r="B97" s="3510"/>
      <c r="C97" s="2829" t="s">
        <v>2699</v>
      </c>
      <c r="D97" s="2829" t="s">
        <v>2700</v>
      </c>
      <c r="E97" s="2855">
        <v>0.1</v>
      </c>
      <c r="F97" s="2855">
        <v>15</v>
      </c>
    </row>
    <row r="98" spans="1:6" ht="24">
      <c r="A98" s="2855">
        <v>26</v>
      </c>
      <c r="B98" s="3510"/>
      <c r="C98" s="2829" t="s">
        <v>2701</v>
      </c>
      <c r="D98" s="2829" t="s">
        <v>2702</v>
      </c>
      <c r="E98" s="2855">
        <v>0.1</v>
      </c>
      <c r="F98" s="2855">
        <v>15</v>
      </c>
    </row>
    <row r="99" spans="1:6" ht="24">
      <c r="A99" s="2855">
        <v>27</v>
      </c>
      <c r="B99" s="3510"/>
      <c r="C99" s="2829" t="s">
        <v>2703</v>
      </c>
      <c r="D99" s="2829" t="s">
        <v>2704</v>
      </c>
      <c r="E99" s="2855">
        <v>0.1</v>
      </c>
      <c r="F99" s="2855">
        <v>15</v>
      </c>
    </row>
    <row r="100" spans="1:6" ht="24">
      <c r="A100" s="2855">
        <v>28</v>
      </c>
      <c r="B100" s="3510"/>
      <c r="C100" s="2829" t="s">
        <v>2705</v>
      </c>
      <c r="D100" s="2829" t="s">
        <v>2706</v>
      </c>
      <c r="E100" s="2855">
        <v>0.1</v>
      </c>
      <c r="F100" s="2855">
        <v>15</v>
      </c>
    </row>
    <row r="101" spans="1:6" ht="24">
      <c r="A101" s="2855">
        <v>29</v>
      </c>
      <c r="B101" s="3510"/>
      <c r="C101" s="2829" t="s">
        <v>2707</v>
      </c>
      <c r="D101" s="2829" t="s">
        <v>2708</v>
      </c>
      <c r="E101" s="2855">
        <v>0.1</v>
      </c>
      <c r="F101" s="2855">
        <v>15</v>
      </c>
    </row>
    <row r="102" spans="1:6" ht="24">
      <c r="A102" s="2855">
        <v>30</v>
      </c>
      <c r="B102" s="3510"/>
      <c r="C102" s="2829" t="s">
        <v>2709</v>
      </c>
      <c r="D102" s="2829" t="s">
        <v>2710</v>
      </c>
      <c r="E102" s="2855">
        <v>0.1</v>
      </c>
      <c r="F102" s="2855">
        <v>15</v>
      </c>
    </row>
    <row r="103" spans="1:6" ht="24">
      <c r="A103" s="2855">
        <v>31</v>
      </c>
      <c r="B103" s="3510"/>
      <c r="C103" s="2829" t="s">
        <v>2711</v>
      </c>
      <c r="D103" s="2829" t="s">
        <v>2712</v>
      </c>
      <c r="E103" s="2855">
        <v>0.1</v>
      </c>
      <c r="F103" s="2855">
        <v>15</v>
      </c>
    </row>
    <row r="104" spans="1:6" ht="24">
      <c r="A104" s="2855">
        <v>32</v>
      </c>
      <c r="B104" s="3510"/>
      <c r="C104" s="2829" t="s">
        <v>2713</v>
      </c>
      <c r="D104" s="2829" t="s">
        <v>2714</v>
      </c>
      <c r="E104" s="2855">
        <v>0.1</v>
      </c>
      <c r="F104" s="2855">
        <v>15</v>
      </c>
    </row>
    <row r="105" spans="1:6" ht="24">
      <c r="A105" s="2855">
        <v>33</v>
      </c>
      <c r="B105" s="3510"/>
      <c r="C105" s="2829" t="s">
        <v>2715</v>
      </c>
      <c r="D105" s="2829" t="s">
        <v>2716</v>
      </c>
      <c r="E105" s="2855">
        <v>0.1</v>
      </c>
      <c r="F105" s="2855">
        <v>15</v>
      </c>
    </row>
    <row r="106" spans="1:6" ht="24">
      <c r="A106" s="2855">
        <v>34</v>
      </c>
      <c r="B106" s="3509"/>
      <c r="C106" s="2829" t="s">
        <v>2717</v>
      </c>
      <c r="D106" s="2829" t="s">
        <v>2718</v>
      </c>
      <c r="E106" s="2855">
        <v>0.1</v>
      </c>
      <c r="F106" s="2855">
        <v>15</v>
      </c>
    </row>
    <row r="107" spans="1:6" ht="36">
      <c r="A107" s="2855">
        <v>35</v>
      </c>
      <c r="B107" s="3508" t="s">
        <v>2719</v>
      </c>
      <c r="C107" s="2855" t="s">
        <v>2720</v>
      </c>
      <c r="D107" s="2829" t="s">
        <v>2721</v>
      </c>
      <c r="E107" s="2855">
        <v>0.15</v>
      </c>
      <c r="F107" s="2855">
        <v>20</v>
      </c>
    </row>
    <row r="108" spans="1:6" ht="24">
      <c r="A108" s="2855">
        <v>36</v>
      </c>
      <c r="B108" s="3510"/>
      <c r="C108" s="2855" t="s">
        <v>2722</v>
      </c>
      <c r="D108" s="2829" t="s">
        <v>2723</v>
      </c>
      <c r="E108" s="2855">
        <v>0.15</v>
      </c>
      <c r="F108" s="2855">
        <v>20</v>
      </c>
    </row>
    <row r="109" spans="1:6" ht="24">
      <c r="A109" s="2855">
        <v>37</v>
      </c>
      <c r="B109" s="3510"/>
      <c r="C109" s="2855" t="s">
        <v>2724</v>
      </c>
      <c r="D109" s="2829" t="s">
        <v>2725</v>
      </c>
      <c r="E109" s="2855">
        <v>0.15</v>
      </c>
      <c r="F109" s="2855">
        <v>20</v>
      </c>
    </row>
    <row r="110" spans="1:6" ht="24">
      <c r="A110" s="2855">
        <v>38</v>
      </c>
      <c r="B110" s="3510"/>
      <c r="C110" s="2855" t="s">
        <v>2726</v>
      </c>
      <c r="D110" s="2829" t="s">
        <v>2727</v>
      </c>
      <c r="E110" s="2855">
        <v>0.1</v>
      </c>
      <c r="F110" s="2855">
        <v>15</v>
      </c>
    </row>
    <row r="111" spans="1:6" ht="24">
      <c r="A111" s="2855">
        <v>39</v>
      </c>
      <c r="B111" s="3510"/>
      <c r="C111" s="2855" t="s">
        <v>2728</v>
      </c>
      <c r="D111" s="2829" t="s">
        <v>2729</v>
      </c>
      <c r="E111" s="2855">
        <v>0.1</v>
      </c>
      <c r="F111" s="2855">
        <v>15</v>
      </c>
    </row>
    <row r="112" spans="1:6" ht="24">
      <c r="A112" s="2855">
        <v>40</v>
      </c>
      <c r="B112" s="3509"/>
      <c r="C112" s="2855" t="s">
        <v>2730</v>
      </c>
      <c r="D112" s="2829" t="s">
        <v>2731</v>
      </c>
      <c r="E112" s="2855">
        <v>0.1</v>
      </c>
      <c r="F112" s="2855">
        <v>15</v>
      </c>
    </row>
    <row r="113" spans="1:6" ht="24">
      <c r="A113" s="2855">
        <v>41</v>
      </c>
      <c r="B113" s="3507" t="s">
        <v>2732</v>
      </c>
      <c r="C113" s="2855" t="s">
        <v>2733</v>
      </c>
      <c r="D113" s="2829" t="s">
        <v>2734</v>
      </c>
      <c r="E113" s="2855">
        <v>0.1</v>
      </c>
      <c r="F113" s="2855">
        <v>15</v>
      </c>
    </row>
    <row r="114" spans="1:6" ht="24">
      <c r="A114" s="2855">
        <v>42</v>
      </c>
      <c r="B114" s="3507"/>
      <c r="C114" s="2855" t="s">
        <v>2735</v>
      </c>
      <c r="D114" s="2829" t="s">
        <v>2736</v>
      </c>
      <c r="E114" s="2855">
        <v>0.1</v>
      </c>
      <c r="F114" s="2855">
        <v>15</v>
      </c>
    </row>
    <row r="115" spans="1:6" ht="24">
      <c r="A115" s="2855">
        <v>43</v>
      </c>
      <c r="B115" s="3507"/>
      <c r="C115" s="2855" t="s">
        <v>2737</v>
      </c>
      <c r="D115" s="2829" t="s">
        <v>2738</v>
      </c>
      <c r="E115" s="2855">
        <v>0.1</v>
      </c>
      <c r="F115" s="2855">
        <v>15</v>
      </c>
    </row>
    <row r="116" spans="1:6" ht="24">
      <c r="A116" s="2855">
        <v>44</v>
      </c>
      <c r="B116" s="3508" t="s">
        <v>2739</v>
      </c>
      <c r="C116" s="2855" t="s">
        <v>2740</v>
      </c>
      <c r="D116" s="2829" t="s">
        <v>2741</v>
      </c>
      <c r="E116" s="2855">
        <v>0.1</v>
      </c>
      <c r="F116" s="2855">
        <v>15</v>
      </c>
    </row>
    <row r="117" spans="1:6" ht="24">
      <c r="A117" s="2855">
        <v>45</v>
      </c>
      <c r="B117" s="3509"/>
      <c r="C117" s="2829" t="s">
        <v>2742</v>
      </c>
      <c r="D117" s="2829" t="s">
        <v>2743</v>
      </c>
      <c r="E117" s="2855">
        <v>0.1</v>
      </c>
      <c r="F117" s="2855">
        <v>15</v>
      </c>
    </row>
    <row r="118" spans="1:6" ht="24">
      <c r="A118" s="2855">
        <v>46</v>
      </c>
      <c r="B118" s="3508" t="s">
        <v>2744</v>
      </c>
      <c r="C118" s="2855" t="s">
        <v>2745</v>
      </c>
      <c r="D118" s="2829" t="s">
        <v>2746</v>
      </c>
      <c r="E118" s="2855">
        <v>0.1</v>
      </c>
      <c r="F118" s="2855">
        <v>15</v>
      </c>
    </row>
    <row r="119" spans="1:6" ht="24">
      <c r="A119" s="2855">
        <v>47</v>
      </c>
      <c r="B119" s="3509"/>
      <c r="C119" s="2855" t="s">
        <v>2747</v>
      </c>
      <c r="D119" s="2829" t="s">
        <v>2748</v>
      </c>
      <c r="E119" s="2855">
        <v>0.1</v>
      </c>
      <c r="F119" s="2855">
        <v>15</v>
      </c>
    </row>
    <row r="120" spans="1:6" ht="24">
      <c r="A120" s="2855">
        <v>48</v>
      </c>
      <c r="B120" s="3508" t="s">
        <v>2749</v>
      </c>
      <c r="C120" s="2855" t="s">
        <v>2750</v>
      </c>
      <c r="D120" s="2829" t="s">
        <v>2751</v>
      </c>
      <c r="E120" s="2855">
        <v>0.1</v>
      </c>
      <c r="F120" s="2855">
        <v>15</v>
      </c>
    </row>
    <row r="121" spans="1:6" ht="24">
      <c r="A121" s="2855">
        <v>49</v>
      </c>
      <c r="B121" s="3509"/>
      <c r="C121" s="2855" t="s">
        <v>2752</v>
      </c>
      <c r="D121" s="2829" t="s">
        <v>2753</v>
      </c>
      <c r="E121" s="2855">
        <v>0.1</v>
      </c>
      <c r="F121" s="2855">
        <v>15</v>
      </c>
    </row>
    <row r="122" spans="1:6" ht="24">
      <c r="A122" s="2855">
        <v>50</v>
      </c>
      <c r="B122" s="3507" t="s">
        <v>2754</v>
      </c>
      <c r="C122" s="2855" t="s">
        <v>2755</v>
      </c>
      <c r="D122" s="2829" t="s">
        <v>2756</v>
      </c>
      <c r="E122" s="2855">
        <v>0.1</v>
      </c>
      <c r="F122" s="2855">
        <v>15</v>
      </c>
    </row>
    <row r="123" spans="1:6" ht="24">
      <c r="A123" s="2855">
        <v>51</v>
      </c>
      <c r="B123" s="3507"/>
      <c r="C123" s="2855" t="s">
        <v>2757</v>
      </c>
      <c r="D123" s="2829" t="s">
        <v>2758</v>
      </c>
      <c r="E123" s="2855">
        <v>0.1</v>
      </c>
      <c r="F123" s="2855">
        <v>15</v>
      </c>
    </row>
    <row r="124" spans="1:6" ht="24">
      <c r="A124" s="2855">
        <v>52</v>
      </c>
      <c r="B124" s="3507" t="s">
        <v>2759</v>
      </c>
      <c r="C124" s="2855" t="s">
        <v>2760</v>
      </c>
      <c r="D124" s="2829" t="s">
        <v>2761</v>
      </c>
      <c r="E124" s="2855">
        <v>0.1</v>
      </c>
      <c r="F124" s="2855">
        <v>15</v>
      </c>
    </row>
    <row r="125" spans="1:6" ht="24">
      <c r="A125" s="2855">
        <v>53</v>
      </c>
      <c r="B125" s="3507"/>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507" t="s">
        <v>2767</v>
      </c>
      <c r="C127" s="2855" t="s">
        <v>2768</v>
      </c>
      <c r="D127" s="2829" t="s">
        <v>2769</v>
      </c>
      <c r="E127" s="2855">
        <v>0.1</v>
      </c>
      <c r="F127" s="2855">
        <v>15</v>
      </c>
    </row>
    <row r="128" spans="1:6" ht="24">
      <c r="A128" s="2855">
        <v>56</v>
      </c>
      <c r="B128" s="3507"/>
      <c r="C128" s="2855" t="s">
        <v>2770</v>
      </c>
      <c r="D128" s="2829" t="s">
        <v>2771</v>
      </c>
      <c r="E128" s="2855">
        <v>0.1</v>
      </c>
      <c r="F128" s="2855">
        <v>15</v>
      </c>
    </row>
    <row r="129" spans="1:6" ht="24">
      <c r="A129" s="2855">
        <v>57</v>
      </c>
      <c r="B129" s="3507"/>
      <c r="C129" s="2855" t="s">
        <v>2772</v>
      </c>
      <c r="D129" s="2829" t="s">
        <v>2773</v>
      </c>
      <c r="E129" s="2855">
        <v>0.1</v>
      </c>
      <c r="F129" s="2855">
        <v>15</v>
      </c>
    </row>
    <row r="130" spans="1:6" ht="24">
      <c r="A130" s="2855">
        <v>58</v>
      </c>
      <c r="B130" s="3507" t="s">
        <v>2774</v>
      </c>
      <c r="C130" s="2855" t="s">
        <v>2775</v>
      </c>
      <c r="D130" s="2829" t="s">
        <v>2776</v>
      </c>
      <c r="E130" s="2855">
        <v>0.1</v>
      </c>
      <c r="F130" s="2855">
        <v>15</v>
      </c>
    </row>
    <row r="131" spans="1:6" ht="24">
      <c r="A131" s="2855">
        <v>59</v>
      </c>
      <c r="B131" s="3507"/>
      <c r="C131" s="2855" t="s">
        <v>2777</v>
      </c>
      <c r="D131" s="2829" t="s">
        <v>2778</v>
      </c>
      <c r="E131" s="2855">
        <v>0.1</v>
      </c>
      <c r="F131" s="2855">
        <v>15</v>
      </c>
    </row>
    <row r="132" spans="1:6" ht="24">
      <c r="A132" s="2855">
        <v>60</v>
      </c>
      <c r="B132" s="3508" t="s">
        <v>2779</v>
      </c>
      <c r="C132" s="2855" t="s">
        <v>2780</v>
      </c>
      <c r="D132" s="2829" t="s">
        <v>2781</v>
      </c>
      <c r="E132" s="2855">
        <v>0.1</v>
      </c>
      <c r="F132" s="2855">
        <v>15</v>
      </c>
    </row>
    <row r="133" spans="1:6" ht="24">
      <c r="A133" s="2855">
        <v>61</v>
      </c>
      <c r="B133" s="3509"/>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507" t="s">
        <v>2787</v>
      </c>
      <c r="C135" s="2855" t="s">
        <v>2788</v>
      </c>
      <c r="D135" s="2829" t="s">
        <v>2789</v>
      </c>
      <c r="E135" s="2855">
        <v>0.1</v>
      </c>
      <c r="F135" s="2855">
        <v>15</v>
      </c>
    </row>
    <row r="136" spans="1:6" ht="24">
      <c r="A136" s="2855">
        <v>64</v>
      </c>
      <c r="B136" s="3507"/>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估价结果一览表（市场价值不需“结果表-1”）</v>
      </c>
      <c r="B3" s="3204"/>
      <c r="C3" s="3204"/>
      <c r="D3" s="3204"/>
      <c r="E3" s="3204"/>
    </row>
    <row r="4" spans="1:5" ht="18" thickBot="1">
      <c r="A4" s="1391"/>
      <c r="B4" s="3202" t="s">
        <v>917</v>
      </c>
      <c r="C4" s="3202"/>
      <c r="D4" s="3202"/>
      <c r="E4" s="1391"/>
    </row>
    <row r="5" spans="1:5" ht="16.2" thickTop="1">
      <c r="B5" s="3200" t="s">
        <v>909</v>
      </c>
      <c r="C5" s="1392" t="s">
        <v>910</v>
      </c>
      <c r="D5" s="797" t="e">
        <f ca="1">结果表!H101</f>
        <v>#REF!</v>
      </c>
    </row>
    <row r="6" spans="1:5" ht="15.6">
      <c r="B6" s="3200"/>
      <c r="C6" s="1392" t="s">
        <v>911</v>
      </c>
      <c r="D6" s="797" t="e">
        <f ca="1">NUMBERSTRING(INT(D5*10000),2)&amp;"元整"</f>
        <v>#REF!</v>
      </c>
    </row>
    <row r="7" spans="1:5" ht="15.6">
      <c r="B7" s="3205"/>
      <c r="C7" s="1393" t="s">
        <v>912</v>
      </c>
      <c r="D7" s="798" t="e">
        <f ca="1">结果表!H102</f>
        <v>#REF!</v>
      </c>
    </row>
    <row r="8" spans="1:5" ht="15.6">
      <c r="B8" s="3206" t="str">
        <f>结果表!E103</f>
        <v>2.估价师知悉的法定优先受偿款</v>
      </c>
      <c r="C8" s="1394" t="s">
        <v>913</v>
      </c>
      <c r="D8" s="798">
        <f>结果表!H103</f>
        <v>0</v>
      </c>
    </row>
    <row r="9" spans="1:5" ht="15.6">
      <c r="B9" s="320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9" t="str">
        <f>结果表!E107</f>
        <v>3.房地产抵押价值</v>
      </c>
      <c r="C13" s="1397" t="s">
        <v>910</v>
      </c>
      <c r="D13" s="800" t="e">
        <f ca="1">结果表!H107</f>
        <v>#REF!</v>
      </c>
    </row>
    <row r="14" spans="1:5" ht="15.6">
      <c r="B14" s="3200"/>
      <c r="C14" s="1392" t="s">
        <v>911</v>
      </c>
      <c r="D14" s="797" t="e">
        <f ca="1">NUMBERSTRING(INT(D13*10000),2)&amp;"元整"</f>
        <v>#REF!</v>
      </c>
    </row>
    <row r="15" spans="1:5" ht="15.6">
      <c r="B15" s="3205"/>
      <c r="C15" s="1393" t="s">
        <v>921</v>
      </c>
      <c r="D15" s="806" t="e">
        <f ca="1">结果表!H108</f>
        <v>#REF!</v>
      </c>
    </row>
    <row r="16" spans="1:5" ht="15.6">
      <c r="B16" s="3206" t="str">
        <f>结果表!E109</f>
        <v>——</v>
      </c>
      <c r="C16" s="1397" t="s">
        <v>922</v>
      </c>
      <c r="D16" s="1398" t="str">
        <f>结果表!H109</f>
        <v>——</v>
      </c>
    </row>
    <row r="17" spans="1:5" ht="15.6">
      <c r="B17" s="3207"/>
      <c r="C17" s="1392" t="s">
        <v>923</v>
      </c>
      <c r="D17" s="797" t="e">
        <f>NUMBERSTRING(INT(D16*10000),2)&amp;"元整"</f>
        <v>#VALUE!</v>
      </c>
    </row>
    <row r="18" spans="1:5" ht="15.6">
      <c r="B18" s="3208"/>
      <c r="C18" s="1393" t="s">
        <v>912</v>
      </c>
      <c r="D18" s="806" t="str">
        <f>结果表!H110</f>
        <v>——</v>
      </c>
    </row>
    <row r="19" spans="1:5" ht="15.6">
      <c r="B19" s="3199" t="str">
        <f>结果表!E111</f>
        <v>——</v>
      </c>
      <c r="C19" s="1397" t="s">
        <v>910</v>
      </c>
      <c r="D19" s="798" t="str">
        <f>结果表!H111</f>
        <v>——</v>
      </c>
    </row>
    <row r="20" spans="1:5" ht="15.6">
      <c r="B20" s="3200"/>
      <c r="C20" s="1392" t="s">
        <v>923</v>
      </c>
      <c r="D20" s="797" t="e">
        <f>NUMBERSTRING(INT(D19*10000),2)&amp;"元整"</f>
        <v>#VALUE!</v>
      </c>
    </row>
    <row r="21" spans="1:5" ht="16.2" thickBot="1">
      <c r="B21" s="320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26163</v>
      </c>
      <c r="C2" s="2" t="s">
        <v>106</v>
      </c>
      <c r="D2" s="191"/>
      <c r="E2" s="191"/>
      <c r="F2" s="191"/>
      <c r="G2" s="191"/>
    </row>
    <row r="3" spans="1:7" s="192" customFormat="1" ht="18" customHeight="1" thickBot="1">
      <c r="A3" s="195" t="s">
        <v>58</v>
      </c>
      <c r="B3" s="196">
        <f ca="1">ROUND(B2*10000/'数据-汇总表'!E3,0)</f>
        <v>172636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v>
      </c>
      <c r="D10" s="795">
        <f>'数据-汇总表'!E6</f>
        <v>1515.5000000000002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v>
      </c>
      <c r="D19" s="204">
        <f>'数据-汇总表'!E3</f>
        <v>1515.5000000000002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455</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v>
      </c>
      <c r="D37" s="209">
        <f>'数据-汇总表'!E3</f>
        <v>1515.5000000000002</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2.9999999999999997E-4</v>
      </c>
      <c r="D44" s="230"/>
      <c r="E44" s="230"/>
      <c r="F44" s="231"/>
      <c r="G44" s="3382"/>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625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438</v>
      </c>
      <c r="D51" s="224"/>
      <c r="E51" s="224"/>
      <c r="F51" s="256"/>
      <c r="G51" s="226" t="s">
        <v>37</v>
      </c>
    </row>
    <row r="52" spans="1:7" s="200" customFormat="1" ht="16.8" thickBot="1">
      <c r="A52" s="257" t="s">
        <v>38</v>
      </c>
      <c r="B52" s="258"/>
      <c r="C52" s="259">
        <f ca="1">C31+C51</f>
        <v>26163</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M35" sqref="M35"/>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1" t="s">
        <v>2837</v>
      </c>
      <c r="B1" s="3521"/>
      <c r="C1" s="3521"/>
      <c r="D1" s="3521"/>
      <c r="E1" s="3521"/>
      <c r="F1" s="3521"/>
      <c r="G1" s="3522"/>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19"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520"/>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3" t="s">
        <v>3179</v>
      </c>
      <c r="B1" s="3523"/>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524" t="s">
        <v>3230</v>
      </c>
      <c r="B1" s="3524"/>
      <c r="C1" s="3524"/>
      <c r="D1" s="3524"/>
      <c r="E1" s="3524"/>
      <c r="F1" s="3525"/>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M35" sqref="M35"/>
    </sheetView>
  </sheetViews>
  <sheetFormatPr defaultRowHeight="14.4"/>
  <cols>
    <col min="1" max="1" width="13.88671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26" t="s">
        <v>456</v>
      </c>
      <c r="S1" s="3527"/>
      <c r="T1" s="3527"/>
      <c r="U1" s="3527"/>
      <c r="V1" s="3527"/>
      <c r="W1" s="3527"/>
      <c r="X1" s="2894"/>
      <c r="Y1" s="3526" t="s">
        <v>457</v>
      </c>
      <c r="Z1" s="3527"/>
      <c r="AA1" s="3527"/>
      <c r="AB1" s="3527"/>
      <c r="AC1" s="3527"/>
      <c r="AD1" s="3527"/>
    </row>
    <row r="2" spans="1:30" s="2010" customFormat="1" ht="1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3.2">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0" t="s">
        <v>3383</v>
      </c>
    </row>
    <row r="24" spans="1:30">
      <c r="I24" s="1405" t="s">
        <v>2823</v>
      </c>
    </row>
    <row r="26" spans="1:30" s="2009" customFormat="1" ht="13.2">
      <c r="B26" s="2927" t="s">
        <v>3381</v>
      </c>
      <c r="C26" s="2928"/>
      <c r="D26" s="2928"/>
      <c r="E26" s="2928"/>
      <c r="F26" s="2928"/>
      <c r="G26" s="2928"/>
      <c r="H26" s="2928"/>
      <c r="I26" s="2928"/>
      <c r="J26" s="2894"/>
      <c r="K26" s="2928" t="s">
        <v>2824</v>
      </c>
      <c r="L26" s="2928"/>
      <c r="M26" s="2928"/>
      <c r="N26" s="2928"/>
      <c r="O26" s="2928"/>
      <c r="P26" s="2928"/>
      <c r="Q26" s="2894"/>
      <c r="R26" s="3526" t="s">
        <v>2825</v>
      </c>
      <c r="S26" s="3527"/>
      <c r="T26" s="3527"/>
      <c r="U26" s="3527"/>
      <c r="V26" s="3527"/>
      <c r="W26" s="3527"/>
      <c r="X26" s="2894"/>
      <c r="Y26" s="3526" t="s">
        <v>2826</v>
      </c>
      <c r="Z26" s="3527"/>
      <c r="AA26" s="3527"/>
      <c r="AB26" s="3527"/>
      <c r="AC26" s="3527"/>
      <c r="AD26" s="3527"/>
    </row>
    <row r="27" spans="1:30" s="2010" customFormat="1" ht="1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3.2">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M35" sqref="M35"/>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M35" sqref="M35"/>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6" t="str">
        <f>IF(项目基本情况!B9="房地产市场价值","估价结果一览表","结果表-2")</f>
        <v>估价结果一览表</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房地产市场价值</v>
      </c>
      <c r="I2" s="3217"/>
    </row>
    <row r="3" spans="1:9" ht="15.6">
      <c r="A3" s="3212"/>
      <c r="B3" s="3212"/>
      <c r="C3" s="3212"/>
      <c r="D3" s="801" t="s">
        <v>925</v>
      </c>
      <c r="E3" s="801" t="s">
        <v>931</v>
      </c>
      <c r="F3" s="801" t="s">
        <v>925</v>
      </c>
      <c r="G3" s="801" t="s">
        <v>926</v>
      </c>
      <c r="H3" s="801" t="s">
        <v>925</v>
      </c>
      <c r="I3" s="801" t="s">
        <v>926</v>
      </c>
    </row>
    <row r="4" spans="1:9" ht="30">
      <c r="A4" s="1403" t="str">
        <f>项目基本情况!S2</f>
        <v>北京市房山区城关街道北大街17号房地产</v>
      </c>
      <c r="B4" s="801">
        <f>项目基本情况!C17</f>
        <v>1515.5000000000002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6">
      <c r="A6" s="3211" t="str">
        <f>结果表!A120</f>
        <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6">
      <c r="A8" s="3211" t="str">
        <f>结果表!A122</f>
        <v/>
      </c>
      <c r="B8" s="3211"/>
      <c r="C8" s="3211"/>
      <c r="D8" s="3211" t="e">
        <f ca="1">结果表!D122</f>
        <v>#REF!</v>
      </c>
      <c r="E8" s="3211"/>
      <c r="F8" s="3211"/>
      <c r="G8" s="3211"/>
      <c r="H8" s="3211"/>
      <c r="I8" s="3211"/>
    </row>
    <row r="9" spans="1:9" ht="15">
      <c r="A9" s="3212" t="s">
        <v>927</v>
      </c>
      <c r="B9" s="3212"/>
      <c r="C9" s="3212"/>
      <c r="D9" s="3212" t="e">
        <f ca="1">结果表!D123</f>
        <v>#REF!</v>
      </c>
      <c r="E9" s="3212"/>
      <c r="F9" s="3212"/>
      <c r="G9" s="3212"/>
      <c r="H9" s="3212"/>
      <c r="I9" s="3212"/>
    </row>
    <row r="10" spans="1:9" ht="15.6">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6">
      <c r="A12" s="3211" t="str">
        <f>结果表!A126</f>
        <v/>
      </c>
      <c r="B12" s="3211"/>
      <c r="C12" s="3211"/>
      <c r="D12" s="3211" t="str">
        <f>结果表!D126</f>
        <v>——</v>
      </c>
      <c r="E12" s="3211"/>
      <c r="F12" s="3211"/>
      <c r="G12" s="3211"/>
      <c r="H12" s="3211"/>
      <c r="I12" s="3211"/>
    </row>
    <row r="13" spans="1:9" ht="15.6" thickBot="1">
      <c r="A13" s="3209" t="s">
        <v>927</v>
      </c>
      <c r="B13" s="3209"/>
      <c r="C13" s="3209"/>
      <c r="D13" s="3209" t="e">
        <f>结果表!D127</f>
        <v>#VALUE!</v>
      </c>
      <c r="E13" s="3209"/>
      <c r="F13" s="3209"/>
      <c r="G13" s="3209"/>
      <c r="H13" s="3209"/>
      <c r="I13" s="3209"/>
    </row>
    <row r="14" spans="1:9" ht="14.4" thickTop="1">
      <c r="A14" s="3210" t="s">
        <v>932</v>
      </c>
      <c r="B14" s="3210"/>
      <c r="C14" s="3210"/>
      <c r="D14" s="3210"/>
      <c r="E14" s="3210"/>
      <c r="F14" s="3210"/>
      <c r="G14" s="3210"/>
      <c r="H14" s="3210"/>
      <c r="I14" s="321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4" t="s">
        <v>949</v>
      </c>
      <c r="B1" s="3224"/>
      <c r="C1" s="3224"/>
      <c r="D1" s="3224"/>
    </row>
    <row r="2" spans="1:4" ht="17.399999999999999">
      <c r="A2" s="3225" t="s">
        <v>933</v>
      </c>
      <c r="B2" s="3225"/>
      <c r="C2" s="3225"/>
      <c r="D2" s="3225"/>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25" t="s">
        <v>939</v>
      </c>
      <c r="B6" s="3225"/>
      <c r="C6" s="3225"/>
      <c r="D6" s="322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6" t="s">
        <v>942</v>
      </c>
      <c r="B11" s="3218"/>
      <c r="C11" s="3218"/>
      <c r="D11" s="3218"/>
    </row>
    <row r="12" spans="1:4" ht="15.6">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18" t="str">
        <f>IF(项目基本情况!B8="抵押","3.抵押双方在办理抵押登记手续时，应使用本公司出具的正式《房地产评估报告》，特提醒报告使用者注意。","——")</f>
        <v>——</v>
      </c>
      <c r="B13" s="3223"/>
      <c r="C13" s="3223"/>
      <c r="D13" s="3223"/>
    </row>
    <row r="14" spans="1:4" ht="15.75" customHeight="1">
      <c r="A14" s="3218" t="str">
        <f>IF(项目基本情况!B8="抵押","4.本次评估估价师所知悉的法定优先受偿款情况说明如下：","——")</f>
        <v>——</v>
      </c>
      <c r="B14" s="3223"/>
      <c r="C14" s="3223"/>
      <c r="D14" s="3223"/>
    </row>
    <row r="15" spans="1:4" ht="42" customHeight="1">
      <c r="A15" s="3218" t="str">
        <f>IF(项目基本情况!B8="抵押","（1）"&amp;CONCATENATE(项目基本情况!L20,项目基本情况!L21,项目基本情况!L22),"——")</f>
        <v>——</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2" t="s">
        <v>956</v>
      </c>
      <c r="B15" s="3227" t="s">
        <v>109</v>
      </c>
      <c r="C15" s="3228"/>
    </row>
    <row r="16" spans="1:7" ht="14.4">
      <c r="A16" s="3233"/>
      <c r="B16" s="3227" t="s">
        <v>42</v>
      </c>
      <c r="C16" s="3228"/>
    </row>
    <row r="17" spans="1:3" ht="14.4">
      <c r="A17" s="3233"/>
      <c r="B17" s="3230" t="s">
        <v>957</v>
      </c>
      <c r="C17" s="1429" t="s">
        <v>956</v>
      </c>
    </row>
    <row r="18" spans="1:3" ht="14.4">
      <c r="A18" s="3233"/>
      <c r="B18" s="3230"/>
      <c r="C18" s="1429" t="s">
        <v>958</v>
      </c>
    </row>
    <row r="19" spans="1:3" ht="14.4">
      <c r="A19" s="3233"/>
      <c r="B19" s="3230"/>
      <c r="C19" s="1429" t="s">
        <v>959</v>
      </c>
    </row>
    <row r="20" spans="1:3" ht="14.4">
      <c r="A20" s="3234"/>
      <c r="B20" s="3229" t="s">
        <v>960</v>
      </c>
      <c r="C20" s="3228"/>
    </row>
    <row r="21" spans="1:3" ht="14.4">
      <c r="A21" s="1430" t="s">
        <v>961</v>
      </c>
      <c r="B21" s="1431"/>
      <c r="C21" s="1432"/>
    </row>
    <row r="22" spans="1:3" ht="14.4">
      <c r="A22" s="3231" t="s">
        <v>962</v>
      </c>
      <c r="B22" s="3229" t="s">
        <v>963</v>
      </c>
      <c r="C22" s="3228"/>
    </row>
    <row r="23" spans="1:3" ht="14.4">
      <c r="A23" s="3231"/>
      <c r="B23" s="3229" t="s">
        <v>964</v>
      </c>
      <c r="C23" s="3228"/>
    </row>
    <row r="24" spans="1:3" ht="14.4">
      <c r="A24" s="3231"/>
      <c r="B24" s="3229" t="s">
        <v>965</v>
      </c>
      <c r="C24" s="3228"/>
    </row>
    <row r="25" spans="1:3" ht="14.4">
      <c r="A25" s="3231"/>
      <c r="B25" s="3230" t="s">
        <v>966</v>
      </c>
      <c r="C25" s="1429" t="s">
        <v>967</v>
      </c>
    </row>
    <row r="26" spans="1:3" ht="14.4">
      <c r="A26" s="3231"/>
      <c r="B26" s="3230"/>
      <c r="C26" s="1429" t="s">
        <v>968</v>
      </c>
    </row>
    <row r="27" spans="1:3" ht="14.4">
      <c r="A27" s="3231"/>
      <c r="B27" s="3230"/>
      <c r="C27" s="1429" t="s">
        <v>969</v>
      </c>
    </row>
    <row r="28" spans="1:3" ht="14.4">
      <c r="A28" s="3231"/>
      <c r="B28" s="3230"/>
      <c r="C28" s="1429" t="s">
        <v>970</v>
      </c>
    </row>
    <row r="29" spans="1:3" ht="14.4">
      <c r="A29" s="3231"/>
      <c r="B29" s="3230"/>
      <c r="C29" s="1429" t="s">
        <v>971</v>
      </c>
    </row>
    <row r="30" spans="1:3" ht="14.4">
      <c r="A30" s="3231"/>
      <c r="B30" s="3230"/>
      <c r="C30" s="1429" t="s">
        <v>972</v>
      </c>
    </row>
    <row r="31" spans="1:3" ht="14.4">
      <c r="A31" s="3231"/>
      <c r="B31" s="3230"/>
      <c r="C31" s="1429" t="s">
        <v>973</v>
      </c>
    </row>
    <row r="32" spans="1:3" ht="14.4">
      <c r="A32" s="3231"/>
      <c r="B32" s="3230"/>
      <c r="C32" s="1429" t="s">
        <v>974</v>
      </c>
    </row>
    <row r="33" spans="1:3" ht="14.4">
      <c r="A33" s="3231"/>
      <c r="B33" s="323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60"/>
      <c r="E18" s="3237" t="s">
        <v>2162</v>
      </c>
      <c r="F18" s="3236"/>
      <c r="G18" s="323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vt:lpstr>
      <vt:lpstr>案例</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2025-03-12T06:20:23Z</dcterms:modified>
</cp:coreProperties>
</file>