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比较法-工业租金" sheetId="82" r:id="rId35"/>
    <sheet name="案例" sheetId="81" r:id="rId36"/>
    <sheet name="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4" hidden="1">'比较法-工业租金'!$A$1:$L$43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4">'比较法-工业租金'!$A$1:$K$48,'比较法-工业租金'!$A$51:$M$113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4">'比较法-工业租金'!$B$95:$M$95</definedName>
    <definedName name="工业公共部分装修">'比较法-工业'!$B$95:$M$95</definedName>
    <definedName name="工业基础设施水平" localSheetId="34">'比较法-工业租金'!$B$102:$M$102</definedName>
    <definedName name="工业基础设施水平">'比较法-工业'!$B$102:$M$102</definedName>
    <definedName name="工业建筑结构" localSheetId="34">'比较法-工业租金'!$B$93:$M$93</definedName>
    <definedName name="工业建筑结构">'比较法-工业'!$B$93:$M$93</definedName>
    <definedName name="工业建筑类型" localSheetId="34">'比较法-工业租金'!$B$88:$M$88</definedName>
    <definedName name="工业建筑类型">'比较法-工业'!$B$88:$M$88</definedName>
    <definedName name="工业交易情况" localSheetId="34">'比较法-工业租金'!$A$55:$M$55</definedName>
    <definedName name="工业交易情况">'比较法-工业'!$A$55:$M$55</definedName>
    <definedName name="工业内部装修" localSheetId="34">'比较法-工业租金'!$B$104:$M$104</definedName>
    <definedName name="工业内部装修">'比较法-工业'!$B$104:$M$104</definedName>
    <definedName name="工业物业管理" localSheetId="34">'比较法-工业租金'!$B$100:$M$100</definedName>
    <definedName name="工业物业管理">'比较法-工业'!$B$100:$M$100</definedName>
    <definedName name="工业用途" localSheetId="34">'比较法-工业租金'!$B$57:$M$57</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7" i="9" l="1"/>
  <c r="C76" i="9"/>
  <c r="C75" i="9"/>
  <c r="H75" i="9"/>
  <c r="E60" i="37"/>
  <c r="D60" i="37" s="1"/>
  <c r="C60" i="37" s="1"/>
  <c r="F60" i="37"/>
  <c r="B112" i="82" l="1"/>
  <c r="B110" i="82"/>
  <c r="B108" i="82"/>
  <c r="E107" i="82"/>
  <c r="F107" i="82" s="1"/>
  <c r="G107" i="82" s="1"/>
  <c r="H107" i="82" s="1"/>
  <c r="I107" i="82" s="1"/>
  <c r="J107" i="82" s="1"/>
  <c r="K107" i="82" s="1"/>
  <c r="L107" i="82" s="1"/>
  <c r="M107" i="82" s="1"/>
  <c r="D107" i="82"/>
  <c r="E105" i="82"/>
  <c r="F105" i="82" s="1"/>
  <c r="G105" i="82" s="1"/>
  <c r="D105" i="82"/>
  <c r="D103" i="82"/>
  <c r="E103" i="82" s="1"/>
  <c r="F103" i="82" s="1"/>
  <c r="G103" i="82" s="1"/>
  <c r="H103" i="82" s="1"/>
  <c r="I103" i="82" s="1"/>
  <c r="J103" i="82" s="1"/>
  <c r="K103" i="82" s="1"/>
  <c r="L103" i="82" s="1"/>
  <c r="M103" i="82" s="1"/>
  <c r="E101" i="82"/>
  <c r="F101" i="82" s="1"/>
  <c r="G101" i="82" s="1"/>
  <c r="H101" i="82" s="1"/>
  <c r="I101" i="82" s="1"/>
  <c r="J101" i="82" s="1"/>
  <c r="K101" i="82" s="1"/>
  <c r="L101" i="82" s="1"/>
  <c r="M101" i="82" s="1"/>
  <c r="D101" i="82"/>
  <c r="D99" i="82"/>
  <c r="E99" i="82" s="1"/>
  <c r="F99" i="82" s="1"/>
  <c r="G99" i="82" s="1"/>
  <c r="H99" i="82" s="1"/>
  <c r="I99" i="82" s="1"/>
  <c r="J99" i="82" s="1"/>
  <c r="K99" i="82" s="1"/>
  <c r="L99" i="82" s="1"/>
  <c r="M99" i="82" s="1"/>
  <c r="G97" i="82"/>
  <c r="F97" i="82"/>
  <c r="E97" i="82"/>
  <c r="D97" i="82"/>
  <c r="C97" i="82"/>
  <c r="D96" i="82"/>
  <c r="E96" i="82" s="1"/>
  <c r="F96" i="82" s="1"/>
  <c r="G96" i="82" s="1"/>
  <c r="H96" i="82" s="1"/>
  <c r="I96" i="82" s="1"/>
  <c r="J96" i="82" s="1"/>
  <c r="K96" i="82" s="1"/>
  <c r="L96" i="82" s="1"/>
  <c r="M96" i="82" s="1"/>
  <c r="D94" i="82"/>
  <c r="E94" i="82" s="1"/>
  <c r="F94" i="82" s="1"/>
  <c r="G94" i="82" s="1"/>
  <c r="H94" i="82" s="1"/>
  <c r="I94" i="82" s="1"/>
  <c r="J94" i="82" s="1"/>
  <c r="K94" i="82" s="1"/>
  <c r="L94" i="82" s="1"/>
  <c r="M94" i="82" s="1"/>
  <c r="E92" i="82"/>
  <c r="F92" i="82" s="1"/>
  <c r="D92" i="82"/>
  <c r="M90" i="82"/>
  <c r="L90" i="82"/>
  <c r="K90" i="82"/>
  <c r="J90" i="82"/>
  <c r="I90" i="82"/>
  <c r="H90" i="82"/>
  <c r="G90" i="82"/>
  <c r="F90" i="82"/>
  <c r="E90" i="82"/>
  <c r="D90" i="82"/>
  <c r="C90" i="82"/>
  <c r="D89" i="82"/>
  <c r="E89" i="82" s="1"/>
  <c r="F89" i="82" s="1"/>
  <c r="G89" i="82" s="1"/>
  <c r="H89" i="82" s="1"/>
  <c r="I89" i="82" s="1"/>
  <c r="J89" i="82" s="1"/>
  <c r="K89" i="82" s="1"/>
  <c r="L89" i="82" s="1"/>
  <c r="M89" i="82" s="1"/>
  <c r="B86" i="82"/>
  <c r="B84" i="82"/>
  <c r="B82" i="82"/>
  <c r="B80" i="82"/>
  <c r="J25" i="82" s="1"/>
  <c r="D79" i="82"/>
  <c r="E79" i="82" s="1"/>
  <c r="F79" i="82" s="1"/>
  <c r="G79" i="82" s="1"/>
  <c r="D77" i="82"/>
  <c r="E77" i="82" s="1"/>
  <c r="D75" i="82"/>
  <c r="E75" i="82" s="1"/>
  <c r="F75" i="82" s="1"/>
  <c r="G75" i="82" s="1"/>
  <c r="D73" i="82"/>
  <c r="E73" i="82" s="1"/>
  <c r="F73" i="82" s="1"/>
  <c r="G73" i="82" s="1"/>
  <c r="D71" i="82"/>
  <c r="E71" i="82" s="1"/>
  <c r="F71" i="82" s="1"/>
  <c r="G71" i="82" s="1"/>
  <c r="B68" i="82"/>
  <c r="B66" i="82"/>
  <c r="B64" i="82"/>
  <c r="E63" i="82"/>
  <c r="F63" i="82" s="1"/>
  <c r="G63" i="82" s="1"/>
  <c r="H63" i="82" s="1"/>
  <c r="I63" i="82" s="1"/>
  <c r="J63" i="82" s="1"/>
  <c r="K63" i="82" s="1"/>
  <c r="L63" i="82" s="1"/>
  <c r="M63" i="82" s="1"/>
  <c r="D63" i="82"/>
  <c r="M61" i="82"/>
  <c r="L61" i="82"/>
  <c r="K61" i="82"/>
  <c r="J61" i="82"/>
  <c r="I61" i="82"/>
  <c r="H61" i="82"/>
  <c r="G61" i="82"/>
  <c r="F61" i="82"/>
  <c r="E61" i="82"/>
  <c r="D61" i="82"/>
  <c r="C61" i="82"/>
  <c r="C57" i="82"/>
  <c r="I48" i="82"/>
  <c r="J48" i="82" s="1"/>
  <c r="G48" i="82"/>
  <c r="H48" i="82" s="1"/>
  <c r="E48" i="82"/>
  <c r="F48" i="82" s="1"/>
  <c r="P43" i="82"/>
  <c r="P42" i="82"/>
  <c r="K42" i="82"/>
  <c r="V41" i="82"/>
  <c r="T41" i="82"/>
  <c r="R41" i="82"/>
  <c r="P41" i="82"/>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Z36" i="82"/>
  <c r="Q36" i="82"/>
  <c r="J36" i="82"/>
  <c r="AC36" i="82" s="1"/>
  <c r="H36" i="82"/>
  <c r="AB36" i="82" s="1"/>
  <c r="F36" i="82"/>
  <c r="AA36" i="82" s="1"/>
  <c r="Q35" i="82"/>
  <c r="Z35" i="82" s="1"/>
  <c r="J35" i="82"/>
  <c r="AC35" i="82" s="1"/>
  <c r="H35" i="82"/>
  <c r="AB35" i="82" s="1"/>
  <c r="F35" i="82"/>
  <c r="AA35" i="82" s="1"/>
  <c r="U34" i="82"/>
  <c r="Q34" i="82"/>
  <c r="Z34" i="82" s="1"/>
  <c r="J34" i="82"/>
  <c r="AC34" i="82" s="1"/>
  <c r="H34" i="82"/>
  <c r="AB34" i="82" s="1"/>
  <c r="F34" i="82"/>
  <c r="AA34" i="82" s="1"/>
  <c r="Q33" i="82"/>
  <c r="Z33" i="82" s="1"/>
  <c r="Q32" i="82"/>
  <c r="Z32" i="82" s="1"/>
  <c r="J32" i="82"/>
  <c r="AC32" i="82" s="1"/>
  <c r="H32" i="82"/>
  <c r="AB32" i="82" s="1"/>
  <c r="F32" i="82"/>
  <c r="AA32" i="82" s="1"/>
  <c r="AC31" i="82"/>
  <c r="W31" i="82"/>
  <c r="Q31" i="82"/>
  <c r="Z31" i="82" s="1"/>
  <c r="J31" i="82"/>
  <c r="H31" i="82"/>
  <c r="AB31" i="82" s="1"/>
  <c r="F31" i="82"/>
  <c r="AA31" i="82" s="1"/>
  <c r="Q30" i="82"/>
  <c r="Z30" i="82" s="1"/>
  <c r="H30" i="82"/>
  <c r="AB30" i="82" s="1"/>
  <c r="F30" i="82"/>
  <c r="AA30" i="82" s="1"/>
  <c r="C30" i="82"/>
  <c r="J30" i="82" s="1"/>
  <c r="Q29" i="82"/>
  <c r="Z29" i="82" s="1"/>
  <c r="J29" i="82"/>
  <c r="AC29" i="82" s="1"/>
  <c r="H29" i="82"/>
  <c r="U29" i="82" s="1"/>
  <c r="F29" i="82"/>
  <c r="AA29" i="82" s="1"/>
  <c r="Q28" i="82"/>
  <c r="Z28" i="82" s="1"/>
  <c r="J28" i="82"/>
  <c r="AC28" i="82" s="1"/>
  <c r="H28" i="82"/>
  <c r="AB28" i="82" s="1"/>
  <c r="F28" i="82"/>
  <c r="AA28" i="82" s="1"/>
  <c r="Z27" i="82"/>
  <c r="Q27" i="82"/>
  <c r="J27" i="82"/>
  <c r="AC27" i="82" s="1"/>
  <c r="H27" i="82"/>
  <c r="AB27" i="82" s="1"/>
  <c r="F27" i="82"/>
  <c r="AA27" i="82" s="1"/>
  <c r="Q26" i="82"/>
  <c r="Z26" i="82" s="1"/>
  <c r="J26" i="82"/>
  <c r="AC26" i="82" s="1"/>
  <c r="H26" i="82"/>
  <c r="AB26" i="82" s="1"/>
  <c r="F26" i="82"/>
  <c r="AA26" i="82" s="1"/>
  <c r="AB25" i="82"/>
  <c r="U25" i="82"/>
  <c r="Q25" i="82"/>
  <c r="Z25" i="82" s="1"/>
  <c r="H25" i="82"/>
  <c r="F25" i="82"/>
  <c r="AA25" i="82" s="1"/>
  <c r="Q23" i="82"/>
  <c r="Z23" i="82" s="1"/>
  <c r="J23" i="82"/>
  <c r="AC23" i="82" s="1"/>
  <c r="H23" i="82"/>
  <c r="AB23" i="82" s="1"/>
  <c r="F23" i="82"/>
  <c r="S23" i="82" s="1"/>
  <c r="C23" i="82"/>
  <c r="AA21" i="82"/>
  <c r="S21" i="82"/>
  <c r="Q21" i="82"/>
  <c r="Z21" i="82" s="1"/>
  <c r="F21" i="82"/>
  <c r="C21" i="82"/>
  <c r="Q19" i="82"/>
  <c r="Z19" i="82" s="1"/>
  <c r="J19" i="82"/>
  <c r="AC19" i="82" s="1"/>
  <c r="H19" i="82"/>
  <c r="AB19" i="82" s="1"/>
  <c r="F19" i="82"/>
  <c r="S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AA12" i="82"/>
  <c r="Q12" i="82"/>
  <c r="Z12" i="82" s="1"/>
  <c r="J12" i="82"/>
  <c r="W12" i="82" s="1"/>
  <c r="H12" i="82"/>
  <c r="AB12" i="82" s="1"/>
  <c r="F12" i="82"/>
  <c r="S12" i="82" s="1"/>
  <c r="Z11" i="82"/>
  <c r="Q11" i="82"/>
  <c r="J11" i="82"/>
  <c r="AC11" i="82" s="1"/>
  <c r="H11" i="82"/>
  <c r="U11" i="82" s="1"/>
  <c r="F11" i="82"/>
  <c r="AA11" i="82" s="1"/>
  <c r="AC10" i="82"/>
  <c r="Q10" i="82"/>
  <c r="Z10" i="82" s="1"/>
  <c r="J10" i="82"/>
  <c r="W10" i="82" s="1"/>
  <c r="H10" i="82"/>
  <c r="AB10" i="82" s="1"/>
  <c r="F10" i="82"/>
  <c r="AA10" i="82" s="1"/>
  <c r="Q9" i="82"/>
  <c r="Z9" i="82" s="1"/>
  <c r="J9" i="82"/>
  <c r="AC9" i="82" s="1"/>
  <c r="H9" i="82"/>
  <c r="AB9" i="82" s="1"/>
  <c r="F9" i="82"/>
  <c r="AA9" i="82" s="1"/>
  <c r="AC8" i="82"/>
  <c r="AB8" i="82"/>
  <c r="W8" i="82"/>
  <c r="J8" i="82"/>
  <c r="H8" i="82"/>
  <c r="U8" i="82" s="1"/>
  <c r="F8" i="82"/>
  <c r="AA8" i="82" s="1"/>
  <c r="C7" i="82"/>
  <c r="C52" i="82" s="1"/>
  <c r="D52" i="82" s="1"/>
  <c r="E52" i="82" s="1"/>
  <c r="F52" i="82" s="1"/>
  <c r="G52" i="82" s="1"/>
  <c r="H52" i="82" s="1"/>
  <c r="I52" i="82" s="1"/>
  <c r="J52" i="82" s="1"/>
  <c r="K52" i="82" s="1"/>
  <c r="L52" i="82" s="1"/>
  <c r="M52" i="82" s="1"/>
  <c r="N52" i="82" s="1"/>
  <c r="O52" i="82" s="1"/>
  <c r="D3" i="82"/>
  <c r="B14" i="74"/>
  <c r="L29" i="9"/>
  <c r="D92" i="37"/>
  <c r="E92" i="37" s="1"/>
  <c r="F92" i="37" s="1"/>
  <c r="C30" i="37"/>
  <c r="D2" i="82"/>
  <c r="S8" i="82" l="1"/>
  <c r="E7" i="82"/>
  <c r="F7" i="82" s="1"/>
  <c r="I7" i="82"/>
  <c r="J7" i="82" s="1"/>
  <c r="S10" i="82"/>
  <c r="AB11" i="82"/>
  <c r="AC12" i="82"/>
  <c r="S14" i="82"/>
  <c r="S17" i="82"/>
  <c r="AA19" i="82"/>
  <c r="AA23" i="82"/>
  <c r="AB29" i="82"/>
  <c r="AC25" i="82"/>
  <c r="W25" i="82"/>
  <c r="S9" i="82"/>
  <c r="U10" i="82"/>
  <c r="S15" i="82"/>
  <c r="S28" i="82"/>
  <c r="AC30" i="82"/>
  <c r="W30" i="82"/>
  <c r="U30" i="82"/>
  <c r="W35" i="82"/>
  <c r="G7" i="82"/>
  <c r="H7" i="82" s="1"/>
  <c r="U9" i="82"/>
  <c r="W26" i="82"/>
  <c r="F77" i="82"/>
  <c r="G77" i="82" s="1"/>
  <c r="J21" i="82"/>
  <c r="H21" i="82"/>
  <c r="W9" i="82"/>
  <c r="S37" i="82"/>
  <c r="U38" i="82"/>
  <c r="W39" i="82"/>
  <c r="W11" i="82"/>
  <c r="S13" i="82"/>
  <c r="U14" i="82"/>
  <c r="U15" i="82"/>
  <c r="U17" i="82"/>
  <c r="U19" i="82"/>
  <c r="U23" i="82"/>
  <c r="S27" i="82"/>
  <c r="U28" i="82"/>
  <c r="W29" i="82"/>
  <c r="S32" i="82"/>
  <c r="W34" i="82"/>
  <c r="S36" i="82"/>
  <c r="U37" i="82"/>
  <c r="W38" i="82"/>
  <c r="S40" i="82"/>
  <c r="W15" i="82"/>
  <c r="W17" i="82"/>
  <c r="W19" i="82"/>
  <c r="W23" i="82"/>
  <c r="S26" i="82"/>
  <c r="U27" i="82"/>
  <c r="W28" i="82"/>
  <c r="S31" i="82"/>
  <c r="U32" i="82"/>
  <c r="S35" i="82"/>
  <c r="U36" i="82"/>
  <c r="W37" i="82"/>
  <c r="S39" i="82"/>
  <c r="U40" i="82"/>
  <c r="S11" i="82"/>
  <c r="U12" i="82"/>
  <c r="W13" i="82"/>
  <c r="S25" i="82"/>
  <c r="U26" i="82"/>
  <c r="W27" i="82"/>
  <c r="S29" i="82"/>
  <c r="S30" i="82"/>
  <c r="U31" i="82"/>
  <c r="W32" i="82"/>
  <c r="S34" i="82"/>
  <c r="U35" i="82"/>
  <c r="W36" i="82"/>
  <c r="S38" i="82"/>
  <c r="U39" i="82"/>
  <c r="W40" i="82"/>
  <c r="I7" i="37"/>
  <c r="G7" i="37"/>
  <c r="E7" i="37"/>
  <c r="D33" i="43"/>
  <c r="J49" i="67"/>
  <c r="B59" i="1"/>
  <c r="N19" i="1"/>
  <c r="N6" i="1" s="1"/>
  <c r="B21" i="1"/>
  <c r="F19" i="6"/>
  <c r="F16" i="4"/>
  <c r="D3" i="4"/>
  <c r="D60" i="78"/>
  <c r="C60" i="78"/>
  <c r="B55" i="78"/>
  <c r="D55" i="78" s="1"/>
  <c r="D53" i="78"/>
  <c r="D52" i="78"/>
  <c r="D51" i="78" s="1"/>
  <c r="B51" i="78"/>
  <c r="B56" i="78" s="1"/>
  <c r="C33" i="37" l="1"/>
  <c r="C33" i="82"/>
  <c r="Y6" i="1"/>
  <c r="AB7" i="82"/>
  <c r="U7" i="82"/>
  <c r="AC7" i="82"/>
  <c r="W7" i="82"/>
  <c r="S7" i="82"/>
  <c r="AA7" i="82"/>
  <c r="AB21" i="82"/>
  <c r="U21" i="82"/>
  <c r="AC21" i="82"/>
  <c r="W21" i="82"/>
  <c r="C51" i="78"/>
  <c r="C56" i="78" s="1"/>
  <c r="C58" i="78" s="1"/>
  <c r="B62" i="78"/>
  <c r="B54" i="78"/>
  <c r="D54" i="78" s="1"/>
  <c r="D56" i="78" s="1"/>
  <c r="G33" i="82" l="1"/>
  <c r="H33" i="82" s="1"/>
  <c r="I33" i="82"/>
  <c r="J33" i="82" s="1"/>
  <c r="E33" i="82"/>
  <c r="F33" i="82" s="1"/>
  <c r="G33" i="37"/>
  <c r="I33" i="37"/>
  <c r="D58" i="78"/>
  <c r="D62" i="78" s="1"/>
  <c r="C62" i="78" s="1"/>
  <c r="AB33" i="82" l="1"/>
  <c r="T42" i="82" s="1"/>
  <c r="G42" i="82" s="1"/>
  <c r="U33" i="82"/>
  <c r="AA33" i="82"/>
  <c r="R42" i="82" s="1"/>
  <c r="S33" i="82"/>
  <c r="AC33" i="82"/>
  <c r="V42" i="82" s="1"/>
  <c r="I42" i="82" s="1"/>
  <c r="I46" i="82" s="1"/>
  <c r="J46" i="82" s="1"/>
  <c r="W33" i="82"/>
  <c r="G14" i="73"/>
  <c r="F14" i="73"/>
  <c r="E14" i="73"/>
  <c r="R43" i="82" l="1"/>
  <c r="E42" i="82"/>
  <c r="G46" i="82"/>
  <c r="H46" i="82" s="1"/>
  <c r="G47" i="82"/>
  <c r="H47"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E46" i="82" l="1"/>
  <c r="F46" i="82" s="1"/>
  <c r="E47" i="82"/>
  <c r="F47" i="82" s="1"/>
  <c r="C43" i="82"/>
  <c r="C42" i="82"/>
  <c r="I47" i="82"/>
  <c r="J47" i="82" s="1"/>
  <c r="G15" i="73"/>
  <c r="F15" i="73"/>
  <c r="E15" i="73"/>
  <c r="G16" i="73"/>
  <c r="F16" i="73"/>
  <c r="E16" i="73"/>
  <c r="B3" i="82" l="1"/>
  <c r="B2" i="82"/>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H1" i="69"/>
  <c r="AC25" i="40"/>
  <c r="W25" i="40"/>
  <c r="U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J5" i="3" s="1"/>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K5" i="3" s="1"/>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B5"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AZ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A568" i="3" s="1"/>
  <c r="BF568" i="3"/>
  <c r="BG568" i="3"/>
  <c r="BH568" i="3"/>
  <c r="BI568" i="3"/>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BE576" i="3"/>
  <c r="BF576" i="3"/>
  <c r="BG576" i="3"/>
  <c r="BH576" i="3"/>
  <c r="BH5" i="3" s="1"/>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I5" i="3" s="1"/>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L579" i="3" s="1"/>
  <c r="BO579" i="3"/>
  <c r="BP579" i="3"/>
  <c r="BR579" i="3"/>
  <c r="BS579" i="3"/>
  <c r="BS5" i="3" s="1"/>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G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F45" i="39"/>
  <c r="S45" i="39"/>
  <c r="J45" i="39"/>
  <c r="W45" i="39" s="1"/>
  <c r="J44" i="39"/>
  <c r="F36" i="39"/>
  <c r="S36" i="39" s="1"/>
  <c r="H36" i="39"/>
  <c r="AB36" i="39"/>
  <c r="F35" i="39"/>
  <c r="AA35" i="39" s="1"/>
  <c r="J36" i="39"/>
  <c r="AC36" i="39" s="1"/>
  <c r="W40" i="39"/>
  <c r="W25"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U33" i="33"/>
  <c r="S40" i="33"/>
  <c r="W39" i="33"/>
  <c r="F11" i="40"/>
  <c r="AA11" i="40" s="1"/>
  <c r="H11" i="40"/>
  <c r="AB11" i="40" s="1"/>
  <c r="W8" i="40"/>
  <c r="AA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5" i="34"/>
  <c r="S25" i="34" s="1"/>
  <c r="H23" i="34"/>
  <c r="J23" i="34"/>
  <c r="F19" i="34"/>
  <c r="H17" i="34"/>
  <c r="F15" i="34"/>
  <c r="AA15" i="34" s="1"/>
  <c r="J15" i="34"/>
  <c r="H15" i="34"/>
  <c r="AB15" i="34" s="1"/>
  <c r="W8" i="34"/>
  <c r="F41" i="33"/>
  <c r="S41" i="33" s="1"/>
  <c r="AA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c r="I113" i="33" s="1"/>
  <c r="J113" i="33" s="1"/>
  <c r="K113" i="33" s="1"/>
  <c r="L113" i="33" s="1"/>
  <c r="M113" i="33"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s="1"/>
  <c r="F14" i="21"/>
  <c r="S14" i="21" s="1"/>
  <c r="U14" i="21"/>
  <c r="H28" i="21"/>
  <c r="AB28" i="21" s="1"/>
  <c r="F28" i="21"/>
  <c r="AA28" i="21" s="1"/>
  <c r="J28" i="21"/>
  <c r="J44" i="21"/>
  <c r="AC44" i="21" s="1"/>
  <c r="H44" i="21"/>
  <c r="U44" i="21"/>
  <c r="F44" i="21"/>
  <c r="AA44" i="21" s="1"/>
  <c r="H46" i="21"/>
  <c r="U46" i="21" s="1"/>
  <c r="J46" i="21"/>
  <c r="F46" i="21"/>
  <c r="AA46" i="2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AA14" i="33"/>
  <c r="J36" i="37"/>
  <c r="AC36" i="37" s="1"/>
  <c r="J10" i="36"/>
  <c r="AC10" i="36" s="1"/>
  <c r="W31" i="34"/>
  <c r="AA14" i="34"/>
  <c r="S44" i="34"/>
  <c r="BA586" i="3"/>
  <c r="F17" i="21"/>
  <c r="AA17" i="21" s="1"/>
  <c r="H17" i="21"/>
  <c r="AB17" i="21" s="1"/>
  <c r="F15" i="21"/>
  <c r="S15" i="21" s="1"/>
  <c r="J41" i="39"/>
  <c r="W41" i="39" s="1"/>
  <c r="U36" i="39"/>
  <c r="S35" i="39"/>
  <c r="G540" i="3"/>
  <c r="G535" i="3"/>
  <c r="G532" i="3"/>
  <c r="G531" i="3"/>
  <c r="G527" i="3"/>
  <c r="G523" i="3"/>
  <c r="G518" i="3"/>
  <c r="G510" i="3"/>
  <c r="G508" i="3"/>
  <c r="G504" i="3"/>
  <c r="G500" i="3"/>
  <c r="G496" i="3"/>
  <c r="G584" i="3"/>
  <c r="G580" i="3"/>
  <c r="G572" i="3"/>
  <c r="G564" i="3"/>
  <c r="G560" i="3"/>
  <c r="G554" i="3"/>
  <c r="BL584" i="3"/>
  <c r="BL564" i="3"/>
  <c r="BL560" i="3"/>
  <c r="BL554" i="3"/>
  <c r="BL526" i="3"/>
  <c r="BL506" i="3"/>
  <c r="BL502" i="3"/>
  <c r="AZ502" i="3" s="1"/>
  <c r="BL498" i="3"/>
  <c r="BL494" i="3"/>
  <c r="BL582" i="3"/>
  <c r="BL578" i="3"/>
  <c r="BL562" i="3"/>
  <c r="BL556" i="3"/>
  <c r="BL552" i="3"/>
  <c r="AZ552" i="3" s="1"/>
  <c r="G533" i="3"/>
  <c r="G525" i="3"/>
  <c r="BL524" i="3"/>
  <c r="BL510" i="3"/>
  <c r="BL504" i="3"/>
  <c r="BL500" i="3"/>
  <c r="BL496" i="3"/>
  <c r="G493" i="3"/>
  <c r="BA584" i="3"/>
  <c r="AZ584" i="3" s="1"/>
  <c r="BA582" i="3"/>
  <c r="AZ582" i="3" s="1"/>
  <c r="BA570" i="3"/>
  <c r="BA564" i="3"/>
  <c r="BA562" i="3"/>
  <c r="BA560" i="3"/>
  <c r="BA558" i="3"/>
  <c r="BA556" i="3"/>
  <c r="AZ556" i="3"/>
  <c r="BA554" i="3"/>
  <c r="AZ554" i="3" s="1"/>
  <c r="BA552" i="3"/>
  <c r="BA548" i="3"/>
  <c r="BA540" i="3"/>
  <c r="BA534" i="3"/>
  <c r="BA528" i="3"/>
  <c r="BA516" i="3"/>
  <c r="BA510" i="3"/>
  <c r="AZ510" i="3"/>
  <c r="BA508" i="3"/>
  <c r="BA506" i="3"/>
  <c r="BA504" i="3"/>
  <c r="AZ504" i="3"/>
  <c r="BA502" i="3"/>
  <c r="BA500" i="3"/>
  <c r="BA498" i="3"/>
  <c r="AZ498" i="3"/>
  <c r="BA496" i="3"/>
  <c r="BA494" i="3"/>
  <c r="BA587" i="3"/>
  <c r="BA583" i="3"/>
  <c r="BA575" i="3"/>
  <c r="BA565" i="3"/>
  <c r="BA563" i="3"/>
  <c r="BA561" i="3"/>
  <c r="BA559" i="3"/>
  <c r="AZ559" i="3" s="1"/>
  <c r="BA555" i="3"/>
  <c r="BA553" i="3"/>
  <c r="BA543" i="3"/>
  <c r="BA533" i="3"/>
  <c r="BA523" i="3"/>
  <c r="BA507" i="3"/>
  <c r="BA505" i="3"/>
  <c r="BA503" i="3"/>
  <c r="BA501" i="3"/>
  <c r="BA499" i="3"/>
  <c r="AZ499" i="3" s="1"/>
  <c r="BA497" i="3"/>
  <c r="BA495" i="3"/>
  <c r="BA493" i="3"/>
  <c r="AZ560" i="3"/>
  <c r="G583" i="3"/>
  <c r="G581" i="3"/>
  <c r="G575" i="3"/>
  <c r="G573" i="3"/>
  <c r="G565" i="3"/>
  <c r="G563" i="3"/>
  <c r="G561" i="3"/>
  <c r="BL558" i="3"/>
  <c r="BA557" i="3"/>
  <c r="AZ557" i="3" s="1"/>
  <c r="AC557" i="3"/>
  <c r="G557" i="3" s="1"/>
  <c r="BQ557" i="3"/>
  <c r="BL557" i="3" s="1"/>
  <c r="BQ583" i="3"/>
  <c r="BL583" i="3" s="1"/>
  <c r="BQ581" i="3"/>
  <c r="BQ579" i="3"/>
  <c r="BQ577" i="3"/>
  <c r="BQ575" i="3"/>
  <c r="BQ573" i="3"/>
  <c r="BQ571" i="3"/>
  <c r="BQ569" i="3"/>
  <c r="BL569" i="3" s="1"/>
  <c r="BQ567" i="3"/>
  <c r="BQ565" i="3"/>
  <c r="BL565" i="3" s="1"/>
  <c r="AZ565" i="3"/>
  <c r="BQ563" i="3"/>
  <c r="BL563" i="3" s="1"/>
  <c r="AZ563" i="3" s="1"/>
  <c r="BQ561" i="3"/>
  <c r="BL561" i="3"/>
  <c r="AZ561" i="3" s="1"/>
  <c r="BQ559" i="3"/>
  <c r="BL559" i="3" s="1"/>
  <c r="G559" i="3"/>
  <c r="G555" i="3"/>
  <c r="G553" i="3"/>
  <c r="G549" i="3"/>
  <c r="G547" i="3"/>
  <c r="G545" i="3"/>
  <c r="G541" i="3"/>
  <c r="G539" i="3"/>
  <c r="G537" i="3"/>
  <c r="BQ555" i="3"/>
  <c r="BL555" i="3" s="1"/>
  <c r="BQ553" i="3"/>
  <c r="BL553" i="3" s="1"/>
  <c r="AZ553" i="3"/>
  <c r="BQ551" i="3"/>
  <c r="BQ549" i="3"/>
  <c r="BQ547" i="3"/>
  <c r="BL547" i="3" s="1"/>
  <c r="BQ545" i="3"/>
  <c r="BQ543" i="3"/>
  <c r="BQ541" i="3"/>
  <c r="BQ539" i="3"/>
  <c r="BQ537" i="3"/>
  <c r="BQ535" i="3"/>
  <c r="BQ533" i="3"/>
  <c r="BL533" i="3"/>
  <c r="AZ533" i="3" s="1"/>
  <c r="BQ531" i="3"/>
  <c r="BQ529" i="3"/>
  <c r="BQ527" i="3"/>
  <c r="BQ525" i="3"/>
  <c r="BQ523" i="3"/>
  <c r="BA521" i="3"/>
  <c r="AC521" i="3"/>
  <c r="BQ521" i="3"/>
  <c r="BL521" i="3"/>
  <c r="AZ521" i="3" s="1"/>
  <c r="G519" i="3"/>
  <c r="G517" i="3"/>
  <c r="G511" i="3"/>
  <c r="BQ519" i="3"/>
  <c r="BL519" i="3" s="1"/>
  <c r="BQ517" i="3"/>
  <c r="BQ515" i="3"/>
  <c r="BQ513" i="3"/>
  <c r="BQ511" i="3"/>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AB31" i="37" s="1"/>
  <c r="J15" i="37"/>
  <c r="W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57" i="3"/>
  <c r="AZ265" i="3"/>
  <c r="AZ269" i="3"/>
  <c r="BA379" i="3"/>
  <c r="AZ379" i="3" s="1"/>
  <c r="BL380" i="3"/>
  <c r="G381" i="3"/>
  <c r="BA383" i="3"/>
  <c r="AZ383" i="3" s="1"/>
  <c r="BL384" i="3"/>
  <c r="AZ384" i="3" s="1"/>
  <c r="G385" i="3"/>
  <c r="BA387" i="3"/>
  <c r="BL388" i="3"/>
  <c r="G389" i="3"/>
  <c r="BA391" i="3"/>
  <c r="AZ391" i="3" s="1"/>
  <c r="BL392" i="3"/>
  <c r="G393" i="3"/>
  <c r="AZ283" i="3"/>
  <c r="BO5" i="3"/>
  <c r="BM5" i="3"/>
  <c r="BF5" i="3"/>
  <c r="BD5" i="3"/>
  <c r="AC5" i="3"/>
  <c r="AZ506" i="3"/>
  <c r="AZ496" i="3"/>
  <c r="G548" i="3"/>
  <c r="G538" i="3"/>
  <c r="G520" i="3"/>
  <c r="G502" i="3"/>
  <c r="BP5" i="3"/>
  <c r="BN5" i="3"/>
  <c r="BG5" i="3"/>
  <c r="BE5" i="3"/>
  <c r="G17" i="3"/>
  <c r="BA17" i="3"/>
  <c r="BT5" i="3"/>
  <c r="BA15" i="3"/>
  <c r="AZ15" i="3" s="1"/>
  <c r="BR5" i="3"/>
  <c r="AZ380" i="3"/>
  <c r="AZ392" i="3"/>
  <c r="G509" i="3"/>
  <c r="BL493" i="3"/>
  <c r="AZ493" i="3" s="1"/>
  <c r="U36" i="40"/>
  <c r="F83" i="43"/>
  <c r="H85" i="43" s="1"/>
  <c r="F50" i="43"/>
  <c r="H54" i="43" s="1"/>
  <c r="F72" i="43"/>
  <c r="H75" i="43" s="1"/>
  <c r="U17" i="39"/>
  <c r="S14" i="35"/>
  <c r="U43" i="21"/>
  <c r="U35" i="21"/>
  <c r="AC35" i="21"/>
  <c r="W37" i="37"/>
  <c r="W44" i="34"/>
  <c r="AC44" i="34"/>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S39" i="39" s="1"/>
  <c r="J39" i="39"/>
  <c r="AC39" i="39" s="1"/>
  <c r="E96" i="39"/>
  <c r="F96" i="39" s="1"/>
  <c r="G96" i="39" s="1"/>
  <c r="AZ353" i="3"/>
  <c r="C40" i="11"/>
  <c r="AZ240" i="3"/>
  <c r="AZ271" i="3"/>
  <c r="AZ280" i="3"/>
  <c r="AZ133" i="3"/>
  <c r="F23" i="39"/>
  <c r="AA23" i="39" s="1"/>
  <c r="H27" i="36"/>
  <c r="U27" i="36" s="1"/>
  <c r="F27" i="36"/>
  <c r="AA27" i="36" s="1"/>
  <c r="H33" i="34"/>
  <c r="U33" i="34" s="1"/>
  <c r="F32" i="37"/>
  <c r="S32" i="37" s="1"/>
  <c r="AA32" i="37"/>
  <c r="G96" i="37"/>
  <c r="H96" i="37" s="1"/>
  <c r="I96" i="37" s="1"/>
  <c r="J96" i="37" s="1"/>
  <c r="K96" i="37" s="1"/>
  <c r="L96" i="37" s="1"/>
  <c r="M96" i="37" s="1"/>
  <c r="F20" i="36"/>
  <c r="AA20" i="36" s="1"/>
  <c r="J33" i="34"/>
  <c r="H23" i="39"/>
  <c r="U23" i="39" s="1"/>
  <c r="K9" i="1"/>
  <c r="M9" i="1" s="1"/>
  <c r="K6" i="1"/>
  <c r="AP6" i="1" s="1"/>
  <c r="AC26" i="33"/>
  <c r="W26" i="33"/>
  <c r="W27" i="34"/>
  <c r="AC27" i="34"/>
  <c r="AB33" i="36"/>
  <c r="U33" i="36"/>
  <c r="AC12" i="39"/>
  <c r="W12" i="39"/>
  <c r="AC39" i="40"/>
  <c r="W39" i="40"/>
  <c r="AZ433" i="3"/>
  <c r="AA32" i="36"/>
  <c r="S32" i="36"/>
  <c r="AZ437" i="3"/>
  <c r="BL14" i="3"/>
  <c r="U30" i="33"/>
  <c r="AC13" i="34"/>
  <c r="AA47" i="34"/>
  <c r="W28" i="37"/>
  <c r="S19" i="39"/>
  <c r="F12" i="33"/>
  <c r="H12" i="39"/>
  <c r="U12" i="39" s="1"/>
  <c r="AB12" i="39"/>
  <c r="F39" i="40"/>
  <c r="BA14" i="3"/>
  <c r="AZ224" i="3"/>
  <c r="AZ286"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A38" i="37"/>
  <c r="U32" i="37"/>
  <c r="W38" i="37"/>
  <c r="S37" i="37"/>
  <c r="J17" i="37"/>
  <c r="W17" i="37" s="1"/>
  <c r="F17" i="37"/>
  <c r="F19" i="37"/>
  <c r="F79" i="37"/>
  <c r="F23" i="37"/>
  <c r="S23" i="37" s="1"/>
  <c r="U23" i="37"/>
  <c r="U15" i="37"/>
  <c r="AC13" i="37"/>
  <c r="AA13" i="37"/>
  <c r="H10" i="37"/>
  <c r="AB10" i="37" s="1"/>
  <c r="F63" i="37"/>
  <c r="G63" i="37" s="1"/>
  <c r="H63" i="37" s="1"/>
  <c r="I63" i="37" s="1"/>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C18" i="9"/>
  <c r="D18" i="9" s="1"/>
  <c r="F34" i="67"/>
  <c r="F62" i="67" s="1"/>
  <c r="F34" i="15"/>
  <c r="F62" i="15" s="1"/>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S27" i="37"/>
  <c r="S28" i="37"/>
  <c r="W32" i="37"/>
  <c r="S40" i="37"/>
  <c r="U38" i="37"/>
  <c r="AB37" i="37"/>
  <c r="AC34" i="37"/>
  <c r="U19"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A21" i="39"/>
  <c r="S21" i="39"/>
  <c r="J19" i="37"/>
  <c r="W19" i="37" s="1"/>
  <c r="J23" i="37"/>
  <c r="W23" i="37" s="1"/>
  <c r="G79" i="37"/>
  <c r="J10" i="37"/>
  <c r="W10" i="37" s="1"/>
  <c r="H11" i="37"/>
  <c r="AB11" i="37" s="1"/>
  <c r="H11" i="34"/>
  <c r="U11" i="34" s="1"/>
  <c r="J10" i="34"/>
  <c r="AC10" i="34" s="1"/>
  <c r="W35" i="33"/>
  <c r="AC35" i="33"/>
  <c r="J36" i="33"/>
  <c r="W36" i="33" s="1"/>
  <c r="H36" i="33"/>
  <c r="U36" i="33" s="1"/>
  <c r="AC32" i="33"/>
  <c r="U27" i="33"/>
  <c r="AB27" i="33"/>
  <c r="G91" i="33"/>
  <c r="H91" i="33" s="1"/>
  <c r="I91" i="33" s="1"/>
  <c r="J91" i="33" s="1"/>
  <c r="K91" i="33" s="1"/>
  <c r="L91" i="33" s="1"/>
  <c r="M91" i="33" s="1"/>
  <c r="J27" i="33"/>
  <c r="W27" i="33" s="1"/>
  <c r="U25" i="33"/>
  <c r="AA25" i="33"/>
  <c r="G87" i="33"/>
  <c r="H87" i="33" s="1"/>
  <c r="I87" i="33" s="1"/>
  <c r="J87" i="33" s="1"/>
  <c r="K87" i="33" s="1"/>
  <c r="L87" i="33" s="1"/>
  <c r="M87" i="33" s="1"/>
  <c r="J25" i="33"/>
  <c r="AC25" i="33" s="1"/>
  <c r="AB23" i="33"/>
  <c r="F23" i="33"/>
  <c r="G85" i="33"/>
  <c r="AA19" i="33"/>
  <c r="H19" i="33"/>
  <c r="H17" i="33"/>
  <c r="U17" i="33" s="1"/>
  <c r="F17" i="33"/>
  <c r="S17" i="33" s="1"/>
  <c r="S37" i="21"/>
  <c r="AA23" i="21"/>
  <c r="AB15" i="21"/>
  <c r="J23" i="2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AC27" i="33"/>
  <c r="W25" i="33"/>
  <c r="AB19" i="33"/>
  <c r="U19" i="33"/>
  <c r="AA17" i="33"/>
  <c r="AC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F40" i="15"/>
  <c r="F13" i="15"/>
  <c r="M9" i="15"/>
  <c r="F26" i="15"/>
  <c r="F5" i="73"/>
  <c r="B12" i="76"/>
  <c r="E12" i="76"/>
  <c r="M23" i="15"/>
  <c r="F7" i="73"/>
  <c r="F36" i="15"/>
  <c r="B10" i="76"/>
  <c r="E2" i="69"/>
  <c r="D6" i="73"/>
  <c r="E7" i="76"/>
  <c r="B13" i="76"/>
  <c r="F43" i="15"/>
  <c r="F3" i="73"/>
  <c r="F16" i="15"/>
  <c r="M26" i="15"/>
  <c r="F6" i="73"/>
  <c r="AO13" i="1"/>
  <c r="E8" i="76"/>
  <c r="F20" i="31"/>
  <c r="B9" i="76"/>
  <c r="J15" i="15"/>
  <c r="E13" i="76"/>
  <c r="F4" i="73"/>
  <c r="F6" i="15"/>
  <c r="E10" i="76"/>
  <c r="E2" i="68"/>
  <c r="F37" i="15"/>
  <c r="B8" i="76"/>
  <c r="B7" i="76"/>
  <c r="E9" i="76"/>
  <c r="E11" i="76"/>
  <c r="S30" i="37" l="1"/>
  <c r="A15" i="62"/>
  <c r="B61" i="72" s="1"/>
  <c r="AC21" i="37"/>
  <c r="AB21" i="37"/>
  <c r="AC15" i="37"/>
  <c r="AB17" i="37"/>
  <c r="W30" i="37"/>
  <c r="S36" i="37"/>
  <c r="AA31" i="37"/>
  <c r="W31" i="37"/>
  <c r="AC29" i="37"/>
  <c r="U36" i="37"/>
  <c r="W36" i="37"/>
  <c r="AB35" i="37"/>
  <c r="AC35" i="37"/>
  <c r="AA29" i="37"/>
  <c r="U29" i="37"/>
  <c r="U31" i="37"/>
  <c r="U30" i="37"/>
  <c r="AA23" i="37"/>
  <c r="AC17" i="37"/>
  <c r="U8" i="37"/>
  <c r="M20" i="67"/>
  <c r="D68" i="9"/>
  <c r="D93" i="9"/>
  <c r="F31" i="12"/>
  <c r="M18" i="15"/>
  <c r="F30" i="11"/>
  <c r="C48" i="11" s="1"/>
  <c r="F30" i="69"/>
  <c r="F48" i="69" s="1"/>
  <c r="M18" i="67"/>
  <c r="F54" i="9"/>
  <c r="F32" i="15"/>
  <c r="F60" i="15" s="1"/>
  <c r="F52" i="9"/>
  <c r="F30" i="68"/>
  <c r="F48" i="68" s="1"/>
  <c r="F28" i="15"/>
  <c r="F32" i="67"/>
  <c r="F60" i="67" s="1"/>
  <c r="F28" i="67"/>
  <c r="C40" i="69"/>
  <c r="D22" i="15"/>
  <c r="G1" i="67"/>
  <c r="G1" i="69"/>
  <c r="H5" i="3"/>
  <c r="AZ579" i="3"/>
  <c r="AZ522" i="3"/>
  <c r="AZ520" i="3"/>
  <c r="AA17" i="37"/>
  <c r="S17" i="37"/>
  <c r="S40" i="34"/>
  <c r="AA40" i="34"/>
  <c r="U34" i="33"/>
  <c r="AB34" i="33"/>
  <c r="AC20" i="36"/>
  <c r="W17" i="33"/>
  <c r="AC17" i="33"/>
  <c r="AA36" i="33"/>
  <c r="S36" i="33"/>
  <c r="S19" i="37"/>
  <c r="AA19" i="37"/>
  <c r="AB21" i="39"/>
  <c r="U21" i="39"/>
  <c r="U27" i="40"/>
  <c r="AB27" i="40"/>
  <c r="AZ17" i="3"/>
  <c r="G29" i="6"/>
  <c r="AA13" i="21"/>
  <c r="S13" i="21"/>
  <c r="AC33" i="34"/>
  <c r="W33" i="34"/>
  <c r="AA30" i="40"/>
  <c r="S30" i="40"/>
  <c r="AZ576" i="3"/>
  <c r="AZ544" i="3"/>
  <c r="AZ542" i="3"/>
  <c r="AZ538" i="3"/>
  <c r="AZ512" i="3"/>
  <c r="AC9" i="21"/>
  <c r="U41" i="33"/>
  <c r="U23" i="21"/>
  <c r="AC23" i="37"/>
  <c r="S27" i="40"/>
  <c r="AA27" i="40"/>
  <c r="W11" i="39"/>
  <c r="AC11" i="39"/>
  <c r="D8" i="53"/>
  <c r="D120" i="9"/>
  <c r="AZ547" i="3"/>
  <c r="AZ569" i="3"/>
  <c r="AZ575" i="3"/>
  <c r="AZ570" i="3"/>
  <c r="J24" i="36"/>
  <c r="H24" i="36"/>
  <c r="F24" i="36"/>
  <c r="AB38" i="40"/>
  <c r="U38" i="40"/>
  <c r="BL581" i="3"/>
  <c r="BA581" i="3"/>
  <c r="BA580" i="3"/>
  <c r="AZ580" i="3" s="1"/>
  <c r="BL574" i="3"/>
  <c r="AZ574" i="3" s="1"/>
  <c r="BA573" i="3"/>
  <c r="BL572" i="3"/>
  <c r="BA572" i="3"/>
  <c r="BL571" i="3"/>
  <c r="AZ571" i="3" s="1"/>
  <c r="BL568" i="3"/>
  <c r="AZ568" i="3" s="1"/>
  <c r="BL550" i="3"/>
  <c r="BL546" i="3"/>
  <c r="BA546" i="3"/>
  <c r="AZ546" i="3" s="1"/>
  <c r="BA545" i="3"/>
  <c r="BA537" i="3"/>
  <c r="AZ537" i="3" s="1"/>
  <c r="BL536" i="3"/>
  <c r="BA536" i="3"/>
  <c r="AZ536" i="3" s="1"/>
  <c r="BL534" i="3"/>
  <c r="AZ534" i="3" s="1"/>
  <c r="BA532" i="3"/>
  <c r="AZ532" i="3" s="1"/>
  <c r="BL530" i="3"/>
  <c r="BL529" i="3"/>
  <c r="BA529" i="3"/>
  <c r="BL528" i="3"/>
  <c r="AZ528" i="3" s="1"/>
  <c r="BA526" i="3"/>
  <c r="AZ526" i="3" s="1"/>
  <c r="BA519" i="3"/>
  <c r="AZ519" i="3" s="1"/>
  <c r="BA518" i="3"/>
  <c r="AZ518" i="3" s="1"/>
  <c r="BL516" i="3"/>
  <c r="AZ516" i="3" s="1"/>
  <c r="BL514" i="3"/>
  <c r="AZ514" i="3" s="1"/>
  <c r="BA511" i="3"/>
  <c r="AB33" i="34"/>
  <c r="S23" i="39"/>
  <c r="S43" i="34"/>
  <c r="AZ14" i="3"/>
  <c r="S15" i="37"/>
  <c r="AZ345" i="3"/>
  <c r="AZ334" i="3"/>
  <c r="AZ372" i="3"/>
  <c r="AZ337" i="3"/>
  <c r="AZ376" i="3"/>
  <c r="AZ309" i="3"/>
  <c r="AZ549" i="3"/>
  <c r="AC12" i="37"/>
  <c r="BL515" i="3"/>
  <c r="AZ515" i="3" s="1"/>
  <c r="BL523" i="3"/>
  <c r="AZ523" i="3" s="1"/>
  <c r="BL527" i="3"/>
  <c r="AZ527" i="3" s="1"/>
  <c r="BL577" i="3"/>
  <c r="AZ577" i="3" s="1"/>
  <c r="AZ583" i="3"/>
  <c r="BA530" i="3"/>
  <c r="AZ530" i="3" s="1"/>
  <c r="U42" i="34"/>
  <c r="AC44" i="39"/>
  <c r="W44" i="39"/>
  <c r="AA41" i="21"/>
  <c r="BA585" i="3"/>
  <c r="F30" i="21"/>
  <c r="H30" i="21"/>
  <c r="J30" i="21"/>
  <c r="AA27" i="35"/>
  <c r="S27" i="35"/>
  <c r="AA35" i="33"/>
  <c r="AC39" i="34"/>
  <c r="S20" i="35"/>
  <c r="AA36" i="35"/>
  <c r="AA12" i="39"/>
  <c r="AA34" i="33"/>
  <c r="AA12" i="40"/>
  <c r="BC5" i="3"/>
  <c r="AZ387" i="3"/>
  <c r="AZ362" i="3"/>
  <c r="AZ338" i="3"/>
  <c r="AZ390" i="3"/>
  <c r="AZ371" i="3"/>
  <c r="AZ351" i="3"/>
  <c r="AZ336" i="3"/>
  <c r="AZ305" i="3"/>
  <c r="AZ360" i="3"/>
  <c r="W40" i="37"/>
  <c r="BL511" i="3"/>
  <c r="AZ511" i="3" s="1"/>
  <c r="BL535" i="3"/>
  <c r="AZ535" i="3" s="1"/>
  <c r="BL573" i="3"/>
  <c r="AZ573" i="3" s="1"/>
  <c r="AZ558" i="3"/>
  <c r="AA14" i="37"/>
  <c r="U45" i="33"/>
  <c r="AB45" i="33"/>
  <c r="W28" i="21"/>
  <c r="AC28" i="21"/>
  <c r="AB23" i="34"/>
  <c r="U23" i="34"/>
  <c r="J12" i="36"/>
  <c r="F12" i="36"/>
  <c r="H12" i="36"/>
  <c r="AC31" i="40"/>
  <c r="W31" i="40"/>
  <c r="F29" i="6"/>
  <c r="E29" i="6" s="1"/>
  <c r="K15" i="1" s="1"/>
  <c r="AZ318" i="3"/>
  <c r="AZ306" i="3"/>
  <c r="AC13" i="40"/>
  <c r="BL531" i="3"/>
  <c r="AZ531" i="3" s="1"/>
  <c r="S45" i="33"/>
  <c r="AA11" i="36"/>
  <c r="S11" i="36"/>
  <c r="U46" i="34"/>
  <c r="AB46" i="34"/>
  <c r="U17" i="34"/>
  <c r="AB17" i="34"/>
  <c r="J28" i="33"/>
  <c r="H28" i="33"/>
  <c r="AB9" i="39"/>
  <c r="U9" i="39"/>
  <c r="AA40" i="39"/>
  <c r="S40" i="39"/>
  <c r="U39" i="40"/>
  <c r="AB39" i="40"/>
  <c r="AC11" i="35"/>
  <c r="AA29" i="35"/>
  <c r="F26" i="33"/>
  <c r="AB35" i="33"/>
  <c r="U35" i="33"/>
  <c r="AA38" i="33"/>
  <c r="S38" i="33"/>
  <c r="J12" i="33"/>
  <c r="H12" i="33"/>
  <c r="U12" i="33" s="1"/>
  <c r="F23" i="36"/>
  <c r="H34" i="36"/>
  <c r="J34" i="36"/>
  <c r="W34" i="36" s="1"/>
  <c r="W31" i="35"/>
  <c r="AC31" i="35"/>
  <c r="G552" i="3"/>
  <c r="AZ443" i="3"/>
  <c r="BL539" i="3"/>
  <c r="AZ539" i="3" s="1"/>
  <c r="BL543" i="3"/>
  <c r="AZ543" i="3" s="1"/>
  <c r="AZ564" i="3"/>
  <c r="AB26" i="33"/>
  <c r="G586" i="3"/>
  <c r="B97" i="43"/>
  <c r="B75" i="43"/>
  <c r="AC33" i="33"/>
  <c r="W33" i="33"/>
  <c r="F28" i="34"/>
  <c r="J28" i="34"/>
  <c r="J36" i="35"/>
  <c r="AC36" i="35" s="1"/>
  <c r="H36" i="35"/>
  <c r="J23" i="36"/>
  <c r="BA551" i="3"/>
  <c r="AZ551" i="3" s="1"/>
  <c r="BA550" i="3"/>
  <c r="AZ550" i="3" s="1"/>
  <c r="BL548" i="3"/>
  <c r="AZ548" i="3" s="1"/>
  <c r="AZ407" i="3"/>
  <c r="AC28" i="36"/>
  <c r="W28" i="36"/>
  <c r="J39" i="37"/>
  <c r="H39" i="37"/>
  <c r="AB9" i="40"/>
  <c r="U9" i="40"/>
  <c r="G582" i="3"/>
  <c r="BL432" i="3"/>
  <c r="BL435" i="3"/>
  <c r="BL436" i="3"/>
  <c r="BA439" i="3"/>
  <c r="BA440" i="3"/>
  <c r="AZ440" i="3" s="1"/>
  <c r="BA445" i="3"/>
  <c r="BA449" i="3"/>
  <c r="BL453" i="3"/>
  <c r="BL454" i="3"/>
  <c r="BL459" i="3"/>
  <c r="G461" i="3"/>
  <c r="BA465" i="3"/>
  <c r="AZ465" i="3" s="1"/>
  <c r="BA467" i="3"/>
  <c r="BA468" i="3"/>
  <c r="BL471" i="3"/>
  <c r="BL475" i="3"/>
  <c r="BA477" i="3"/>
  <c r="BA478" i="3"/>
  <c r="BA481" i="3"/>
  <c r="G484" i="3"/>
  <c r="BA488" i="3"/>
  <c r="AZ488" i="3" s="1"/>
  <c r="BA491" i="3"/>
  <c r="AZ491" i="3" s="1"/>
  <c r="W22" i="35"/>
  <c r="BL585"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AZ453" i="3"/>
  <c r="AZ471" i="3"/>
  <c r="AZ487" i="3"/>
  <c r="BA333" i="3"/>
  <c r="BA398" i="3"/>
  <c r="AZ398" i="3" s="1"/>
  <c r="BA399" i="3"/>
  <c r="AZ399" i="3" s="1"/>
  <c r="BL401" i="3"/>
  <c r="BL404" i="3"/>
  <c r="BL405" i="3"/>
  <c r="BL407" i="3"/>
  <c r="BA412" i="3"/>
  <c r="AZ412" i="3" s="1"/>
  <c r="BA414" i="3"/>
  <c r="BA415" i="3"/>
  <c r="AZ415" i="3" s="1"/>
  <c r="BA416" i="3"/>
  <c r="AZ416" i="3" s="1"/>
  <c r="BA418" i="3"/>
  <c r="AZ418" i="3" s="1"/>
  <c r="BA421" i="3"/>
  <c r="AZ421" i="3" s="1"/>
  <c r="BA423" i="3"/>
  <c r="AZ423" i="3" s="1"/>
  <c r="BA425" i="3"/>
  <c r="AZ425" i="3" s="1"/>
  <c r="BA426" i="3"/>
  <c r="BA427" i="3"/>
  <c r="AZ427" i="3" s="1"/>
  <c r="AZ435" i="3"/>
  <c r="BL442" i="3"/>
  <c r="BL444" i="3"/>
  <c r="AZ444" i="3" s="1"/>
  <c r="G447" i="3"/>
  <c r="BL448" i="3"/>
  <c r="AZ448" i="3" s="1"/>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L587" i="3"/>
  <c r="AZ587" i="3" s="1"/>
  <c r="BL586" i="3"/>
  <c r="AZ586" i="3" s="1"/>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A368" i="3"/>
  <c r="BL368" i="3"/>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76" i="3"/>
  <c r="BA279" i="3"/>
  <c r="BA281" i="3"/>
  <c r="BA296" i="3"/>
  <c r="G116" i="3"/>
  <c r="BA117" i="3"/>
  <c r="BL346" i="3"/>
  <c r="AZ346" i="3" s="1"/>
  <c r="AZ228" i="3"/>
  <c r="BA273" i="3"/>
  <c r="BA278" i="3"/>
  <c r="AZ278" i="3" s="1"/>
  <c r="G288" i="3"/>
  <c r="AZ301" i="3"/>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0" i="3"/>
  <c r="BL300" i="3"/>
  <c r="BL122" i="3"/>
  <c r="BA124" i="3"/>
  <c r="AZ124" i="3" s="1"/>
  <c r="G127"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AZ297" i="3" s="1"/>
  <c r="BL297" i="3"/>
  <c r="BL301" i="3"/>
  <c r="BL302" i="3"/>
  <c r="AZ302" i="3" s="1"/>
  <c r="BA114" i="3"/>
  <c r="BL123" i="3"/>
  <c r="AZ123" i="3" s="1"/>
  <c r="G126" i="3"/>
  <c r="G136" i="3"/>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4" i="3"/>
  <c r="BA80" i="3"/>
  <c r="C47" i="71"/>
  <c r="D47" i="71" s="1"/>
  <c r="D46" i="71"/>
  <c r="C55" i="71"/>
  <c r="D54" i="71"/>
  <c r="N67" i="71"/>
  <c r="B66" i="71"/>
  <c r="F66" i="71"/>
  <c r="Q67" i="7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BA28" i="3"/>
  <c r="BA31" i="3"/>
  <c r="BA32" i="3"/>
  <c r="G38" i="3"/>
  <c r="BA38" i="3"/>
  <c r="AZ38" i="3" s="1"/>
  <c r="BA41" i="3"/>
  <c r="BA42" i="3"/>
  <c r="G47" i="3"/>
  <c r="BL48" i="3"/>
  <c r="BA51" i="3"/>
  <c r="G55" i="3"/>
  <c r="BL56" i="3"/>
  <c r="BA58" i="3"/>
  <c r="BL59" i="3"/>
  <c r="AZ59" i="3" s="1"/>
  <c r="BL60" i="3"/>
  <c r="BA61" i="3"/>
  <c r="AZ61" i="3" s="1"/>
  <c r="BA78" i="3"/>
  <c r="D31" i="71"/>
  <c r="C32"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BL64" i="3"/>
  <c r="BL65" i="3"/>
  <c r="AZ65" i="3" s="1"/>
  <c r="BL66" i="3"/>
  <c r="BL72" i="3"/>
  <c r="AZ72" i="3" s="1"/>
  <c r="BL79" i="3"/>
  <c r="BL81" i="3"/>
  <c r="BA82" i="3"/>
  <c r="AZ82" i="3" s="1"/>
  <c r="BL83" i="3"/>
  <c r="C52" i="71"/>
  <c r="D51" i="71"/>
  <c r="BA37" i="3"/>
  <c r="G39" i="3"/>
  <c r="BL39" i="3"/>
  <c r="AZ39" i="3" s="1"/>
  <c r="BA45" i="3"/>
  <c r="AZ45" i="3" s="1"/>
  <c r="BA46" i="3"/>
  <c r="BL49" i="3"/>
  <c r="G51" i="3"/>
  <c r="BA52" i="3"/>
  <c r="AZ52" i="3" s="1"/>
  <c r="BA53" i="3"/>
  <c r="AZ53" i="3" s="1"/>
  <c r="BA54" i="3"/>
  <c r="BL57" i="3"/>
  <c r="G62" i="3"/>
  <c r="BL62" i="3"/>
  <c r="AZ62" i="3" s="1"/>
  <c r="BL63" i="3"/>
  <c r="BA67" i="3"/>
  <c r="AZ67" i="3" s="1"/>
  <c r="BA68" i="3"/>
  <c r="BL70" i="3"/>
  <c r="AZ70" i="3" s="1"/>
  <c r="BL71" i="3"/>
  <c r="C44" i="71"/>
  <c r="D43" i="71"/>
  <c r="V24" i="71"/>
  <c r="E23" i="71"/>
  <c r="E22" i="71" s="1"/>
  <c r="E21" i="71" s="1"/>
  <c r="E20"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BA104" i="3"/>
  <c r="BA106"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4" i="9"/>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F64" i="15"/>
  <c r="C27" i="15"/>
  <c r="F65" i="15"/>
  <c r="B13" i="70"/>
  <c r="F68" i="15"/>
  <c r="C36" i="68"/>
  <c r="D9" i="68"/>
  <c r="F40" i="67"/>
  <c r="F13" i="67"/>
  <c r="F16" i="67"/>
  <c r="M28" i="67"/>
  <c r="M8" i="67"/>
  <c r="F26" i="67"/>
  <c r="F38" i="67"/>
  <c r="M29" i="67"/>
  <c r="L47" i="67"/>
  <c r="M22" i="67"/>
  <c r="M24" i="15"/>
  <c r="F42" i="67"/>
  <c r="D9" i="69"/>
  <c r="M8" i="15"/>
  <c r="M29" i="15"/>
  <c r="J15" i="67"/>
  <c r="F9" i="67"/>
  <c r="D5" i="73"/>
  <c r="F8" i="67"/>
  <c r="L48" i="15"/>
  <c r="F42" i="15"/>
  <c r="C76" i="67"/>
  <c r="M6" i="67"/>
  <c r="F6" i="67"/>
  <c r="F7" i="67"/>
  <c r="M22" i="15"/>
  <c r="F37" i="67"/>
  <c r="M23" i="67"/>
  <c r="M9" i="67"/>
  <c r="M6" i="15"/>
  <c r="F43" i="67"/>
  <c r="C76" i="15"/>
  <c r="C16" i="15"/>
  <c r="M28" i="15"/>
  <c r="M26" i="67"/>
  <c r="F36" i="67"/>
  <c r="D4" i="73"/>
  <c r="D3" i="73"/>
  <c r="C36" i="69"/>
  <c r="F8" i="15"/>
  <c r="L47" i="15"/>
  <c r="M24" i="67"/>
  <c r="F38" i="15"/>
  <c r="F7" i="15"/>
  <c r="F9" i="15"/>
  <c r="L48" i="67"/>
  <c r="D7" i="73"/>
  <c r="E83" i="43" l="1"/>
  <c r="B81" i="43" s="1"/>
  <c r="N370" i="46"/>
  <c r="G26" i="43"/>
  <c r="C30" i="68"/>
  <c r="C48" i="68"/>
  <c r="F68" i="67"/>
  <c r="F64" i="67"/>
  <c r="C27" i="67"/>
  <c r="F51" i="67"/>
  <c r="I54" i="67"/>
  <c r="J57" i="67"/>
  <c r="J55" i="67" s="1"/>
  <c r="J58" i="67" s="1"/>
  <c r="Q50" i="67" s="1"/>
  <c r="L56" i="67"/>
  <c r="J53" i="67"/>
  <c r="F1" i="67" s="1"/>
  <c r="C6" i="67"/>
  <c r="C32" i="67" s="1"/>
  <c r="Q71" i="67"/>
  <c r="F66" i="67"/>
  <c r="N59" i="67"/>
  <c r="M59" i="67"/>
  <c r="L59" i="67"/>
  <c r="Q61" i="67" s="1"/>
  <c r="L58" i="67"/>
  <c r="Q73" i="67" s="1"/>
  <c r="M7" i="67"/>
  <c r="J6" i="67" s="1"/>
  <c r="J18" i="67" s="1"/>
  <c r="F50" i="67"/>
  <c r="F65" i="67"/>
  <c r="F71" i="67"/>
  <c r="F26" i="43"/>
  <c r="N94" i="46"/>
  <c r="J26" i="43"/>
  <c r="E26" i="43"/>
  <c r="F30" i="6"/>
  <c r="P6" i="1"/>
  <c r="C13" i="12" s="1"/>
  <c r="Q16" i="1"/>
  <c r="H16" i="1"/>
  <c r="J57" i="15"/>
  <c r="J55" i="15" s="1"/>
  <c r="J58" i="15" s="1"/>
  <c r="Q50" i="15" s="1"/>
  <c r="I54" i="15"/>
  <c r="J53" i="15"/>
  <c r="L56" i="15" s="1"/>
  <c r="F66" i="15"/>
  <c r="Q71" i="15"/>
  <c r="M7" i="15"/>
  <c r="J6" i="15" s="1"/>
  <c r="J18" i="15" s="1"/>
  <c r="F50" i="15"/>
  <c r="F31" i="15"/>
  <c r="F51" i="15"/>
  <c r="C6" i="15"/>
  <c r="C32" i="15" s="1"/>
  <c r="L59" i="15"/>
  <c r="Q74" i="15" s="1"/>
  <c r="N59" i="15"/>
  <c r="L58" i="15"/>
  <c r="Q73" i="15" s="1"/>
  <c r="M59" i="15"/>
  <c r="G16" i="1"/>
  <c r="F10" i="39" s="1"/>
  <c r="C70" i="71"/>
  <c r="D70" i="71" s="1"/>
  <c r="D71" i="71"/>
  <c r="D44" i="71"/>
  <c r="T44" i="71"/>
  <c r="T52" i="71"/>
  <c r="D52" i="71"/>
  <c r="AZ58" i="3"/>
  <c r="AZ28" i="3"/>
  <c r="AZ25" i="3"/>
  <c r="AZ263" i="3"/>
  <c r="AZ243" i="3"/>
  <c r="AZ422" i="3"/>
  <c r="AB39" i="37"/>
  <c r="U39" i="37"/>
  <c r="U28" i="33"/>
  <c r="AB28" i="33"/>
  <c r="W12" i="36"/>
  <c r="AC12" i="36"/>
  <c r="AC30" i="21"/>
  <c r="W30" i="21"/>
  <c r="AZ529" i="3"/>
  <c r="AB24" i="36"/>
  <c r="U24" i="36"/>
  <c r="AZ66" i="3"/>
  <c r="T28" i="71"/>
  <c r="D28" i="71"/>
  <c r="U28" i="71" s="1"/>
  <c r="C27" i="71"/>
  <c r="D79" i="71"/>
  <c r="C78" i="71"/>
  <c r="D78" i="71" s="1"/>
  <c r="C36" i="71"/>
  <c r="D35" i="71"/>
  <c r="AZ49" i="3"/>
  <c r="T32" i="71"/>
  <c r="D32" i="71"/>
  <c r="AZ27" i="3"/>
  <c r="AZ150" i="3"/>
  <c r="AZ273" i="3"/>
  <c r="AZ238" i="3"/>
  <c r="AC39" i="37"/>
  <c r="W39" i="37"/>
  <c r="W28" i="34"/>
  <c r="AC28" i="34"/>
  <c r="W12" i="33"/>
  <c r="AC12" i="33"/>
  <c r="W28" i="33"/>
  <c r="AC28" i="33"/>
  <c r="U30" i="21"/>
  <c r="AB30" i="21"/>
  <c r="AC24" i="36"/>
  <c r="W24" i="36"/>
  <c r="D83" i="71"/>
  <c r="C82" i="71"/>
  <c r="D82" i="71" s="1"/>
  <c r="O65" i="71"/>
  <c r="D66" i="71"/>
  <c r="O66" i="71"/>
  <c r="C56" i="71"/>
  <c r="D55" i="71"/>
  <c r="AC23" i="36"/>
  <c r="W23" i="36"/>
  <c r="AA28" i="34"/>
  <c r="S28" i="34"/>
  <c r="AB34" i="36"/>
  <c r="U34" i="36"/>
  <c r="AA26" i="33"/>
  <c r="S26" i="33"/>
  <c r="U12" i="36"/>
  <c r="AB12" i="36"/>
  <c r="S30" i="21"/>
  <c r="AA30" i="21"/>
  <c r="AZ572" i="3"/>
  <c r="D121" i="9"/>
  <c r="D7" i="52" s="1"/>
  <c r="D6" i="52"/>
  <c r="G5" i="3"/>
  <c r="B3" i="3" s="1"/>
  <c r="E212" i="3" s="1"/>
  <c r="C40" i="71"/>
  <c r="D39" i="71"/>
  <c r="AZ51" i="3"/>
  <c r="AZ41" i="3"/>
  <c r="AZ31" i="3"/>
  <c r="AZ20" i="3"/>
  <c r="N65" i="71"/>
  <c r="N66" i="71"/>
  <c r="AZ244" i="3"/>
  <c r="AZ239" i="3"/>
  <c r="AZ223" i="3"/>
  <c r="AZ368" i="3"/>
  <c r="AZ483" i="3"/>
  <c r="AZ414" i="3"/>
  <c r="AB36" i="35"/>
  <c r="U36" i="35"/>
  <c r="AA23" i="36"/>
  <c r="S23" i="36"/>
  <c r="AA12" i="36"/>
  <c r="S12" i="36"/>
  <c r="AZ585" i="3"/>
  <c r="AA24" i="36"/>
  <c r="S24" i="36"/>
  <c r="J7" i="37"/>
  <c r="AC7" i="37" s="1"/>
  <c r="K1" i="73"/>
  <c r="E536" i="3"/>
  <c r="E554" i="3"/>
  <c r="E389" i="3"/>
  <c r="E310" i="3"/>
  <c r="E68" i="3"/>
  <c r="E494" i="3"/>
  <c r="E482" i="3"/>
  <c r="E174" i="3"/>
  <c r="E86" i="3"/>
  <c r="AF6" i="3"/>
  <c r="E308" i="3"/>
  <c r="E197" i="3"/>
  <c r="T6" i="3"/>
  <c r="E512" i="3"/>
  <c r="E556" i="3"/>
  <c r="E470" i="3"/>
  <c r="E41" i="3"/>
  <c r="E356" i="3"/>
  <c r="E190" i="3"/>
  <c r="E35" i="3"/>
  <c r="E80" i="3"/>
  <c r="E326" i="3"/>
  <c r="E16" i="3"/>
  <c r="E223" i="3"/>
  <c r="E105" i="3"/>
  <c r="E493" i="3"/>
  <c r="E543" i="3"/>
  <c r="E486" i="3"/>
  <c r="E422" i="3"/>
  <c r="E490" i="3"/>
  <c r="AH6" i="3"/>
  <c r="E498" i="3"/>
  <c r="E401" i="3"/>
  <c r="E40" i="3"/>
  <c r="E108" i="3"/>
  <c r="E202" i="3"/>
  <c r="E276" i="3"/>
  <c r="E333" i="3"/>
  <c r="L6" i="3"/>
  <c r="E43"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G1" i="73"/>
  <c r="F27" i="69"/>
  <c r="AE6" i="1"/>
  <c r="C16" i="67"/>
  <c r="Q60" i="67" l="1"/>
  <c r="W7" i="37"/>
  <c r="F45" i="69"/>
  <c r="D26" i="43"/>
  <c r="C25" i="43" s="1"/>
  <c r="F1" i="15"/>
  <c r="Q74" i="67"/>
  <c r="C29" i="69"/>
  <c r="D27" i="69" s="1"/>
  <c r="C47" i="69"/>
  <c r="D45" i="69" s="1"/>
  <c r="F28" i="12"/>
  <c r="C29" i="12" s="1"/>
  <c r="D28" i="12" s="1"/>
  <c r="C49" i="15"/>
  <c r="C49" i="67"/>
  <c r="J5" i="67"/>
  <c r="J24" i="67" s="1"/>
  <c r="Q52" i="67"/>
  <c r="E540" i="3"/>
  <c r="E372" i="3"/>
  <c r="E226" i="3"/>
  <c r="E25" i="3"/>
  <c r="E419" i="3"/>
  <c r="E376" i="3"/>
  <c r="E507" i="3"/>
  <c r="E564" i="3"/>
  <c r="E116" i="3"/>
  <c r="E329" i="3"/>
  <c r="E232" i="3"/>
  <c r="E412" i="3"/>
  <c r="E26" i="3"/>
  <c r="E451" i="3"/>
  <c r="E525" i="3"/>
  <c r="E113" i="3"/>
  <c r="E383" i="3"/>
  <c r="E391" i="3"/>
  <c r="E184" i="3"/>
  <c r="E95" i="3"/>
  <c r="E60" i="3"/>
  <c r="E346" i="3"/>
  <c r="E178" i="3"/>
  <c r="E463" i="3"/>
  <c r="J6" i="3"/>
  <c r="E440" i="3"/>
  <c r="E427" i="3"/>
  <c r="E393" i="3"/>
  <c r="E188" i="3"/>
  <c r="E158" i="3"/>
  <c r="E324" i="3"/>
  <c r="E225" i="3"/>
  <c r="E13" i="3"/>
  <c r="E456" i="3"/>
  <c r="E205" i="3"/>
  <c r="E206" i="3"/>
  <c r="E96" i="3"/>
  <c r="E283" i="3"/>
  <c r="E64" i="3"/>
  <c r="E442" i="3"/>
  <c r="Q60" i="15"/>
  <c r="J5" i="15"/>
  <c r="J24" i="15" s="1"/>
  <c r="E49" i="3"/>
  <c r="E220" i="3"/>
  <c r="E428" i="3"/>
  <c r="E115" i="3"/>
  <c r="E420" i="3"/>
  <c r="E497" i="3"/>
  <c r="E408" i="3"/>
  <c r="E405" i="3"/>
  <c r="E173" i="3"/>
  <c r="E22" i="3"/>
  <c r="E102" i="3"/>
  <c r="E34" i="3"/>
  <c r="E235" i="3"/>
  <c r="E18" i="3"/>
  <c r="E198" i="3"/>
  <c r="E63" i="3"/>
  <c r="E67" i="3"/>
  <c r="E409" i="3"/>
  <c r="E417" i="3"/>
  <c r="E575" i="3"/>
  <c r="E3" i="6"/>
  <c r="E83" i="3"/>
  <c r="E370" i="3"/>
  <c r="E342" i="3"/>
  <c r="E78" i="3"/>
  <c r="E243" i="3"/>
  <c r="E104" i="3"/>
  <c r="E452" i="3"/>
  <c r="E360" i="3"/>
  <c r="E469" i="3"/>
  <c r="E534" i="3"/>
  <c r="E140" i="3"/>
  <c r="E287" i="3"/>
  <c r="E251" i="3"/>
  <c r="E522" i="3"/>
  <c r="E129" i="3"/>
  <c r="AL6" i="3"/>
  <c r="AC6" i="3" s="1"/>
  <c r="E6" i="3" s="1"/>
  <c r="E309" i="3"/>
  <c r="E233" i="3"/>
  <c r="E267" i="3"/>
  <c r="E241" i="3"/>
  <c r="E449" i="3"/>
  <c r="Q52" i="15"/>
  <c r="Q61" i="15"/>
  <c r="E84" i="3"/>
  <c r="E371" i="3"/>
  <c r="E160" i="3"/>
  <c r="E467" i="3"/>
  <c r="E59" i="3"/>
  <c r="E349" i="3"/>
  <c r="E258" i="3"/>
  <c r="E37" i="3"/>
  <c r="E491" i="3"/>
  <c r="AP6" i="3"/>
  <c r="E430" i="3"/>
  <c r="E502" i="3"/>
  <c r="E286" i="3"/>
  <c r="E539" i="3"/>
  <c r="D56" i="71"/>
  <c r="T56" i="71"/>
  <c r="E75" i="3"/>
  <c r="E332" i="3"/>
  <c r="E21" i="3"/>
  <c r="E264" i="3"/>
  <c r="E381" i="3"/>
  <c r="E144" i="3"/>
  <c r="E23" i="3"/>
  <c r="E300" i="3"/>
  <c r="E103" i="3"/>
  <c r="E425" i="3"/>
  <c r="E76" i="3"/>
  <c r="E363" i="3"/>
  <c r="E192" i="3"/>
  <c r="E56" i="3"/>
  <c r="E435" i="3"/>
  <c r="I3" i="6"/>
  <c r="E541" i="3"/>
  <c r="R6" i="3"/>
  <c r="E199" i="3"/>
  <c r="E510" i="3"/>
  <c r="C26" i="71"/>
  <c r="D26" i="71" s="1"/>
  <c r="D27" i="71"/>
  <c r="E42" i="3"/>
  <c r="E281" i="3"/>
  <c r="E513" i="3"/>
  <c r="E81" i="3"/>
  <c r="E355" i="3"/>
  <c r="E33" i="3"/>
  <c r="E492" i="3"/>
  <c r="E249" i="3"/>
  <c r="E46" i="3"/>
  <c r="E484" i="3"/>
  <c r="E544" i="3"/>
  <c r="E292" i="3"/>
  <c r="E152" i="3"/>
  <c r="E479" i="3"/>
  <c r="E517" i="3"/>
  <c r="E255" i="3"/>
  <c r="E466" i="3"/>
  <c r="E499" i="3"/>
  <c r="T40" i="71"/>
  <c r="D40"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15"/>
  <c r="M27" i="67"/>
  <c r="F41" i="15"/>
  <c r="F41" i="67"/>
  <c r="F69" i="67" l="1"/>
  <c r="C48" i="15"/>
  <c r="C66" i="15" s="1"/>
  <c r="C48" i="67"/>
  <c r="C60" i="67" s="1"/>
  <c r="F22" i="69"/>
  <c r="F41" i="69" s="1"/>
  <c r="F25" i="12"/>
  <c r="C26" i="12" s="1"/>
  <c r="D25" i="12" s="1"/>
  <c r="D116" i="43"/>
  <c r="F22" i="68"/>
  <c r="C23" i="68" s="1"/>
  <c r="F24" i="15"/>
  <c r="C24" i="15" s="1"/>
  <c r="F22" i="11"/>
  <c r="C23" i="11" s="1"/>
  <c r="F24" i="67"/>
  <c r="C24" i="6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C17" i="67"/>
  <c r="C17" i="15"/>
  <c r="C34" i="69"/>
  <c r="C14" i="67"/>
  <c r="D10" i="69"/>
  <c r="C66" i="67" l="1"/>
  <c r="C44" i="69"/>
  <c r="D41" i="69" s="1"/>
  <c r="C26" i="69"/>
  <c r="D22" i="69" s="1"/>
  <c r="C24" i="11"/>
  <c r="C44" i="68"/>
  <c r="D41" i="68" s="1"/>
  <c r="F41" i="68"/>
  <c r="H21" i="6"/>
  <c r="C26" i="68"/>
  <c r="D22" i="68" s="1"/>
  <c r="H22" i="6"/>
  <c r="C25" i="11"/>
  <c r="D30" i="6"/>
  <c r="C26" i="11"/>
  <c r="D22" i="11" s="1"/>
  <c r="C44" i="11"/>
  <c r="D41" i="11" s="1"/>
  <c r="H25" i="6"/>
  <c r="R25" i="6" s="1"/>
  <c r="R12" i="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19" i="9"/>
  <c r="D2" i="36"/>
  <c r="D2" i="35"/>
  <c r="L51" i="15"/>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8" i="1"/>
  <c r="AO6" i="1"/>
  <c r="AO9" i="1"/>
  <c r="AO7" i="1"/>
  <c r="AO12" i="1"/>
  <c r="AO10" i="1"/>
  <c r="AO11" i="1"/>
  <c r="D20" i="9"/>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H118" i="9" s="1"/>
  <c r="E118" i="9" l="1"/>
  <c r="E4" i="52" s="1"/>
  <c r="B48" i="72" s="1"/>
  <c r="F4" i="52"/>
  <c r="B51" i="72" s="1"/>
  <c r="H101" i="9"/>
  <c r="C104" i="9"/>
  <c r="H4" i="52"/>
  <c r="H119" i="9"/>
  <c r="H5" i="52" s="1"/>
  <c r="D118" i="9"/>
  <c r="I4" i="52"/>
  <c r="C105" i="9"/>
  <c r="H102" i="9"/>
  <c r="E14" i="74" s="1"/>
  <c r="D14" i="74" l="1"/>
  <c r="D45" i="9"/>
  <c r="D55" i="9" s="1"/>
  <c r="B5" i="74"/>
  <c r="D5" i="74" s="1"/>
  <c r="F14" i="74"/>
  <c r="D7" i="53"/>
  <c r="B21" i="72" s="1"/>
  <c r="D119" i="9"/>
  <c r="D5" i="52" s="1"/>
  <c r="B49" i="72" s="1"/>
  <c r="D4" i="52"/>
  <c r="B47" i="72" s="1"/>
  <c r="H107" i="9"/>
  <c r="G14" i="74" s="1"/>
  <c r="B6" i="74" s="1"/>
  <c r="D6" i="74" s="1"/>
  <c r="D5" i="53"/>
  <c r="M48" i="9"/>
  <c r="C72" i="9" l="1"/>
  <c r="C78" i="9"/>
  <c r="C73" i="9" s="1"/>
  <c r="C5" i="74"/>
  <c r="M53" i="9"/>
  <c r="D52" i="9"/>
  <c r="C64" i="9"/>
  <c r="C93" i="9"/>
  <c r="C86" i="9" s="1"/>
  <c r="C85" i="9"/>
  <c r="D53" i="9"/>
  <c r="D6" i="53"/>
  <c r="B22" i="72" s="1"/>
  <c r="B20" i="72"/>
  <c r="H108" i="9"/>
  <c r="M49" i="9"/>
  <c r="D13" i="53"/>
  <c r="D122" i="9"/>
  <c r="C63" i="9" l="1"/>
  <c r="C67" i="9" s="1"/>
  <c r="B30" i="72"/>
  <c r="D14" i="53"/>
  <c r="B32" i="72" s="1"/>
  <c r="L68" i="9"/>
  <c r="M68" i="9" s="1"/>
  <c r="L63" i="9"/>
  <c r="M63" i="9" s="1"/>
  <c r="L64" i="9"/>
  <c r="M64" i="9" s="1"/>
  <c r="L66" i="9"/>
  <c r="M66" i="9" s="1"/>
  <c r="L65" i="9"/>
  <c r="M65" i="9" s="1"/>
  <c r="L67" i="9"/>
  <c r="M67" i="9" s="1"/>
  <c r="C6" i="74"/>
  <c r="D15" i="53"/>
  <c r="B31" i="72" s="1"/>
  <c r="C95" i="9"/>
  <c r="D8" i="52"/>
  <c r="D123" i="9"/>
  <c r="D9" i="52" s="1"/>
  <c r="C79" i="9"/>
  <c r="C68" i="9" l="1"/>
  <c r="D59" i="9"/>
  <c r="M55" i="9" s="1"/>
  <c r="D54" i="9"/>
  <c r="D48" i="9" s="1"/>
  <c r="M52" i="9" s="1"/>
  <c r="M69" i="9"/>
  <c r="N69" i="9" s="1"/>
  <c r="C96" i="9"/>
  <c r="E96" i="9" s="1"/>
  <c r="E97" i="9" s="1"/>
  <c r="C80" i="9"/>
  <c r="E80" i="9" s="1"/>
  <c r="E81" i="9" s="1"/>
  <c r="C81" i="9" l="1"/>
  <c r="C97" i="9"/>
  <c r="D58" i="9" s="1"/>
  <c r="D56" i="9" s="1"/>
  <c r="M54" i="9" s="1"/>
  <c r="N57" i="9" s="1"/>
  <c r="N58" i="9" s="1"/>
  <c r="N59" i="9" l="1"/>
  <c r="N61" i="9" s="1"/>
  <c r="H112" i="9" s="1"/>
  <c r="P57" i="9"/>
  <c r="H111" i="9"/>
  <c r="I14" i="74" l="1"/>
  <c r="B8" i="74" s="1"/>
  <c r="N60" i="9"/>
  <c r="D19" i="53"/>
  <c r="D126" i="9"/>
  <c r="D21" i="53"/>
  <c r="B39" i="72" s="1"/>
  <c r="D8" i="74" l="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<sst xmlns="http://schemas.openxmlformats.org/spreadsheetml/2006/main" count="8187" uniqueCount="3482">
  <si>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</si>
  <si>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</si>
  <si>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</si>
  <si>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</si>
  <si>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</si>
  <si>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</si>
  <si>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</si>
  <si>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</si>
  <si>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</si>
  <si>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</si>
  <si>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</si>
  <si>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</si>
  <si>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</si>
  <si>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</si>
  <si>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</si>
  <si>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</si>
  <si>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</si>
  <si>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</si>
  <si>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</si>
  <si>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</si>
  <si>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</si>
  <si>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</si>
  <si>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</si>
  <si>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</si>
  <si>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</si>
  <si>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</si>
  <si>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</si>
  <si>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</si>
  <si>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</si>
  <si>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</si>
  <si>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</si>
  <si>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</si>
  <si>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</si>
  <si>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</si>
  <si>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</si>
  <si>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</si>
  <si>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</si>
  <si>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</si>
  <si>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</si>
  <si>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</si>
  <si>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</si>
  <si>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</si>
  <si>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</si>
  <si>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</si>
  <si>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</si>
  <si>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</si>
  <si>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</si>
  <si>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</si>
  <si>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</si>
  <si>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</si>
  <si>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</si>
  <si>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</si>
  <si>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</si>
  <si>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</si>
  <si>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</si>
  <si>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</si>
  <si>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</si>
  <si>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</si>
  <si>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</si>
  <si>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</si>
  <si>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</si>
  <si>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</si>
  <si>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</si>
  <si>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</si>
  <si>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</si>
  <si>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</si>
  <si>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</si>
  <si>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</si>
  <si>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</si>
  <si>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</si>
  <si>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</si>
  <si>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</si>
  <si>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</si>
  <si>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</si>
  <si>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</si>
  <si>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</si>
  <si>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</si>
  <si>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</si>
  <si>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</si>
  <si>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</si>
  <si>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</si>
  <si>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</si>
  <si>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</si>
  <si>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</si>
  <si>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</si>
  <si>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</si>
  <si>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</si>
  <si>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</si>
  <si>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</si>
  <si>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</si>
  <si>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</si>
  <si>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</si>
  <si>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</si>
  <si>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</si>
  <si>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</si>
  <si>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</si>
  <si>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</si>
  <si>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</si>
  <si>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</si>
  <si>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</si>
  <si>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</si>
  <si>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</si>
  <si>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</si>
  <si>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</si>
  <si>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</si>
  <si>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</si>
  <si>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</si>
  <si>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</si>
  <si>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</si>
  <si>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</si>
  <si>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</si>
  <si>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</si>
  <si>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</si>
  <si>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</si>
  <si>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</si>
  <si>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</si>
  <si>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</si>
  <si>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</si>
  <si>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</si>
  <si>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</si>
  <si>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</si>
  <si>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</si>
  <si>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</si>
  <si>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</si>
  <si>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</si>
  <si>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</si>
  <si>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</si>
  <si>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</si>
  <si>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</si>
  <si>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</si>
  <si>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</si>
  <si>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</si>
  <si>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</si>
  <si>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</si>
  <si>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</si>
  <si>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</si>
  <si>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</si>
  <si>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</si>
  <si>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</si>
  <si>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</si>
  <si>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</si>
  <si>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</si>
  <si>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</si>
  <si>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</si>
  <si>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</si>
  <si>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</si>
  <si>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</si>
  <si>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</si>
  <si>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</si>
  <si>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</si>
  <si>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</si>
  <si>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</si>
  <si>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</si>
  <si>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</si>
  <si>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</si>
  <si>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</si>
  <si>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</si>
  <si>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</si>
  <si>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</si>
  <si>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</si>
  <si>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</si>
  <si>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</si>
  <si>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</si>
  <si>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</si>
  <si>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</si>
  <si>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</si>
  <si>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</si>
  <si>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</si>
  <si>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</si>
  <si>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</si>
  <si>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</si>
  <si>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</si>
  <si>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</si>
  <si>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</si>
  <si>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</si>
  <si>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</si>
  <si>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</si>
  <si>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</si>
  <si>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</si>
  <si>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</si>
  <si>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</si>
  <si>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</si>
  <si>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</si>
  <si>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</si>
  <si>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</si>
  <si>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</si>
  <si>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</si>
  <si>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</si>
  <si>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</si>
  <si>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</si>
  <si>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</si>
  <si>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</si>
  <si>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</si>
  <si>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</si>
  <si>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</si>
  <si>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</si>
  <si>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</si>
  <si>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</si>
  <si>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</si>
  <si>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</si>
  <si>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</si>
  <si>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</si>
  <si>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</si>
  <si>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</si>
  <si>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</si>
  <si>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</si>
  <si>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</si>
  <si>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</si>
  <si>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</si>
  <si>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</si>
  <si>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</si>
  <si>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</si>
  <si>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</si>
  <si>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</si>
  <si>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</si>
  <si>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</si>
  <si>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</si>
  <si>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</si>
  <si>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</si>
  <si>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</si>
  <si>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</si>
  <si>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</si>
  <si>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</si>
  <si>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</si>
  <si>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</si>
  <si>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</si>
  <si>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</si>
  <si>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</si>
  <si>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</si>
  <si>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</si>
  <si>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</si>
  <si>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</si>
  <si>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</si>
  <si>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</si>
  <si>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</si>
  <si>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</si>
  <si>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</si>
  <si>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</si>
  <si>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</si>
  <si>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</si>
  <si>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</si>
  <si>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</si>
  <si>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</si>
  <si>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</si>
  <si>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</si>
  <si>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</si>
  <si>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</si>
  <si>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</si>
  <si>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</si>
  <si>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</si>
  <si>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</si>
  <si>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</si>
  <si>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</si>
  <si>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</si>
  <si>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</si>
  <si>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</si>
  <si>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</si>
  <si>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</si>
  <si>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</si>
  <si>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</si>
  <si>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</si>
  <si>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</si>
  <si>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</si>
  <si>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</si>
  <si>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</si>
  <si>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</si>
  <si>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</si>
  <si>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</si>
  <si>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</si>
  <si>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</si>
  <si>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</si>
  <si>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</si>
  <si>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</si>
  <si>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</si>
  <si>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</si>
  <si>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</si>
  <si>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</si>
  <si>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</si>
  <si>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</si>
  <si>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</si>
  <si>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</si>
  <si>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</si>
  <si>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</si>
  <si>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</si>
  <si>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</si>
  <si>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</si>
  <si>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</si>
  <si>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</si>
  <si>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</si>
  <si>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</si>
  <si>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</si>
  <si>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</si>
  <si>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</si>
  <si>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</si>
  <si>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</si>
  <si>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</si>
  <si>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</si>
  <si>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</si>
  <si>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</si>
  <si>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</si>
  <si>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</si>
  <si>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</si>
  <si>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</si>
  <si>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</si>
  <si>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</si>
  <si>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</si>
  <si>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</si>
  <si>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</si>
  <si>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</si>
  <si>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</si>
  <si>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</si>
  <si>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</si>
  <si>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</si>
  <si>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</si>
  <si>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</si>
  <si>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</si>
  <si>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</si>
  <si>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</si>
  <si>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</si>
  <si>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</si>
  <si>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</si>
  <si>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</si>
  <si>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</si>
  <si>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</si>
  <si>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</si>
  <si>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</si>
  <si>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</si>
  <si>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</si>
  <si>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</si>
  <si>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</si>
  <si>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</si>
  <si>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</si>
  <si>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</si>
  <si>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</si>
  <si>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</si>
  <si>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</si>
  <si>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</si>
  <si>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</si>
  <si>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</si>
  <si>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</si>
  <si>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</si>
  <si>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</si>
  <si>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</si>
  <si>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</si>
  <si>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</si>
  <si>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</si>
  <si>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</si>
  <si>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</si>
  <si>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</si>
  <si>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</si>
  <si>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</si>
  <si>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</si>
  <si>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</si>
  <si>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</si>
  <si>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</si>
  <si>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</si>
  <si>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</si>
  <si>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</si>
  <si>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</si>
  <si>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</si>
  <si>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</si>
  <si>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</si>
  <si>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</si>
  <si>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</si>
  <si>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</si>
  <si>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</si>
  <si>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</si>
  <si>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</si>
  <si>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</si>
  <si>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</si>
  <si>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</si>
  <si>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</si>
  <si>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</si>
  <si>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</si>
  <si>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</si>
  <si>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</si>
  <si>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</si>
  <si>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</si>
  <si>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</si>
  <si>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</si>
  <si>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</si>
  <si>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</si>
  <si>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</si>
  <si>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</si>
  <si>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</si>
  <si>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</si>
  <si>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</si>
  <si>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</si>
  <si>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</si>
  <si>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</si>
  <si>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</si>
  <si>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</si>
  <si>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</si>
  <si>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</si>
  <si>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</si>
  <si>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</si>
  <si>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</si>
  <si>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</si>
  <si>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</si>
  <si>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</si>
  <si>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</si>
  <si>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</si>
  <si>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</si>
  <si>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</si>
  <si>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</si>
  <si>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</si>
  <si>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</si>
  <si>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</si>
  <si>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</si>
  <si>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</si>
  <si>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</si>
  <si>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</si>
  <si>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</si>
  <si>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</si>
  <si>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</si>
  <si>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</si>
  <si>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</si>
  <si>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</si>
  <si>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</si>
  <si>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</si>
  <si>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</si>
  <si>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</si>
  <si>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</si>
  <si>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</si>
  <si>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</si>
  <si>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</si>
  <si>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</si>
  <si>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</si>
  <si>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</si>
  <si>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</si>
  <si>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</si>
  <si>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</si>
  <si>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</si>
  <si>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</si>
  <si>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</si>
  <si>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</si>
  <si>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</si>
  <si>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</si>
  <si>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</si>
  <si>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</si>
  <si>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</si>
  <si>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</si>
  <si>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</si>
  <si>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</si>
  <si>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</si>
  <si>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</si>
  <si>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</si>
  <si>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</si>
  <si>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</si>
  <si>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</si>
  <si>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</si>
  <si>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</si>
  <si>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</si>
  <si>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</si>
  <si>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</si>
  <si>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</si>
  <si>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</si>
  <si>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</si>
  <si>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</si>
  <si>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</si>
  <si>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</si>
  <si>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</si>
  <si>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</si>
  <si>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</si>
  <si>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</si>
  <si>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</si>
  <si>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</si>
  <si>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</si>
  <si>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</si>
  <si>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</si>
  <si>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</si>
  <si>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</si>
  <si>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</si>
  <si>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</si>
  <si>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</si>
  <si>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</si>
  <si>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</si>
  <si>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</si>
  <si>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</si>
  <si>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</si>
  <si>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</si>
  <si>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</si>
  <si>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</si>
  <si>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</si>
  <si>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</si>
  <si>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</si>
  <si>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</si>
  <si>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</si>
  <si>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</si>
  <si>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</si>
  <si>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</si>
  <si>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</si>
  <si>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</si>
  <si>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</si>
  <si>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</si>
  <si>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</si>
  <si>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</si>
  <si>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</si>
  <si>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</si>
  <si>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</si>
  <si>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</si>
  <si>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</si>
  <si>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</si>
  <si>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</si>
  <si>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</si>
  <si>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</si>
  <si>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</si>
  <si>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</si>
  <si>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</si>
  <si>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</si>
  <si>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</si>
  <si>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</si>
  <si>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</si>
  <si>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</si>
  <si>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</si>
  <si>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</si>
  <si>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</si>
  <si>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</si>
  <si>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</si>
  <si>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</si>
  <si>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</si>
  <si>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</si>
  <si>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</si>
  <si>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</si>
  <si>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</si>
  <si>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</si>
  <si>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</si>
  <si>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</si>
  <si>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</si>
  <si>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</si>
  <si>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</si>
  <si>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</si>
  <si>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</si>
  <si>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</si>
  <si>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</si>
  <si>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</si>
  <si>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</si>
  <si>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</si>
  <si>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</si>
  <si>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</si>
  <si>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</si>
  <si>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</si>
  <si>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</si>
  <si>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</si>
  <si>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</si>
  <si>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</si>
  <si>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</si>
  <si>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</si>
  <si>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</si>
  <si>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</si>
  <si>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</si>
  <si>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</si>
  <si>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</si>
  <si>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</si>
  <si>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</si>
  <si>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</si>
  <si>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</si>
  <si>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</si>
  <si>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</si>
  <si>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</si>
  <si>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</si>
  <si>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</si>
  <si>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</si>
  <si>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</si>
  <si>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</si>
  <si>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</si>
  <si>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</si>
  <si>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</si>
  <si>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</si>
  <si>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</si>
  <si>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</si>
  <si>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</si>
  <si>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</si>
  <si>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</si>
  <si>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</si>
  <si>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</si>
  <si>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</si>
  <si>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</si>
  <si>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</si>
  <si>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</si>
  <si>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</si>
  <si>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</si>
  <si>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</si>
  <si>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</si>
  <si>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</si>
  <si>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</si>
  <si>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</si>
  <si>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</si>
  <si>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</si>
  <si>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</si>
  <si>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</si>
  <si>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</si>
  <si>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</si>
  <si>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</si>
  <si>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</si>
  <si>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</si>
  <si>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</si>
  <si>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</si>
  <si>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</si>
  <si>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</si>
  <si>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</si>
  <si>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</si>
  <si>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</si>
  <si>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</si>
  <si>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</si>
  <si>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</si>
  <si>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</si>
  <si>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</si>
  <si>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</si>
  <si>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</si>
  <si>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</si>
  <si>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</si>
  <si>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</si>
  <si>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</si>
  <si>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</si>
  <si>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</si>
  <si>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</si>
  <si>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</si>
  <si>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</si>
  <si>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</si>
  <si>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</si>
  <si>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</si>
  <si>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</si>
  <si>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</si>
  <si>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</si>
  <si>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</si>
  <si>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</si>
  <si>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</si>
  <si>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</si>
  <si>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</si>
  <si>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</si>
  <si>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</si>
  <si>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</si>
  <si>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</si>
  <si>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</si>
  <si>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</si>
  <si>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</si>
  <si>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</si>
  <si>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</si>
  <si>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</si>
  <si>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</si>
  <si>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</si>
  <si>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</si>
  <si>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</si>
  <si>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</si>
  <si>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</si>
  <si>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</si>
  <si>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</si>
  <si>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</si>
  <si>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</si>
  <si>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</si>
  <si>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</si>
  <si>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</si>
  <si>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</si>
  <si>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</si>
  <si>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</si>
  <si>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</si>
  <si>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</si>
  <si>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</si>
  <si>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</si>
  <si>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</si>
  <si>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</si>
  <si>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</si>
  <si>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</si>
  <si>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</si>
  <si>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</si>
  <si>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</si>
  <si>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</si>
  <si>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</si>
  <si>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</si>
  <si>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</si>
  <si>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</si>
  <si>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</si>
  <si>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</si>
  <si>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</si>
  <si>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</si>
  <si>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</si>
  <si>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</si>
  <si>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</si>
  <si>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</si>
  <si>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</si>
  <si>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</si>
  <si>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</si>
  <si>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</si>
  <si>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</si>
  <si>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</si>
  <si>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</si>
  <si>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</si>
  <si>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</si>
  <si>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</si>
  <si>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</si>
  <si>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</si>
  <si>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</si>
  <si>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</si>
  <si>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</si>
  <si>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</si>
  <si>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</si>
  <si>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</si>
  <si>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</si>
  <si>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</si>
  <si>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</si>
  <si>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</si>
  <si>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</si>
  <si>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</si>
  <si>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</si>
  <si>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</si>
  <si>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</si>
  <si>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</si>
  <si>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</si>
  <si>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</si>
  <si>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</si>
  <si>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</si>
  <si>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</si>
  <si>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</si>
  <si>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</si>
  <si>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</si>
  <si>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</si>
  <si>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</si>
  <si>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</si>
  <si>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</si>
  <si>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</si>
  <si>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</si>
  <si>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</si>
  <si>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</si>
  <si>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</si>
  <si>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</si>
  <si>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</si>
  <si>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</si>
  <si>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</si>
  <si>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</si>
  <si>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</si>
  <si>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</si>
  <si>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</si>
  <si>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</si>
  <si>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</si>
  <si>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</si>
  <si>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</si>
  <si>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</si>
  <si>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</si>
  <si>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</si>
  <si>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</si>
  <si>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</si>
  <si>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</si>
  <si>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</si>
  <si>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</si>
  <si>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</si>
  <si>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</si>
  <si>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</si>
  <si>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</si>
  <si>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</si>
  <si>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</si>
  <si>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</si>
  <si>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</si>
  <si>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</si>
  <si>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</si>
  <si>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</si>
  <si>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</si>
  <si>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</si>
  <si>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</si>
  <si>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</si>
  <si>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</si>
  <si>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</si>
  <si>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</si>
  <si>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</si>
  <si>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</si>
  <si>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</si>
  <si>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</si>
  <si>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</si>
  <si>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</si>
  <si>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</si>
  <si>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</si>
  <si>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</si>
  <si>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</si>
  <si>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</si>
  <si>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</si>
  <si>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</si>
  <si>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</si>
  <si>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</si>
  <si>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</si>
  <si>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</si>
  <si>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</si>
  <si>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</si>
  <si>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</si>
  <si>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</si>
  <si>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</si>
  <si>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</si>
  <si>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</si>
  <si>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</si>
  <si>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</si>
  <si>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</si>
  <si>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</si>
  <si>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</si>
  <si>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</si>
  <si>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</si>
  <si>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</si>
  <si>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</si>
  <si>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</si>
  <si>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</si>
  <si>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</si>
  <si>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</si>
  <si>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</si>
  <si>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</si>
  <si>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</si>
  <si>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</si>
  <si>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</si>
  <si>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</si>
  <si>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</si>
  <si>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</si>
  <si>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</si>
  <si>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</si>
  <si>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</si>
  <si>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</si>
  <si>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</si>
  <si>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</si>
  <si>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</si>
  <si>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</si>
  <si>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</si>
  <si>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</si>
  <si>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</si>
  <si>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</si>
  <si>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</si>
  <si>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</si>
  <si>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</si>
  <si>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</si>
  <si>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</si>
  <si>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</si>
  <si>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</si>
  <si>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</si>
  <si>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</si>
  <si>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</si>
  <si>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</si>
  <si>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</si>
  <si>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</si>
  <si>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</si>
  <si>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</si>
  <si>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</si>
  <si>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</si>
  <si>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</si>
  <si>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</si>
  <si>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</si>
  <si>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</si>
  <si>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</si>
  <si>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</si>
  <si>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</si>
  <si>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</si>
  <si>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</si>
  <si>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</si>
  <si>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</si>
  <si>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</si>
  <si>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</si>
  <si>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</si>
  <si>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</si>
  <si>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</si>
  <si>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</si>
  <si>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</si>
  <si>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</si>
  <si>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</si>
  <si>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</si>
  <si>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</si>
  <si>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</si>
  <si>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</si>
  <si>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</si>
  <si>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</si>
  <si>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</si>
  <si>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</si>
  <si>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</si>
  <si>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</si>
  <si>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</si>
  <si>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</si>
  <si>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</si>
  <si>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</si>
  <si>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</si>
  <si>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</si>
  <si>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</si>
  <si>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</si>
  <si>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</si>
  <si>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</si>
  <si>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</si>
  <si>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</si>
  <si>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</si>
  <si>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</si>
  <si>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</si>
  <si>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</si>
  <si>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</si>
  <si>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</si>
  <si>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</si>
  <si>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</si>
  <si>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</si>
  <si>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</si>
  <si>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</si>
  <si>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</si>
  <si>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</si>
  <si>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</si>
  <si>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</si>
  <si>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</si>
  <si>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</si>
  <si>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</si>
  <si>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</si>
  <si>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</si>
  <si>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</si>
  <si>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</si>
  <si>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</si>
  <si>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</si>
  <si>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</si>
  <si>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</si>
  <si>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</si>
  <si>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</si>
  <si>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</si>
  <si>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</si>
  <si>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</si>
  <si>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</si>
  <si>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</si>
  <si>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</si>
  <si>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</si>
  <si>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</si>
  <si>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</si>
  <si>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</si>
  <si>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</si>
  <si>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</si>
  <si>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</si>
  <si>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</si>
  <si>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</si>
  <si>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</si>
  <si>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</si>
  <si>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</si>
  <si>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</si>
  <si>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</si>
  <si>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</si>
  <si>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</si>
  <si>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</si>
  <si>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</si>
  <si>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</si>
  <si>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</si>
  <si>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</si>
  <si>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</si>
  <si>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</si>
  <si>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</si>
  <si>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</si>
  <si>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</si>
  <si>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</si>
  <si>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</si>
  <si>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</si>
  <si>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</si>
  <si>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</si>
  <si>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</si>
  <si>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</si>
  <si>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</si>
  <si>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</si>
  <si>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</si>
  <si>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</si>
  <si>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</si>
  <si>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</si>
  <si>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</si>
  <si>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</si>
  <si>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</si>
  <si>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</si>
  <si>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</si>
  <si>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</si>
  <si>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</si>
  <si>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</si>
  <si>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</si>
  <si>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</si>
  <si>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</si>
  <si>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</si>
  <si>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</si>
  <si>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</si>
  <si>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</si>
  <si>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</si>
  <si>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</si>
  <si>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</si>
  <si>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</si>
  <si>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</si>
  <si>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</si>
  <si>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</si>
  <si>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</si>
  <si>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</si>
  <si>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</si>
  <si>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</si>
  <si>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</si>
  <si>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</si>
  <si>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</si>
  <si>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</si>
  <si>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</si>
  <si>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</si>
  <si>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</si>
  <si>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</si>
  <si>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</si>
  <si>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</si>
  <si>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</si>
  <si>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</si>
  <si>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</si>
  <si>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</si>
  <si>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</si>
  <si>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</si>
  <si>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</si>
  <si>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</si>
  <si>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</si>
  <si>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</si>
  <si>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</si>
  <si>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</si>
  <si>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</si>
  <si>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</si>
  <si>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</si>
  <si>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</si>
  <si>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</si>
  <si>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</si>
  <si>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</si>
  <si>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</si>
  <si>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</si>
  <si>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</si>
  <si>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</si>
  <si>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</si>
  <si>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</si>
  <si>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</si>
  <si>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</si>
  <si>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</si>
  <si>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</si>
  <si>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</si>
  <si>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</si>
  <si>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</si>
  <si>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</si>
  <si>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</si>
  <si>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</si>
  <si>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</si>
  <si>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</si>
  <si>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</si>
  <si>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</si>
  <si>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</si>
  <si>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</si>
  <si>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</si>
  <si>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</si>
  <si>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</si>
  <si>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</si>
  <si>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</si>
  <si>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</si>
  <si>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</si>
  <si>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</si>
  <si>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</si>
  <si>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</si>
  <si>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</si>
  <si>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</si>
  <si>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</si>
  <si>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</si>
  <si>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</si>
  <si>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</si>
  <si>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</si>
  <si>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</si>
  <si>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</si>
  <si>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</si>
  <si>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</si>
  <si>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</si>
  <si>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</si>
  <si>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</si>
  <si>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</si>
  <si>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</si>
  <si>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</si>
  <si>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</si>
  <si>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</si>
  <si>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</si>
  <si>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</si>
  <si>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</si>
  <si>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</si>
  <si>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</si>
  <si>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</si>
  <si>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</si>
  <si>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</si>
  <si>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</si>
  <si>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</si>
  <si>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</si>
  <si>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</si>
  <si>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</si>
  <si>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</si>
  <si>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</si>
  <si>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</si>
  <si>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</si>
  <si>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</si>
  <si>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</si>
  <si>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</si>
  <si>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</si>
  <si>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</si>
  <si>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</si>
  <si>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</si>
  <si>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</si>
  <si>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</si>
  <si>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</si>
  <si>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</si>
  <si>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</si>
  <si>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</si>
  <si>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</si>
  <si>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</si>
  <si>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</si>
  <si>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</si>
  <si>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</si>
  <si>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</si>
  <si>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</si>
  <si>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</si>
  <si>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</si>
  <si>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</si>
  <si>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</si>
  <si>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</si>
  <si>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</si>
  <si>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</si>
  <si>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</si>
  <si>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</si>
  <si>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</si>
  <si>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</si>
  <si>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</si>
  <si>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</si>
  <si>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</si>
  <si>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</si>
  <si>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</si>
  <si>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</si>
  <si>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</si>
  <si>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</si>
  <si>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</si>
  <si>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</si>
  <si>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</si>
  <si>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</si>
  <si>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</si>
  <si>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</si>
  <si>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</si>
  <si>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</si>
  <si>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</si>
  <si>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</si>
  <si>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</si>
  <si>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</si>
  <si>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</si>
  <si>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</si>
  <si>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</si>
  <si>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</si>
  <si>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</si>
  <si>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</si>
  <si>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</si>
  <si>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</si>
  <si>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</si>
  <si>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</si>
  <si>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</si>
  <si>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</si>
  <si>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</si>
  <si>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</si>
  <si>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</si>
  <si>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</si>
  <si>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</si>
  <si>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</si>
  <si>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</si>
  <si>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</si>
  <si>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</si>
  <si>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</si>
  <si>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</si>
  <si>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</si>
  <si>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</si>
  <si>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</si>
  <si>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</si>
  <si>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</si>
  <si>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</si>
  <si>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</si>
  <si>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</si>
  <si>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</si>
  <si>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</si>
  <si>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</si>
  <si>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</si>
  <si>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</si>
  <si>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</si>
  <si>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</si>
  <si>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</si>
  <si>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</si>
  <si>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</si>
  <si>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</si>
  <si>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</si>
  <si>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</si>
  <si>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</si>
  <si>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</si>
  <si>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</si>
  <si>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</si>
  <si>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</si>
  <si>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</si>
  <si>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</si>
  <si>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</si>
  <si>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</si>
  <si>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</si>
  <si>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</si>
  <si>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</si>
  <si>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</si>
  <si>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</si>
  <si>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</si>
  <si>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</si>
  <si>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</si>
  <si>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</si>
  <si>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</si>
  <si>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</si>
  <si>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</si>
  <si>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</si>
  <si>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</si>
  <si>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</si>
  <si>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</si>
  <si>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</si>
  <si>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</si>
  <si>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</si>
  <si>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</si>
  <si>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</si>
  <si>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</si>
  <si>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</si>
  <si>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</si>
  <si>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</si>
  <si>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</si>
  <si>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</si>
  <si>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</si>
  <si>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</si>
  <si>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</si>
  <si>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</si>
  <si>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</si>
  <si>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</si>
  <si>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</si>
  <si>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</si>
  <si>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</si>
  <si>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</si>
  <si>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</si>
  <si>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</si>
  <si>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</si>
  <si>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</si>
  <si>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</si>
  <si>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</si>
  <si>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</si>
  <si>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</si>
  <si>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</si>
  <si>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</si>
  <si>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</si>
  <si>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</si>
  <si>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</si>
  <si>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</si>
  <si>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</si>
  <si>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</si>
  <si>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</si>
  <si>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</si>
  <si>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</si>
  <si>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</si>
  <si>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</si>
  <si>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</si>
  <si>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</si>
  <si>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</si>
  <si>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</si>
  <si>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</si>
  <si>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</si>
  <si>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</si>
  <si>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</si>
  <si>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</si>
  <si>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</si>
  <si>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</si>
  <si>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</si>
  <si>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</si>
  <si>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</si>
  <si>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</si>
  <si>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</si>
  <si>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</si>
  <si>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</si>
  <si>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</si>
  <si>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</si>
  <si>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</si>
  <si>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</si>
  <si>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</si>
  <si>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</si>
  <si>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</si>
  <si>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</si>
  <si>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</si>
  <si>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</si>
  <si>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</si>
  <si>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</si>
  <si>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</si>
  <si>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</si>
  <si>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</si>
  <si>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</si>
  <si>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</si>
  <si>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</si>
  <si>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</si>
  <si>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</si>
  <si>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</si>
  <si>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</si>
  <si>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</si>
  <si>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</si>
  <si>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</si>
  <si>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</si>
  <si>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</si>
  <si>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</si>
  <si>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</si>
  <si>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</si>
  <si>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</si>
  <si>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</si>
  <si>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</si>
  <si>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</si>
  <si>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</si>
  <si>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</si>
  <si>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</si>
  <si>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</si>
  <si>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</si>
  <si>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</si>
  <si>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</si>
  <si>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</si>
  <si>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</si>
  <si>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</si>
  <si>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</si>
  <si>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</si>
  <si>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</si>
  <si>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</si>
  <si>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</si>
  <si>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</si>
  <si>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</si>
  <si>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</si>
  <si>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</si>
  <si>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</si>
  <si>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</si>
  <si>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</si>
  <si>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</si>
  <si>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</si>
  <si>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</si>
  <si>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</si>
  <si>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</si>
  <si>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</si>
  <si>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</si>
  <si>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</si>
  <si>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</si>
  <si>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</si>
  <si>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</si>
  <si>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</si>
  <si>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</si>
  <si>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</si>
  <si>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</si>
  <si>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</si>
  <si>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</si>
  <si>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</si>
  <si>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</si>
  <si>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</si>
  <si>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</si>
  <si>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</si>
  <si>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</si>
  <si>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</si>
  <si>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</si>
  <si>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</si>
  <si>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</si>
  <si>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</si>
  <si>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</si>
  <si>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</si>
  <si>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</si>
  <si>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</si>
  <si>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</si>
  <si>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</si>
  <si>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</si>
  <si>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</si>
  <si>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</si>
  <si>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</si>
  <si>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</si>
  <si>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</si>
  <si>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</si>
  <si>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</si>
  <si>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</si>
  <si>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</si>
  <si>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</si>
  <si>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</si>
  <si>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</si>
  <si>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</si>
  <si>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</si>
  <si>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</si>
  <si>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</si>
  <si>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</si>
  <si>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</si>
  <si>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</si>
  <si>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</si>
  <si>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</si>
  <si>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</si>
  <si>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</si>
  <si>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</si>
  <si>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</si>
  <si>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</si>
  <si>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</si>
  <si>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</si>
  <si>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</si>
  <si>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</si>
  <si>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</si>
  <si>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</si>
  <si>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</si>
  <si>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</si>
  <si>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</si>
  <si>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</si>
  <si>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</si>
  <si>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</si>
  <si>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</si>
  <si>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</si>
  <si>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</si>
  <si>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</si>
  <si>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</si>
  <si>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</si>
  <si>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</si>
  <si>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</si>
  <si>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</si>
  <si>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</si>
  <si>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</si>
  <si>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</si>
  <si>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</si>
  <si>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</si>
  <si>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</si>
  <si>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</si>
  <si>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</si>
  <si>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</si>
  <si>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</si>
  <si>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</si>
  <si>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</si>
  <si>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</si>
  <si>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</si>
  <si>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</si>
  <si>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</si>
  <si>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</si>
  <si>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</si>
  <si>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</si>
  <si>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</si>
  <si>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</si>
  <si>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</si>
  <si>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</si>
  <si>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</si>
  <si>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</si>
  <si>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</si>
  <si>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</si>
  <si>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</si>
  <si>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</si>
  <si>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</si>
  <si>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</si>
  <si>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</si>
  <si>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</si>
  <si>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</si>
  <si>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</si>
  <si>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</si>
  <si>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</si>
  <si>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</si>
  <si>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</si>
  <si>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</si>
  <si>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</si>
  <si>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</si>
  <si>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</si>
  <si>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</si>
  <si>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</si>
  <si>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</si>
  <si>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</si>
  <si>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</si>
  <si>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</si>
  <si>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</si>
  <si>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</si>
  <si>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</si>
  <si>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</si>
  <si>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</si>
  <si>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</si>
  <si>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</si>
  <si>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</si>
  <si>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</si>
  <si>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</si>
  <si>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</si>
  <si>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</si>
  <si>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</si>
  <si>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</si>
  <si>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</si>
  <si>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</si>
  <si>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</si>
  <si>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</si>
  <si>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</si>
  <si>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</si>
  <si>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</si>
  <si>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</si>
  <si>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</si>
  <si>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</si>
  <si>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</si>
  <si>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</si>
  <si>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</si>
  <si>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</si>
  <si>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</si>
  <si>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</si>
  <si>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</si>
  <si>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</si>
  <si>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</si>
  <si>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</si>
  <si>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</si>
  <si>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</si>
  <si>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</si>
  <si>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</si>
  <si>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</si>
  <si>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</si>
  <si>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</si>
  <si>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</si>
  <si>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</si>
  <si>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</si>
  <si>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</si>
  <si>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</si>
  <si>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</si>
  <si>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</si>
  <si>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</si>
  <si>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</si>
  <si>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</si>
  <si>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</si>
  <si>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</si>
  <si>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</si>
  <si>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</si>
  <si>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</si>
  <si>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</si>
  <si>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</si>
  <si>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</si>
  <si>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</si>
  <si>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</si>
  <si>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</si>
  <si>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</si>
  <si>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</si>
  <si>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</si>
  <si>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</si>
  <si>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</si>
  <si>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</si>
  <si>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</si>
  <si>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</si>
  <si>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</si>
  <si>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</si>
  <si>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</si>
  <si>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</si>
  <si>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</si>
  <si>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</si>
  <si>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</si>
  <si>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</si>
  <si>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</si>
  <si>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</si>
  <si>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</si>
  <si>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</si>
  <si>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</si>
  <si>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</si>
  <si>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</si>
  <si>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</si>
  <si>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</si>
  <si>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</si>
  <si>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</si>
  <si>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</si>
  <si>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</si>
  <si>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</si>
  <si>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</si>
  <si>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</si>
  <si>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</si>
  <si>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</si>
  <si>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</si>
  <si>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</si>
  <si>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</si>
  <si>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</si>
  <si>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</si>
  <si>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</si>
  <si>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</si>
  <si>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</si>
  <si>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</si>
  <si>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</si>
  <si>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</si>
  <si>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</si>
  <si>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</si>
  <si>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</si>
  <si>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</si>
  <si>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</si>
  <si>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</si>
  <si>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</si>
  <si>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</si>
  <si>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</si>
  <si>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</si>
  <si>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</si>
  <si>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</si>
  <si>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</si>
  <si>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</si>
  <si>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</si>
  <si>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</si>
  <si>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</si>
  <si>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</si>
  <si>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</si>
  <si>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</si>
  <si>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</si>
  <si>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</si>
  <si>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</si>
  <si>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</si>
  <si>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</si>
  <si>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</si>
  <si>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</si>
  <si>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</si>
  <si>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</si>
  <si>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</si>
  <si>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</si>
  <si>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</si>
  <si>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</si>
  <si>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</si>
  <si>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</si>
  <si>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</si>
  <si>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</si>
  <si>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</si>
  <si>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</si>
  <si>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</si>
  <si>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</si>
  <si>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</si>
  <si>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</si>
  <si>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</si>
  <si>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</si>
  <si>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</si>
  <si>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</si>
  <si>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</si>
  <si>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</si>
  <si>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</si>
  <si>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</si>
  <si>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</si>
  <si>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</si>
  <si>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</si>
  <si>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</si>
  <si>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</si>
  <si>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</si>
  <si>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</si>
  <si>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</si>
  <si>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</si>
  <si>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</si>
  <si>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</si>
  <si>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</si>
  <si>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</si>
  <si>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</si>
  <si>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</si>
  <si>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</si>
  <si>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</si>
  <si>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</si>
  <si>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</si>
  <si>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</si>
  <si>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</si>
  <si>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</si>
  <si>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</si>
  <si>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</si>
  <si>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</si>
  <si>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</si>
  <si>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</si>
  <si>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</si>
  <si>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</si>
  <si>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</si>
  <si>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</si>
  <si>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</si>
  <si>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</si>
  <si>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</si>
  <si>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</si>
  <si>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</si>
  <si>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</si>
  <si>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</si>
  <si>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</si>
  <si>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</si>
  <si>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</si>
  <si>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</si>
  <si>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</si>
  <si>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</si>
  <si>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</si>
  <si>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</si>
  <si>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</si>
  <si>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</si>
  <si>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</si>
  <si>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</si>
  <si>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</si>
  <si>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</si>
  <si>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</si>
  <si>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</si>
  <si>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</si>
  <si>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</si>
  <si>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</si>
  <si>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</si>
  <si>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</si>
  <si>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</si>
  <si>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</si>
  <si>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</si>
  <si>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</si>
  <si>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</si>
  <si>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</si>
  <si>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</si>
  <si>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</si>
  <si>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</si>
  <si>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</si>
  <si>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</si>
  <si>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</si>
  <si>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</si>
  <si>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</si>
  <si>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</si>
  <si>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</si>
  <si>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</si>
  <si>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</si>
  <si>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</si>
  <si>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</si>
  <si>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</si>
  <si>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</si>
  <si>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</si>
  <si>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</si>
  <si>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</si>
  <si>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</si>
  <si>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</si>
  <si>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</si>
  <si>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</si>
  <si>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</si>
  <si>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</si>
  <si>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</si>
  <si>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</si>
  <si>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</si>
  <si>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</si>
  <si>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</si>
  <si>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</si>
  <si>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</si>
  <si>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</si>
  <si>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</si>
  <si>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</si>
  <si>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</si>
  <si>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</si>
  <si>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</si>
  <si>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</si>
  <si>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</si>
  <si>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</si>
  <si>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</si>
  <si>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</si>
  <si>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</si>
  <si>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</si>
  <si>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</si>
  <si>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</si>
  <si>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</si>
  <si>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</si>
  <si>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</si>
  <si>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</si>
  <si>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</si>
  <si>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</si>
  <si>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</si>
  <si>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</si>
  <si>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</si>
  <si>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</si>
  <si>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</si>
  <si>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</si>
  <si>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</si>
  <si>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</si>
  <si>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</si>
  <si>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</si>
  <si>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</si>
  <si>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</si>
  <si>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</si>
  <si>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</si>
  <si>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</si>
  <si>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</si>
  <si>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</si>
  <si>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</si>
  <si>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</si>
  <si>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</si>
  <si>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</si>
  <si>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</si>
  <si>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</si>
  <si>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</si>
  <si>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</si>
  <si>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</si>
  <si>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</si>
  <si>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</si>
  <si>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</si>
  <si>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</si>
  <si>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</si>
  <si>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</si>
  <si>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</si>
  <si>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</si>
  <si>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</si>
  <si>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</si>
  <si>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</si>
  <si>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</si>
  <si>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</si>
  <si>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</si>
  <si>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</si>
  <si>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</si>
  <si>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</si>
  <si>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</si>
  <si>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</si>
  <si>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</si>
  <si>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</si>
  <si>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</si>
  <si>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</si>
  <si>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</si>
  <si>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</si>
  <si>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</si>
  <si>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</si>
  <si>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</si>
  <si>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</si>
  <si>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</si>
  <si>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</si>
  <si>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</si>
  <si>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</si>
  <si>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</si>
  <si>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</si>
  <si>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</si>
  <si>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</si>
  <si>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</si>
  <si>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</si>
  <si>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</si>
  <si>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</si>
  <si>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</si>
  <si>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</si>
  <si>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</si>
  <si>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</si>
  <si>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</si>
  <si>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</si>
  <si>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</si>
  <si>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</si>
  <si>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</si>
  <si>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</si>
  <si>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</si>
  <si>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</si>
  <si>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</si>
  <si>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</si>
  <si>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</si>
  <si>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</si>
  <si>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</si>
  <si>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</si>
  <si>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</si>
  <si>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</si>
  <si>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</si>
  <si>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</si>
  <si>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</si>
  <si>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</si>
  <si>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</si>
  <si>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</si>
  <si>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</si>
  <si>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</si>
  <si>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</si>
  <si>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</si>
  <si>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</si>
  <si>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</si>
  <si>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</si>
  <si>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</si>
  <si>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</si>
  <si>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</si>
  <si>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</si>
  <si>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</si>
  <si>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</si>
  <si>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</si>
  <si>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</si>
  <si>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</si>
  <si>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</si>
  <si>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</si>
  <si>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</si>
  <si>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</si>
  <si>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</si>
  <si>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</si>
  <si>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</si>
  <si>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</si>
  <si>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</si>
  <si>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</si>
  <si>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</si>
  <si>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</si>
  <si>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</si>
  <si>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</si>
  <si>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</si>
  <si>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</si>
  <si>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</si>
  <si>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</si>
  <si>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</si>
  <si>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</si>
  <si>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</si>
  <si>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</si>
  <si>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</si>
  <si>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</si>
  <si>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</si>
  <si>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</si>
  <si>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</si>
  <si>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</si>
  <si>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</si>
  <si>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</si>
  <si>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</si>
  <si>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</si>
  <si>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</si>
  <si>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</si>
  <si>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</si>
  <si>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</si>
  <si>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</si>
  <si>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</si>
  <si>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</si>
  <si>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</si>
  <si>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</si>
  <si>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</si>
  <si>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</si>
  <si>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</si>
  <si>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</si>
  <si>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</si>
  <si>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</si>
  <si>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</si>
  <si>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</si>
  <si>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</si>
  <si>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</si>
  <si>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</si>
  <si>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</si>
  <si>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</si>
  <si>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</si>
  <si>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</si>
  <si>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</si>
  <si>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</si>
  <si>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</si>
  <si>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</si>
  <si>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</si>
  <si>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</si>
  <si>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</si>
  <si>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</si>
  <si>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</si>
  <si>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</si>
  <si>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</si>
  <si>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</si>
  <si>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</si>
  <si>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</si>
  <si>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</si>
  <si>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</si>
  <si>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</si>
  <si>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</si>
  <si>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</si>
  <si>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</si>
  <si>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</si>
  <si>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</si>
  <si>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</si>
  <si>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</si>
  <si>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</si>
  <si>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</si>
  <si>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</si>
  <si>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</si>
  <si>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</si>
  <si>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</si>
  <si>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</si>
  <si>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</si>
  <si>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</si>
  <si>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</si>
  <si>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</si>
  <si>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</si>
  <si>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</si>
  <si>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</si>
  <si>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</si>
  <si>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</si>
  <si>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</si>
  <si>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</si>
  <si>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</si>
  <si>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</si>
  <si>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</si>
  <si>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</si>
  <si>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</si>
  <si>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</si>
  <si>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</si>
  <si>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</si>
  <si>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</si>
  <si>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</si>
  <si>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</si>
  <si>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</si>
  <si>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</si>
  <si>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</si>
  <si>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</si>
  <si>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</si>
  <si>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</si>
  <si>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</si>
  <si>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</si>
  <si>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</si>
  <si>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</si>
  <si>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</si>
  <si>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</si>
  <si>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</si>
  <si>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</si>
  <si>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</si>
  <si>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</si>
  <si>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</si>
  <si>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</si>
  <si>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</si>
  <si>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</si>
  <si>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</si>
  <si>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</si>
  <si>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</si>
  <si>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</si>
  <si>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</si>
  <si>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</si>
  <si>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</si>
  <si>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</si>
  <si>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</si>
  <si>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</si>
  <si>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</si>
  <si>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</si>
  <si>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</si>
  <si>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</si>
  <si>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</si>
  <si>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</si>
  <si>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</si>
  <si>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</si>
  <si>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</si>
  <si>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</si>
  <si>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</si>
  <si>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</si>
  <si>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</si>
  <si>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</si>
  <si>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</si>
  <si>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</si>
  <si>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</si>
  <si>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</si>
  <si>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</si>
  <si>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</si>
  <si>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</si>
  <si>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</si>
  <si>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</si>
  <si>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</si>
  <si>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</si>
  <si>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</si>
  <si>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</si>
  <si>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</si>
  <si>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</si>
  <si>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</si>
  <si>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</si>
  <si>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</si>
  <si>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</si>
  <si>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</si>
  <si>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</si>
  <si>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</si>
  <si>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</si>
  <si>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</si>
  <si>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</si>
  <si>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</si>
  <si>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</si>
  <si>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</si>
  <si>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</si>
  <si>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</si>
  <si>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</si>
  <si>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</si>
  <si>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</si>
  <si>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</si>
  <si>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</si>
  <si>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</si>
  <si>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</si>
  <si>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</si>
  <si>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</si>
  <si>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</si>
  <si>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</si>
  <si>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</si>
  <si>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</si>
  <si>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</si>
  <si>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</si>
  <si>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</si>
  <si>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</si>
  <si>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</si>
  <si>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</si>
  <si>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</si>
  <si>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</si>
  <si>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</si>
  <si>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</si>
  <si>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</si>
  <si>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</si>
  <si>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</si>
  <si>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</si>
  <si>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</si>
  <si>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</si>
  <si>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</si>
  <si>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</si>
  <si>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</si>
  <si>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</si>
  <si>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</si>
  <si>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</si>
  <si>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</si>
  <si>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</si>
  <si>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</si>
  <si>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</si>
  <si>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</si>
  <si>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</si>
  <si>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</si>
  <si>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</si>
  <si>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</si>
  <si>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</si>
  <si>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</si>
  <si>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</si>
  <si>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</si>
  <si>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</si>
  <si>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</si>
  <si>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</si>
  <si>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</si>
  <si>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</si>
  <si>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</si>
  <si>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</si>
  <si>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</si>
  <si>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</si>
  <si>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</si>
  <si>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</si>
  <si>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</si>
  <si>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</si>
  <si>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</si>
  <si>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</si>
  <si>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</si>
  <si>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</si>
  <si>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</si>
  <si>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</si>
  <si>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</si>
  <si>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</si>
  <si>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</si>
  <si>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</si>
  <si>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</si>
  <si>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</si>
  <si>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</si>
  <si>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</si>
  <si>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</si>
  <si>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</si>
  <si>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</si>
  <si>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</si>
  <si>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</si>
  <si>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</si>
  <si>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</si>
  <si>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</si>
  <si>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</si>
  <si>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</si>
  <si>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</si>
  <si>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</si>
  <si>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</si>
  <si>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</si>
  <si>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</si>
  <si>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</si>
  <si>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</si>
  <si>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</si>
  <si>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</si>
  <si>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</si>
  <si>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</si>
  <si>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</si>
  <si>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</si>
  <si>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</si>
  <si>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</si>
  <si>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</si>
  <si>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</si>
  <si>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</si>
  <si>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</si>
  <si>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</si>
  <si>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</si>
  <si>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</si>
  <si>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</si>
  <si>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</si>
  <si>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</si>
  <si>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</si>
  <si>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</si>
  <si>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</si>
  <si>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</si>
  <si>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</si>
  <si>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</si>
  <si>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</si>
  <si>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</si>
  <si>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</si>
  <si>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</si>
  <si>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</si>
  <si>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</si>
  <si>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</si>
  <si>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</si>
  <si>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</si>
  <si>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</si>
  <si>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</si>
  <si>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</si>
  <si>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</si>
  <si>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</si>
  <si>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</si>
  <si>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</si>
  <si>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</si>
  <si>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</si>
  <si>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</si>
  <si>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</si>
  <si>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</si>
  <si>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</si>
  <si>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</si>
  <si>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</si>
  <si>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</si>
  <si>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</si>
  <si>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</si>
  <si>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</si>
  <si>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</si>
  <si>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</si>
  <si>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</si>
  <si>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</si>
  <si>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</si>
  <si>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</si>
  <si>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</si>
  <si>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</si>
  <si>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</si>
  <si>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</si>
  <si>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</si>
  <si>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</si>
  <si>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</si>
  <si>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</si>
  <si>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</si>
  <si>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</si>
  <si>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</si>
  <si>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</si>
  <si>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</si>
  <si>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</si>
  <si>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</si>
  <si>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</si>
  <si>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</si>
  <si>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</si>
  <si>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</si>
  <si>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</si>
  <si>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</si>
  <si>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</si>
  <si>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</si>
  <si>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</si>
  <si>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</si>
  <si>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</si>
  <si>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</si>
  <si>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</si>
  <si>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</si>
  <si>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</si>
  <si>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</si>
  <si>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</si>
  <si>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</si>
  <si>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</si>
  <si>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</si>
  <si>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</si>
  <si>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</si>
  <si>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</si>
  <si>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</si>
  <si>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</si>
  <si>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</si>
  <si>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</si>
  <si>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</si>
  <si>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</si>
  <si>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</si>
  <si>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</si>
  <si>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</si>
  <si>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</si>
  <si>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</si>
  <si>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</si>
  <si>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</si>
  <si>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</si>
  <si>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</si>
  <si>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</si>
  <si>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</si>
  <si>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</si>
  <si>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</si>
  <si>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</si>
  <si>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</si>
  <si>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</si>
  <si>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</si>
  <si>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</si>
  <si>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</si>
  <si>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</si>
  <si>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</si>
  <si>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</si>
  <si>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</si>
  <si>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</si>
  <si>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</si>
  <si>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</si>
  <si>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</si>
  <si>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</si>
  <si>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</si>
  <si>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</si>
  <si>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</si>
  <si>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</si>
  <si>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</si>
  <si>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</si>
  <si>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</si>
  <si>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</si>
  <si>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</si>
  <si>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</si>
  <si>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</si>
  <si>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</si>
  <si>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</si>
  <si>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</si>
  <si>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</si>
  <si>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</si>
  <si>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</si>
  <si>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</si>
  <si>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</si>
  <si>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</si>
  <si>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</si>
  <si>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</si>
  <si>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</si>
  <si>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</si>
  <si>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</si>
  <si>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</si>
  <si>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</si>
  <si>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</si>
  <si>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</si>
  <si>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</si>
  <si>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</si>
  <si>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</si>
  <si>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</si>
  <si>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</si>
  <si>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</si>
  <si>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</si>
  <si>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</si>
  <si>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</si>
  <si>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</si>
  <si>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</si>
  <si>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</si>
  <si>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</si>
  <si>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</si>
  <si>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</si>
  <si>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</si>
  <si>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</si>
  <si>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</si>
  <si>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</si>
  <si>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</si>
  <si>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</si>
  <si>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</si>
  <si>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</si>
  <si>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</si>
  <si>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</si>
  <si>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</si>
  <si>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</si>
  <si>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</si>
  <si>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</si>
  <si>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</si>
  <si>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</si>
  <si>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</si>
  <si>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</si>
  <si>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</si>
  <si>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</si>
  <si>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</si>
  <si>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</si>
  <si>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</si>
  <si>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</si>
  <si>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</si>
  <si>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</si>
  <si>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</si>
  <si>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</si>
  <si>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</si>
  <si>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</si>
  <si>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</si>
  <si>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</si>
  <si>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</si>
  <si>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</si>
  <si>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</si>
  <si>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</si>
  <si>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</si>
  <si>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</si>
  <si>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</si>
  <si>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</si>
  <si>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</si>
  <si>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</si>
  <si>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</si>
  <si>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</si>
  <si>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</si>
  <si>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</si>
  <si>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</si>
  <si>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</si>
  <si>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</si>
  <si>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</si>
  <si>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</si>
  <si>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</si>
  <si>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</si>
  <si>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</si>
  <si>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</si>
  <si>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</si>
  <si>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</si>
  <si>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</si>
  <si>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</si>
  <si>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</si>
  <si>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</si>
  <si>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</si>
  <si>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</si>
  <si>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</si>
  <si>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</si>
  <si>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</si>
  <si>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</si>
  <si>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</si>
  <si>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</si>
  <si>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</si>
  <si>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</si>
  <si>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</si>
  <si>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</si>
  <si>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</si>
  <si>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</si>
  <si>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</si>
  <si>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</si>
  <si>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</si>
  <si>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</si>
  <si>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</si>
  <si>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</si>
  <si>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</si>
  <si>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</si>
  <si>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</si>
  <si>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</si>
  <si>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</si>
  <si>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</si>
  <si>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</si>
  <si>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</si>
  <si>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</si>
  <si>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</si>
  <si>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</si>
  <si>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</si>
  <si>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</si>
  <si>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</si>
  <si>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</si>
  <si>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</si>
  <si>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</si>
  <si>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</si>
  <si>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</si>
  <si>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</si>
  <si>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</si>
  <si>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</si>
  <si>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</si>
  <si>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</si>
  <si>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</si>
  <si>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</si>
  <si>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</si>
  <si>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</si>
  <si>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</si>
  <si>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</si>
  <si>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</si>
  <si>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</si>
  <si>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</si>
  <si>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</si>
  <si>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</si>
  <si>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</si>
  <si>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</si>
  <si>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</si>
  <si>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</si>
  <si>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</si>
  <si>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</si>
  <si>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</si>
  <si>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</si>
  <si>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</si>
  <si>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</si>
  <si>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</si>
  <si>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</si>
  <si>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</si>
  <si>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</si>
  <si>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</si>
  <si>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</si>
  <si>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</si>
  <si>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</si>
  <si>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</si>
  <si>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</si>
  <si>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</si>
  <si>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</si>
  <si>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</si>
  <si>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</si>
  <si>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</si>
  <si>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</si>
  <si>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</si>
  <si>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</si>
  <si>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</si>
  <si>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</si>
  <si>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</si>
  <si>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</si>
  <si>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</si>
  <si>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</si>
  <si>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</si>
  <si>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</si>
  <si>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</si>
  <si>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</si>
  <si>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</si>
  <si>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</si>
  <si>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</si>
  <si>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</si>
  <si>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</si>
  <si>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</si>
  <si>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</si>
  <si>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</si>
  <si>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</si>
  <si>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</si>
  <si>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</si>
  <si>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</si>
  <si>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</si>
  <si>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</si>
  <si>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</si>
  <si>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</si>
  <si>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</si>
  <si>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</si>
  <si>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</si>
  <si>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</si>
  <si>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</si>
  <si>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</si>
  <si>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</si>
  <si>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</si>
  <si>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</si>
  <si>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</si>
  <si>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</si>
  <si>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</si>
  <si>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</si>
  <si>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</si>
  <si>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</si>
  <si>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</si>
  <si>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</si>
  <si>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</si>
  <si>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</si>
  <si>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</si>
  <si>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</si>
  <si>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</si>
  <si>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</si>
  <si>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</si>
  <si>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</si>
  <si>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</si>
  <si>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</si>
  <si>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</si>
  <si>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</si>
  <si>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</si>
  <si>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</si>
  <si>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</si>
  <si>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</si>
  <si>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</si>
  <si>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</si>
  <si>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</si>
  <si>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</si>
  <si>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</si>
  <si>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</si>
  <si>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</si>
  <si>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</si>
  <si>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</si>
  <si>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</si>
  <si>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</si>
  <si>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</si>
  <si>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</si>
  <si>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</si>
  <si>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</si>
  <si>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</si>
  <si>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</si>
  <si>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</si>
  <si>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</si>
  <si>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</si>
  <si>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</si>
  <si>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</si>
  <si>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</si>
  <si>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</si>
  <si>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</si>
  <si>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</si>
  <si>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</si>
  <si>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</si>
  <si>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</si>
  <si>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</si>
  <si>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</si>
  <si>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</si>
  <si>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</si>
  <si>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</si>
  <si>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</si>
  <si>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</si>
  <si>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</si>
  <si>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</si>
  <si>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</si>
  <si>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</si>
  <si>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</si>
  <si>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</si>
  <si>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</si>
  <si>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</si>
  <si>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</si>
  <si>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</si>
  <si>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</si>
  <si>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</si>
  <si>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</si>
  <si>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</si>
  <si>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</si>
  <si>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</si>
  <si>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</si>
  <si>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</si>
  <si>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</si>
  <si>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</si>
  <si>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</si>
  <si>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</si>
  <si>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</si>
  <si>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</si>
  <si>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</si>
  <si>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</si>
  <si>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</si>
  <si>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</si>
  <si>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</si>
  <si>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</si>
  <si>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</si>
  <si>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</si>
  <si>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</si>
  <si>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</si>
  <si>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</si>
  <si>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</si>
  <si>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</si>
  <si>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</si>
  <si>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</si>
  <si>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</si>
  <si>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</si>
  <si>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</si>
  <si>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</si>
  <si>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</si>
  <si>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</si>
  <si>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</si>
  <si>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</si>
  <si>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</si>
  <si>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</si>
  <si>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</si>
  <si>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</si>
  <si>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</si>
  <si>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</si>
  <si>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</si>
  <si>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</si>
  <si>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</si>
  <si>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</si>
  <si>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</si>
  <si>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</si>
  <si>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</si>
  <si>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</si>
  <si>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</si>
  <si>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</si>
  <si>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</si>
  <si>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</si>
  <si>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</si>
  <si>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</si>
  <si>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</si>
  <si>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</si>
  <si>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</si>
  <si>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</si>
  <si>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</si>
  <si>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</si>
  <si>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</si>
  <si>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</si>
  <si>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</si>
  <si>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</si>
  <si>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</si>
  <si>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</si>
  <si>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</si>
  <si>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</si>
  <si>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</si>
  <si>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</si>
  <si>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</si>
  <si>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</si>
  <si>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</si>
  <si>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</si>
  <si>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</si>
  <si>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</si>
  <si>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</si>
  <si>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</si>
  <si>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</si>
  <si>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</si>
  <si>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</si>
  <si>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</si>
  <si>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</si>
  <si>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</si>
  <si>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</si>
  <si>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</si>
  <si>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</si>
  <si>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</si>
  <si>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</si>
  <si>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</si>
  <si>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</si>
  <si>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</si>
  <si>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</si>
  <si>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</si>
  <si>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</si>
  <si>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</si>
  <si>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</si>
  <si>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</si>
  <si>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</si>
  <si>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</si>
  <si>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</si>
  <si>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</si>
  <si>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</si>
  <si>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</si>
  <si>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</si>
  <si>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</si>
  <si>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</si>
  <si>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</si>
  <si>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</si>
  <si>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</si>
  <si>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</si>
  <si>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</si>
  <si>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</si>
  <si>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</si>
  <si>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</si>
  <si>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</si>
  <si>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</si>
  <si>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</si>
  <si>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</si>
  <si>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</si>
  <si>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</si>
  <si>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</si>
  <si>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</si>
  <si>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</si>
  <si>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</si>
  <si>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</si>
  <si>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</si>
  <si>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</si>
  <si>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</si>
  <si>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</si>
  <si>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</si>
  <si>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</si>
  <si>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</si>
  <si>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</si>
  <si>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</si>
  <si>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</si>
  <si>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</si>
  <si>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</si>
  <si>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</si>
  <si>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</si>
  <si>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</si>
  <si>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</si>
  <si>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</si>
  <si>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</si>
  <si>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</si>
  <si>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</si>
  <si>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</si>
  <si>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</si>
  <si>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</si>
  <si>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</si>
  <si>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</si>
  <si>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</si>
  <si>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</si>
  <si>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</si>
  <si>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</si>
  <si>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</si>
  <si>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</si>
  <si>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</si>
  <si>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</si>
  <si>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</si>
  <si>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</si>
  <si>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</si>
  <si>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</si>
  <si>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</si>
  <si>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</si>
  <si>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</si>
  <si>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</si>
  <si>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</si>
  <si>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</si>
  <si>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</si>
  <si>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</si>
  <si>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</si>
  <si>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</si>
  <si>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</si>
  <si>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</si>
  <si>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</si>
  <si>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</si>
  <si>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</si>
  <si>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</si>
  <si>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</si>
  <si>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</si>
  <si>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</si>
  <si>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</si>
  <si>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</si>
  <si>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</si>
  <si>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</si>
  <si>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</si>
  <si>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</si>
  <si>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</si>
  <si>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</si>
  <si>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</si>
  <si>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</si>
  <si>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</si>
  <si>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</si>
  <si>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</si>
  <si>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</si>
  <si>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</si>
  <si>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</si>
  <si>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</si>
  <si>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</si>
  <si>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</si>
  <si>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</si>
  <si>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</si>
  <si>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</si>
  <si>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</si>
  <si>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</si>
  <si>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</si>
  <si>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</si>
  <si>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</si>
  <si>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</si>
  <si>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</si>
  <si>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</si>
  <si>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</si>
  <si>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</si>
  <si>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</si>
  <si>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</si>
  <si>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</si>
  <si>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</si>
  <si>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</si>
  <si>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</si>
  <si>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</si>
  <si>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</si>
  <si>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</si>
  <si>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</si>
  <si>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</si>
  <si>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</si>
  <si>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</si>
  <si>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</si>
  <si>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</si>
  <si>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</si>
  <si>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</si>
  <si>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</si>
  <si>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</si>
  <si>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</si>
  <si>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</si>
  <si>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</si>
  <si>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</si>
  <si>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</si>
  <si>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</si>
  <si>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</si>
  <si>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</si>
  <si>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</si>
  <si>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</si>
  <si>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</si>
  <si>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</si>
  <si>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</si>
  <si>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</si>
  <si>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</si>
  <si>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</si>
  <si>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</si>
  <si>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</si>
  <si>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</si>
  <si>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</si>
  <si>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</si>
  <si>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</si>
  <si>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</si>
  <si>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</si>
  <si>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</si>
  <si>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</si>
  <si>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</si>
  <si>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</si>
  <si>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</si>
  <si>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</si>
  <si>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</si>
  <si>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</si>
  <si>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</si>
  <si>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</si>
  <si>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</si>
  <si>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</si>
  <si>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</si>
  <si>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</si>
  <si>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</si>
  <si>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</si>
  <si>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</si>
  <si>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</si>
  <si>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</si>
  <si>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</si>
  <si>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</si>
  <si>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</si>
  <si>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</si>
  <si>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</si>
  <si>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</si>
  <si>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</si>
  <si>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</si>
  <si>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</si>
  <si>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</si>
  <si>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</si>
  <si>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</si>
  <si>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</si>
  <si>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</si>
  <si>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</si>
  <si>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</si>
  <si>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</si>
  <si>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</si>
  <si>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</si>
  <si>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</si>
  <si>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</si>
  <si>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</si>
  <si>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</si>
  <si>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</si>
  <si>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</si>
  <si>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</si>
  <si>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</si>
  <si>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</si>
  <si>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</si>
  <si>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</si>
  <si>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</si>
  <si>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</si>
  <si>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</si>
  <si>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</si>
  <si>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</si>
  <si>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</si>
  <si>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</si>
  <si>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</si>
  <si>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</si>
  <si>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</si>
  <si>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</si>
  <si>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</si>
  <si>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</si>
  <si>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</si>
  <si>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</si>
  <si>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</si>
  <si>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</si>
  <si>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</si>
  <si>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</si>
  <si>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</si>
  <si>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</si>
  <si>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</si>
  <si>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</si>
  <si>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</si>
  <si>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</si>
  <si>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</si>
  <si>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</si>
  <si>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</si>
  <si>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</si>
  <si>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</si>
  <si>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</si>
  <si>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</si>
  <si>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</si>
  <si>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</si>
  <si>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</si>
  <si>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</si>
  <si>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</si>
  <si>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</si>
  <si>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</si>
  <si>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</si>
  <si>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</si>
  <si>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</si>
  <si>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</si>
  <si>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</si>
  <si>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</si>
  <si>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</si>
  <si>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</si>
  <si>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</si>
  <si>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</si>
  <si>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</si>
  <si>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</si>
  <si>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</si>
  <si>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</si>
  <si>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</si>
  <si>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</si>
  <si>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</si>
  <si>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</si>
  <si>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</si>
  <si>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</si>
  <si>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</si>
  <si>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</si>
  <si>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</si>
  <si>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</si>
  <si>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</si>
  <si>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</si>
  <si>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</si>
  <si>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</si>
  <si>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</si>
  <si>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</si>
  <si>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</si>
  <si>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</si>
  <si>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</si>
  <si>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</si>
  <si>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</si>
  <si>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</si>
  <si>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</si>
  <si>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</si>
  <si>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</si>
  <si>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</si>
  <si>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</si>
  <si>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</si>
  <si>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</si>
  <si>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</si>
  <si>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</si>
  <si>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</si>
  <si>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</si>
  <si>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</si>
  <si>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</si>
  <si>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</si>
  <si>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</si>
  <si>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</si>
  <si>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</si>
  <si>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</si>
  <si>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</si>
  <si>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</si>
  <si>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</si>
  <si>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</si>
  <si>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</si>
  <si>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</si>
  <si>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</si>
  <si>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</si>
  <si>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</si>
  <si>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</si>
  <si>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</si>
  <si>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</si>
  <si>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</si>
  <si>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</si>
  <si>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</si>
  <si>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</si>
  <si>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</si>
  <si>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</si>
  <si>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</si>
  <si>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</si>
  <si>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</si>
  <si>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</si>
  <si>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</si>
  <si>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</si>
  <si>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</si>
  <si>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</si>
  <si>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</si>
  <si>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</si>
  <si>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</si>
  <si>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</si>
  <si>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</si>
  <si>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</si>
  <si>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</si>
  <si>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</si>
  <si>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</si>
  <si>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</si>
  <si>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</si>
  <si>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</si>
  <si>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</si>
  <si>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</si>
  <si>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</si>
  <si>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</si>
  <si>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</si>
  <si>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</si>
  <si>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</si>
  <si>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</si>
  <si>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</si>
  <si>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</si>
  <si>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</si>
  <si>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</si>
  <si>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</si>
  <si>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</si>
  <si>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</si>
  <si>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</si>
  <si>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</si>
  <si>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</si>
  <si>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</si>
  <si>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</si>
  <si>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</si>
  <si>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</si>
  <si>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</si>
  <si>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</si>
  <si>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</si>
  <si>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</si>
  <si>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</si>
  <si>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</si>
  <si>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</si>
  <si>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</si>
  <si>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</si>
  <si>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</si>
  <si>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</si>
  <si>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</si>
  <si>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</si>
  <si>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</si>
  <si>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</si>
  <si>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</si>
  <si>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</si>
  <si>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</si>
  <si>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</si>
  <si>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</si>
  <si>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</si>
  <si>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</si>
  <si>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</si>
  <si>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</si>
  <si>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</si>
  <si>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</si>
  <si>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</si>
  <si>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</si>
  <si>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</si>
  <si>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</si>
  <si>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</si>
  <si>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</si>
  <si>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</si>
  <si>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</si>
  <si>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</si>
  <si>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</si>
  <si>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</si>
  <si>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</si>
  <si>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</si>
  <si>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</si>
  <si>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</si>
  <si>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</si>
  <si>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</si>
  <si>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</si>
  <si>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</si>
  <si>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</si>
  <si>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</si>
  <si>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</si>
  <si>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</si>
  <si>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</si>
  <si>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</si>
  <si>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</si>
  <si>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</si>
  <si>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</si>
  <si>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</si>
  <si>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</si>
  <si>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</si>
  <si>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</si>
  <si>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</si>
  <si>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</si>
  <si>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</si>
  <si>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</si>
  <si>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</si>
  <si>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</si>
  <si>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</si>
  <si>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</si>
  <si>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</si>
  <si>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</si>
  <si>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</si>
  <si>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</si>
  <si>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</si>
  <si>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</si>
  <si>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</si>
  <si>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</si>
  <si>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</si>
  <si>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</si>
  <si>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</si>
  <si>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</si>
  <si>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</si>
  <si>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</si>
  <si>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</si>
  <si>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</si>
  <si>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</si>
  <si>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</si>
  <si>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</si>
  <si>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</si>
  <si>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</si>
  <si>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</si>
  <si>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</si>
  <si>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</si>
  <si>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</si>
  <si>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</si>
  <si>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</si>
  <si>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</si>
  <si>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</si>
  <si>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</si>
  <si>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</si>
  <si>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</si>
  <si>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</si>
  <si>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</si>
  <si>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</si>
  <si>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</si>
  <si>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</si>
  <si>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</si>
  <si>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</si>
  <si>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</si>
  <si>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</si>
  <si>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</si>
  <si>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</si>
  <si>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</si>
  <si>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</si>
  <si>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</si>
  <si>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</si>
  <si>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</si>
  <si>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</si>
  <si>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</si>
  <si>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</si>
  <si>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</si>
  <si>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</si>
  <si>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</si>
  <si>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</si>
  <si>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</si>
  <si>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</si>
  <si>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</si>
  <si>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</si>
  <si>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</si>
  <si>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</si>
  <si>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</si>
  <si>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</si>
  <si>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</si>
  <si>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</si>
  <si>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</si>
  <si>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</si>
  <si>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</si>
  <si>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</si>
  <si>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</si>
  <si>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</si>
  <si>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</si>
  <si>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</si>
  <si>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</si>
  <si>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</si>
  <si>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</si>
  <si>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</si>
  <si>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</si>
  <si>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</si>
  <si>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</si>
  <si>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</si>
  <si>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</si>
  <si>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</si>
  <si>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</si>
  <si>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</si>
  <si>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</si>
  <si>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</si>
  <si>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</si>
  <si>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</si>
  <si>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</si>
  <si>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</si>
  <si>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</si>
  <si>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</si>
  <si>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</si>
  <si>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</si>
  <si>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</si>
  <si>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</si>
  <si>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</si>
  <si>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</si>
  <si>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</si>
  <si>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</si>
  <si>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</si>
  <si>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</si>
  <si>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</si>
  <si>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</si>
  <si>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</si>
  <si>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</si>
  <si>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</si>
  <si>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</si>
  <si>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</si>
  <si>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</si>
  <si>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</si>
  <si>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</si>
  <si>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</si>
  <si>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</si>
  <si>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</si>
  <si>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</si>
  <si>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</si>
  <si>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</si>
  <si>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</si>
  <si>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</si>
  <si>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</si>
  <si>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</si>
  <si>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</si>
  <si>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</si>
  <si>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</si>
  <si>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</si>
  <si>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</si>
  <si>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</si>
  <si>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</si>
  <si>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</si>
  <si>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</si>
  <si>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</si>
  <si>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</si>
  <si>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</si>
  <si>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</si>
  <si>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</si>
  <si>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</si>
  <si>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</si>
  <si>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</si>
  <si>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</si>
  <si>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</si>
  <si>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</si>
  <si>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</si>
  <si>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</si>
  <si>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</si>
  <si>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</si>
  <si>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</si>
  <si>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</si>
  <si>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</si>
  <si>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</si>
  <si>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</si>
  <si>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</si>
  <si>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</si>
  <si>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</si>
  <si>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</si>
  <si>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</si>
  <si>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</si>
  <si>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</si>
  <si>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</si>
  <si>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</si>
  <si>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</si>
  <si>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</si>
  <si>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</si>
  <si>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</si>
  <si>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</si>
  <si>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</si>
  <si>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</si>
  <si>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</si>
  <si>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</si>
  <si>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</si>
  <si>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</si>
  <si>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</si>
  <si>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</si>
  <si>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</si>
  <si>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</si>
  <si>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</si>
  <si>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</si>
  <si>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</si>
  <si>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</si>
  <si>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</si>
  <si>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</si>
  <si>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</si>
  <si>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</si>
  <si>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</si>
  <si>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</si>
  <si>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</si>
  <si>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</si>
  <si>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</si>
  <si>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</si>
  <si>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</si>
  <si>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</si>
  <si>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</si>
  <si>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</si>
  <si>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</si>
  <si>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</si>
  <si>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</si>
  <si>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</si>
  <si>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</si>
  <si>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</si>
  <si>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</si>
  <si>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</si>
  <si>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</si>
  <si>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</si>
  <si>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</si>
  <si>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</si>
  <si>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</si>
  <si>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</si>
  <si>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</si>
  <si>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</si>
  <si>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</si>
  <si>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</si>
  <si>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</si>
  <si>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</si>
  <si>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</si>
  <si>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</si>
  <si>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</si>
  <si>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</si>
  <si>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</si>
  <si>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</si>
  <si>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</si>
  <si>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</si>
  <si>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</si>
  <si>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</si>
  <si>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</si>
  <si>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</si>
  <si>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</si>
  <si>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</si>
  <si>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</si>
  <si>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</si>
  <si>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</si>
  <si>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</si>
  <si>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</si>
  <si>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</si>
  <si>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</si>
  <si>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</si>
  <si>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</si>
  <si>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</si>
  <si>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</si>
  <si>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</si>
  <si>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</si>
  <si>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</si>
  <si>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</si>
  <si>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</si>
  <si>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</si>
  <si>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</si>
  <si>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</si>
  <si>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</si>
  <si>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</si>
  <si>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</si>
  <si>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</si>
  <si>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</si>
  <si>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</si>
  <si>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</si>
  <si>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</si>
  <si>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</si>
  <si>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</si>
  <si>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</si>
  <si>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</si>
  <si>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</si>
  <si>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</si>
  <si>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</si>
  <si>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</si>
  <si>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</si>
  <si>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</si>
  <si>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</si>
  <si>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</si>
  <si>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</si>
  <si>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</si>
  <si>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</si>
  <si>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</si>
  <si>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</si>
  <si>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</si>
  <si>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</si>
  <si>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</si>
  <si>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</si>
  <si>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</si>
  <si>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</si>
  <si>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</si>
  <si>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</si>
  <si>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</si>
  <si>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</si>
  <si>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</si>
  <si>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</si>
  <si>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</si>
  <si>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</si>
  <si>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</si>
  <si>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</si>
  <si>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</si>
  <si>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</si>
  <si>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</si>
  <si>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</si>
  <si>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</si>
  <si>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</si>
  <si>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</si>
  <si>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</si>
  <si>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</si>
  <si>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</si>
  <si>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</si>
  <si>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</si>
  <si>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</si>
  <si>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</si>
  <si>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</si>
  <si>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</si>
  <si>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</si>
  <si>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</si>
  <si>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</si>
  <si>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</si>
  <si>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</si>
  <si>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</si>
  <si>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</si>
  <si>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</si>
  <si>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</si>
  <si>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</si>
  <si>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</si>
  <si>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</si>
  <si>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</si>
  <si>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</si>
  <si>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</si>
  <si>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</si>
  <si>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</si>
  <si>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</si>
  <si>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</si>
  <si>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</si>
  <si>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</si>
  <si>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</si>
  <si>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</si>
  <si>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</si>
  <si>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</si>
  <si>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</si>
  <si>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</si>
  <si>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</si>
  <si>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</si>
  <si>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</si>
  <si>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</si>
  <si>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</si>
  <si>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</si>
  <si>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</si>
  <si>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</si>
  <si>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</si>
  <si>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</si>
  <si>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</si>
  <si>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</si>
  <si>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</si>
  <si>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</si>
  <si>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</si>
  <si>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</si>
  <si>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</si>
  <si>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</si>
  <si>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</si>
  <si>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</si>
  <si>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</si>
  <si>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</si>
  <si>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</si>
  <si>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</si>
  <si>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</si>
  <si>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</si>
  <si>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北京桔灯导航科技发展有限公司</t>
    <phoneticPr fontId="6" type="noConversion"/>
  </si>
  <si>
    <t>厂房</t>
    <phoneticPr fontId="6" type="noConversion"/>
  </si>
  <si>
    <t>工业项目</t>
  </si>
  <si>
    <t>现房</t>
  </si>
  <si>
    <t>是</t>
  </si>
  <si>
    <t>地上</t>
  </si>
  <si>
    <t>厂房</t>
    <phoneticPr fontId="7" type="noConversion"/>
  </si>
  <si>
    <t>成新度</t>
  </si>
  <si>
    <t>建成年代</t>
    <phoneticPr fontId="3" type="noConversion"/>
  </si>
  <si>
    <t>根据之前的报告得知</t>
    <phoneticPr fontId="3" type="noConversion"/>
  </si>
  <si>
    <t>直线</t>
    <phoneticPr fontId="3" type="noConversion"/>
  </si>
  <si>
    <t>收益法 (元)</t>
  </si>
  <si>
    <t>Ⅷ-昌平园北Ⅱ</t>
  </si>
  <si>
    <t>厂房</t>
  </si>
  <si>
    <t>押一</t>
  </si>
  <si>
    <t>钢混</t>
  </si>
  <si>
    <t>非生产用房</t>
  </si>
  <si>
    <t>否</t>
  </si>
  <si>
    <t>楼面单价</t>
  </si>
  <si>
    <t>自定义</t>
  </si>
  <si>
    <t>自定义容积率</t>
  </si>
  <si>
    <t>较好</t>
  </si>
  <si>
    <t>较差</t>
  </si>
  <si>
    <t>一般</t>
  </si>
  <si>
    <t>单套模式</t>
  </si>
  <si>
    <t>售价</t>
  </si>
  <si>
    <t>企业墅</t>
    <phoneticPr fontId="3" type="noConversion"/>
  </si>
  <si>
    <t>正常</t>
  </si>
  <si>
    <t>挂牌价</t>
  </si>
  <si>
    <t>挂牌价</t>
    <phoneticPr fontId="31" type="noConversion"/>
  </si>
  <si>
    <r>
      <t>35-40</t>
    </r>
    <r>
      <rPr>
        <sz val="11"/>
        <rFont val="宋体"/>
        <family val="3"/>
        <charset val="134"/>
      </rPr>
      <t>（含）</t>
    </r>
  </si>
  <si>
    <t>工业</t>
    <phoneticPr fontId="31" type="noConversion"/>
  </si>
  <si>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</si>
  <si>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</si>
  <si>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</si>
  <si>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</si>
  <si>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</si>
  <si>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</si>
  <si>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</si>
  <si>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t>钢混</t>
    <phoneticPr fontId="3" type="noConversion"/>
  </si>
  <si>
    <t>独栋</t>
  </si>
  <si>
    <t>独栋</t>
    <phoneticPr fontId="31" type="noConversion"/>
  </si>
  <si>
    <t>七通</t>
    <phoneticPr fontId="3" type="noConversion"/>
  </si>
  <si>
    <t>六通</t>
    <phoneticPr fontId="3" type="noConversion"/>
  </si>
  <si>
    <t>五通</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</si>
  <si>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</si>
  <si>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</si>
  <si>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</si>
  <si>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</si>
  <si>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</si>
  <si>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普通装修</t>
  </si>
  <si>
    <t>比较法-工业</t>
  </si>
  <si>
    <t>需求</t>
    <phoneticPr fontId="8" type="noConversion"/>
  </si>
  <si>
    <t>五通</t>
  </si>
  <si>
    <t>与级别开发程度一致</t>
  </si>
  <si>
    <t>租金</t>
  </si>
  <si>
    <t>郑燚</t>
  </si>
  <si>
    <t>泰达科技园</t>
    <phoneticPr fontId="3" type="noConversion"/>
  </si>
  <si>
    <t>泰达科技园</t>
    <phoneticPr fontId="6"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</si>
  <si>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</si>
  <si>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</si>
  <si>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</si>
  <si>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</si>
  <si>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</si>
  <si>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七通</t>
  </si>
  <si>
    <t>情况4</t>
  </si>
  <si>
    <t>转让取得</t>
  </si>
  <si>
    <t>购房发票</t>
  </si>
  <si>
    <t>购房发票</t>
    <phoneticPr fontId="8" type="noConversion"/>
  </si>
  <si>
    <t>2016年5月1日前购买</t>
  </si>
  <si>
    <t>单价</t>
    <phoneticPr fontId="8"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</si>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</sst>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6" fontId="54" fillId="6" borderId="1" xfId="0" applyNumberFormat="1" applyFont="1" applyFill="1" applyBorder="1" applyAlignment="1">
      <alignment horizontal="left" vertical="center" wrapText="1"/>
    </xf>
    <xf numFmtId="196" fontId="53" fillId="6" borderId="1" xfId="0" applyNumberFormat="1" applyFont="1" applyFill="1" applyBorder="1" applyAlignment="1">
      <alignment horizontal="left" vertical="center" wrapText="1"/>
    </xf>
    <xf numFmtId="197" fontId="53" fillId="6" borderId="1" xfId="0" applyNumberFormat="1" applyFont="1" applyFill="1" applyBorder="1" applyAlignment="1">
      <alignment horizontal="left" vertical="center" wrapText="1"/>
    </xf>
    <xf numFmtId="196" fontId="52" fillId="6" borderId="32" xfId="0" applyNumberFormat="1"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0" fontId="44" fillId="8" borderId="1" xfId="0"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0" fontId="47" fillId="8" borderId="13" xfId="0" applyFont="1" applyFill="1" applyBorder="1">
      <alignment vertical="center"/>
    </xf>
    <xf numFmtId="0" fontId="47" fillId="8" borderId="4" xfId="0" applyFont="1" applyFill="1" applyBorder="1" applyAlignment="1">
      <alignment horizontal="left" vertical="center"/>
    </xf>
    <xf numFmtId="0" fontId="47" fillId="8" borderId="5"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1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599009</xdr:colOff>
      <xdr:row>41</xdr:row>
      <xdr:rowOff>16206</xdr:rowOff>
    </xdr:to>
    <xdr:pic>
      <xdr:nvPicPr>
        <xdr:cNvPr id="2" name="图片 1">
          <a:extLst>
            <a:ext uri="{FF2B5EF4-FFF2-40B4-BE49-F238E27FC236}">
              <a16:creationId xmlns="" xmlns:a16="http://schemas.microsoft.com/office/drawing/2014/main" id="{8BA810B9-E97B-3B19-FE80-BDFE1BB67393}"/>
            </a:ext>
          </a:extLst>
        </xdr:cNvPr>
        <xdr:cNvPicPr>
          <a:picLocks noChangeAspect="1"/>
        </xdr:cNvPicPr>
      </xdr:nvPicPr>
      <xdr:blipFill>
        <a:blip xmlns:r="http://schemas.openxmlformats.org/officeDocument/2006/relationships" r:embed="rId1"/>
        <a:stretch>
          <a:fillRect/>
        </a:stretch>
      </xdr:blipFill>
      <xdr:spPr>
        <a:xfrm>
          <a:off x="0" y="0"/>
          <a:ext cx="8523809" cy="7514286"/>
        </a:xfrm>
        <a:prstGeom prst="rect">
          <a:avLst/>
        </a:prstGeom>
      </xdr:spPr>
    </xdr:pic>
    <xdr:clientData/>
  </xdr:twoCellAnchor>
  <xdr:twoCellAnchor editAs="oneCell">
    <xdr:from>
      <xdr:col>16</xdr:col>
      <xdr:colOff>25886</xdr:colOff>
      <xdr:row>4</xdr:row>
      <xdr:rowOff>30481</xdr:rowOff>
    </xdr:from>
    <xdr:to>
      <xdr:col>28</xdr:col>
      <xdr:colOff>92063</xdr:colOff>
      <xdr:row>36</xdr:row>
      <xdr:rowOff>175261</xdr:rowOff>
    </xdr:to>
    <xdr:pic>
      <xdr:nvPicPr>
        <xdr:cNvPr id="3" name="图片 2">
          <a:extLst>
            <a:ext uri="{FF2B5EF4-FFF2-40B4-BE49-F238E27FC236}">
              <a16:creationId xmlns="" xmlns:a16="http://schemas.microsoft.com/office/drawing/2014/main" id="{E2FA9964-7E72-BB46-3A33-97748FF03A92}"/>
            </a:ext>
          </a:extLst>
        </xdr:cNvPr>
        <xdr:cNvPicPr>
          <a:picLocks noChangeAspect="1"/>
        </xdr:cNvPicPr>
      </xdr:nvPicPr>
      <xdr:blipFill>
        <a:blip xmlns:r="http://schemas.openxmlformats.org/officeDocument/2006/relationships" r:embed="rId2"/>
        <a:stretch>
          <a:fillRect/>
        </a:stretch>
      </xdr:blipFill>
      <xdr:spPr>
        <a:xfrm>
          <a:off x="9779486" y="762001"/>
          <a:ext cx="7381377" cy="5996940"/>
        </a:xfrm>
        <a:prstGeom prst="rect">
          <a:avLst/>
        </a:prstGeom>
      </xdr:spPr>
    </xdr:pic>
    <xdr:clientData/>
  </xdr:twoCellAnchor>
  <xdr:twoCellAnchor editAs="oneCell">
    <xdr:from>
      <xdr:col>16</xdr:col>
      <xdr:colOff>0</xdr:colOff>
      <xdr:row>37</xdr:row>
      <xdr:rowOff>0</xdr:rowOff>
    </xdr:from>
    <xdr:to>
      <xdr:col>28</xdr:col>
      <xdr:colOff>599086</xdr:colOff>
      <xdr:row>79</xdr:row>
      <xdr:rowOff>147611</xdr:rowOff>
    </xdr:to>
    <xdr:pic>
      <xdr:nvPicPr>
        <xdr:cNvPr id="4" name="图片 3">
          <a:extLst>
            <a:ext uri="{FF2B5EF4-FFF2-40B4-BE49-F238E27FC236}">
              <a16:creationId xmlns="" xmlns:a16="http://schemas.microsoft.com/office/drawing/2014/main" id="{7D605A71-8A6A-E4BA-E547-03C34A3BFEEA}"/>
            </a:ext>
          </a:extLst>
        </xdr:cNvPr>
        <xdr:cNvPicPr>
          <a:picLocks noChangeAspect="1"/>
        </xdr:cNvPicPr>
      </xdr:nvPicPr>
      <xdr:blipFill>
        <a:blip xmlns:r="http://schemas.openxmlformats.org/officeDocument/2006/relationships" r:embed="rId3"/>
        <a:stretch>
          <a:fillRect/>
        </a:stretch>
      </xdr:blipFill>
      <xdr:spPr>
        <a:xfrm>
          <a:off x="9753600" y="6766560"/>
          <a:ext cx="7914286" cy="7828571"/>
        </a:xfrm>
        <a:prstGeom prst="rect">
          <a:avLst/>
        </a:prstGeom>
      </xdr:spPr>
    </xdr:pic>
    <xdr:clientData/>
  </xdr:twoCellAnchor>
  <xdr:twoCellAnchor editAs="oneCell">
    <xdr:from>
      <xdr:col>16</xdr:col>
      <xdr:colOff>0</xdr:colOff>
      <xdr:row>80</xdr:row>
      <xdr:rowOff>0</xdr:rowOff>
    </xdr:from>
    <xdr:to>
      <xdr:col>29</xdr:col>
      <xdr:colOff>427581</xdr:colOff>
      <xdr:row>123</xdr:row>
      <xdr:rowOff>59969</xdr:rowOff>
    </xdr:to>
    <xdr:pic>
      <xdr:nvPicPr>
        <xdr:cNvPr id="5" name="图片 4">
          <a:extLst>
            <a:ext uri="{FF2B5EF4-FFF2-40B4-BE49-F238E27FC236}">
              <a16:creationId xmlns="" xmlns:a16="http://schemas.microsoft.com/office/drawing/2014/main" id="{EA0298C9-128C-F857-0E8E-F1DD362B11DF}"/>
            </a:ext>
          </a:extLst>
        </xdr:cNvPr>
        <xdr:cNvPicPr>
          <a:picLocks noChangeAspect="1"/>
        </xdr:cNvPicPr>
      </xdr:nvPicPr>
      <xdr:blipFill>
        <a:blip xmlns:r="http://schemas.openxmlformats.org/officeDocument/2006/relationships" r:embed="rId4"/>
        <a:stretch>
          <a:fillRect/>
        </a:stretch>
      </xdr:blipFill>
      <xdr:spPr>
        <a:xfrm>
          <a:off x="9753600" y="14630400"/>
          <a:ext cx="8352381" cy="7923809"/>
        </a:xfrm>
        <a:prstGeom prst="rect">
          <a:avLst/>
        </a:prstGeom>
      </xdr:spPr>
    </xdr:pic>
    <xdr:clientData/>
  </xdr:twoCellAnchor>
  <xdr:twoCellAnchor editAs="oneCell">
    <xdr:from>
      <xdr:col>16</xdr:col>
      <xdr:colOff>0</xdr:colOff>
      <xdr:row>124</xdr:row>
      <xdr:rowOff>0</xdr:rowOff>
    </xdr:from>
    <xdr:to>
      <xdr:col>29</xdr:col>
      <xdr:colOff>256152</xdr:colOff>
      <xdr:row>167</xdr:row>
      <xdr:rowOff>79017</xdr:rowOff>
    </xdr:to>
    <xdr:pic>
      <xdr:nvPicPr>
        <xdr:cNvPr id="6" name="图片 5">
          <a:extLst>
            <a:ext uri="{FF2B5EF4-FFF2-40B4-BE49-F238E27FC236}">
              <a16:creationId xmlns="" xmlns:a16="http://schemas.microsoft.com/office/drawing/2014/main" id="{C10AF1BE-8274-0F81-32FA-7FEE06EDE579}"/>
            </a:ext>
          </a:extLst>
        </xdr:cNvPr>
        <xdr:cNvPicPr>
          <a:picLocks noChangeAspect="1"/>
        </xdr:cNvPicPr>
      </xdr:nvPicPr>
      <xdr:blipFill>
        <a:blip xmlns:r="http://schemas.openxmlformats.org/officeDocument/2006/relationships" r:embed="rId5"/>
        <a:stretch>
          <a:fillRect/>
        </a:stretch>
      </xdr:blipFill>
      <xdr:spPr>
        <a:xfrm>
          <a:off x="9753600" y="22677120"/>
          <a:ext cx="8180952" cy="7942857"/>
        </a:xfrm>
        <a:prstGeom prst="rect">
          <a:avLst/>
        </a:prstGeom>
      </xdr:spPr>
    </xdr:pic>
    <xdr:clientData/>
  </xdr:twoCellAnchor>
  <xdr:twoCellAnchor editAs="oneCell">
    <xdr:from>
      <xdr:col>16</xdr:col>
      <xdr:colOff>0</xdr:colOff>
      <xdr:row>168</xdr:row>
      <xdr:rowOff>0</xdr:rowOff>
    </xdr:from>
    <xdr:to>
      <xdr:col>28</xdr:col>
      <xdr:colOff>532419</xdr:colOff>
      <xdr:row>211</xdr:row>
      <xdr:rowOff>50446</xdr:rowOff>
    </xdr:to>
    <xdr:pic>
      <xdr:nvPicPr>
        <xdr:cNvPr id="7" name="图片 6">
          <a:extLst>
            <a:ext uri="{FF2B5EF4-FFF2-40B4-BE49-F238E27FC236}">
              <a16:creationId xmlns="" xmlns:a16="http://schemas.microsoft.com/office/drawing/2014/main" id="{7EA4A5FC-9AB7-B30D-B945-C46291AF78F9}"/>
            </a:ext>
          </a:extLst>
        </xdr:cNvPr>
        <xdr:cNvPicPr>
          <a:picLocks noChangeAspect="1"/>
        </xdr:cNvPicPr>
      </xdr:nvPicPr>
      <xdr:blipFill>
        <a:blip xmlns:r="http://schemas.openxmlformats.org/officeDocument/2006/relationships" r:embed="rId6"/>
        <a:stretch>
          <a:fillRect/>
        </a:stretch>
      </xdr:blipFill>
      <xdr:spPr>
        <a:xfrm>
          <a:off x="9753600" y="30723840"/>
          <a:ext cx="7847619" cy="7914286"/>
        </a:xfrm>
        <a:prstGeom prst="rect">
          <a:avLst/>
        </a:prstGeom>
      </xdr:spPr>
    </xdr:pic>
    <xdr:clientData/>
  </xdr:twoCellAnchor>
  <xdr:twoCellAnchor editAs="oneCell">
    <xdr:from>
      <xdr:col>0</xdr:col>
      <xdr:colOff>0</xdr:colOff>
      <xdr:row>42</xdr:row>
      <xdr:rowOff>0</xdr:rowOff>
    </xdr:from>
    <xdr:to>
      <xdr:col>13</xdr:col>
      <xdr:colOff>237105</xdr:colOff>
      <xdr:row>81</xdr:row>
      <xdr:rowOff>143870</xdr:rowOff>
    </xdr:to>
    <xdr:pic>
      <xdr:nvPicPr>
        <xdr:cNvPr id="10" name="图片 9">
          <a:extLst>
            <a:ext uri="{FF2B5EF4-FFF2-40B4-BE49-F238E27FC236}">
              <a16:creationId xmlns="" xmlns:a16="http://schemas.microsoft.com/office/drawing/2014/main" id="{F841B6DE-CBB2-A906-5062-E0F05D1834B3}"/>
            </a:ext>
          </a:extLst>
        </xdr:cNvPr>
        <xdr:cNvPicPr>
          <a:picLocks noChangeAspect="1"/>
        </xdr:cNvPicPr>
      </xdr:nvPicPr>
      <xdr:blipFill>
        <a:blip xmlns:r="http://schemas.openxmlformats.org/officeDocument/2006/relationships" r:embed="rId7"/>
        <a:stretch>
          <a:fillRect/>
        </a:stretch>
      </xdr:blipFill>
      <xdr:spPr>
        <a:xfrm>
          <a:off x="0" y="7680960"/>
          <a:ext cx="8161905" cy="7276190"/>
        </a:xfrm>
        <a:prstGeom prst="rect">
          <a:avLst/>
        </a:prstGeom>
      </xdr:spPr>
    </xdr:pic>
    <xdr:clientData/>
  </xdr:twoCellAnchor>
  <xdr:twoCellAnchor editAs="oneCell">
    <xdr:from>
      <xdr:col>0</xdr:col>
      <xdr:colOff>0</xdr:colOff>
      <xdr:row>42</xdr:row>
      <xdr:rowOff>76200</xdr:rowOff>
    </xdr:from>
    <xdr:to>
      <xdr:col>13</xdr:col>
      <xdr:colOff>360914</xdr:colOff>
      <xdr:row>80</xdr:row>
      <xdr:rowOff>126760</xdr:rowOff>
    </xdr:to>
    <xdr:pic>
      <xdr:nvPicPr>
        <xdr:cNvPr id="11" name="图片 10">
          <a:extLst>
            <a:ext uri="{FF2B5EF4-FFF2-40B4-BE49-F238E27FC236}">
              <a16:creationId xmlns="" xmlns:a16="http://schemas.microsoft.com/office/drawing/2014/main" id="{772D8746-A01E-36C9-74A3-09EDA00D95BF}"/>
            </a:ext>
          </a:extLst>
        </xdr:cNvPr>
        <xdr:cNvPicPr>
          <a:picLocks noChangeAspect="1"/>
        </xdr:cNvPicPr>
      </xdr:nvPicPr>
      <xdr:blipFill>
        <a:blip xmlns:r="http://schemas.openxmlformats.org/officeDocument/2006/relationships" r:embed="rId8"/>
        <a:stretch>
          <a:fillRect/>
        </a:stretch>
      </xdr:blipFill>
      <xdr:spPr>
        <a:xfrm>
          <a:off x="0" y="7757160"/>
          <a:ext cx="8285714" cy="7000000"/>
        </a:xfrm>
        <a:prstGeom prst="rect">
          <a:avLst/>
        </a:prstGeom>
      </xdr:spPr>
    </xdr:pic>
    <xdr:clientData/>
  </xdr:twoCellAnchor>
  <xdr:twoCellAnchor editAs="oneCell">
    <xdr:from>
      <xdr:col>0</xdr:col>
      <xdr:colOff>0</xdr:colOff>
      <xdr:row>83</xdr:row>
      <xdr:rowOff>175260</xdr:rowOff>
    </xdr:from>
    <xdr:to>
      <xdr:col>14</xdr:col>
      <xdr:colOff>463414</xdr:colOff>
      <xdr:row>119</xdr:row>
      <xdr:rowOff>82806</xdr:rowOff>
    </xdr:to>
    <xdr:pic>
      <xdr:nvPicPr>
        <xdr:cNvPr id="8" name="图片 7">
          <a:extLst>
            <a:ext uri="{FF2B5EF4-FFF2-40B4-BE49-F238E27FC236}">
              <a16:creationId xmlns="" xmlns:a16="http://schemas.microsoft.com/office/drawing/2014/main" id="{32AE1B37-EDB3-F4CA-D28A-86C8A6A12E22}"/>
            </a:ext>
          </a:extLst>
        </xdr:cNvPr>
        <xdr:cNvPicPr>
          <a:picLocks noChangeAspect="1"/>
        </xdr:cNvPicPr>
      </xdr:nvPicPr>
      <xdr:blipFill>
        <a:blip xmlns:r="http://schemas.openxmlformats.org/officeDocument/2006/relationships" r:embed="rId9"/>
        <a:stretch>
          <a:fillRect/>
        </a:stretch>
      </xdr:blipFill>
      <xdr:spPr>
        <a:xfrm>
          <a:off x="0" y="15354300"/>
          <a:ext cx="8997814" cy="6491226"/>
        </a:xfrm>
        <a:prstGeom prst="rect">
          <a:avLst/>
        </a:prstGeom>
      </xdr:spPr>
    </xdr:pic>
    <xdr:clientData/>
  </xdr:twoCellAnchor>
  <xdr:twoCellAnchor editAs="oneCell">
    <xdr:from>
      <xdr:col>0</xdr:col>
      <xdr:colOff>0</xdr:colOff>
      <xdr:row>121</xdr:row>
      <xdr:rowOff>0</xdr:rowOff>
    </xdr:from>
    <xdr:to>
      <xdr:col>10</xdr:col>
      <xdr:colOff>94476</xdr:colOff>
      <xdr:row>150</xdr:row>
      <xdr:rowOff>86956</xdr:rowOff>
    </xdr:to>
    <xdr:pic>
      <xdr:nvPicPr>
        <xdr:cNvPr id="9" name="图片 8">
          <a:extLst>
            <a:ext uri="{FF2B5EF4-FFF2-40B4-BE49-F238E27FC236}">
              <a16:creationId xmlns="" xmlns:a16="http://schemas.microsoft.com/office/drawing/2014/main" id="{6754C013-D9F7-3AF6-DE8D-239EF035D7D1}"/>
            </a:ext>
          </a:extLst>
        </xdr:cNvPr>
        <xdr:cNvPicPr>
          <a:picLocks noChangeAspect="1"/>
        </xdr:cNvPicPr>
      </xdr:nvPicPr>
      <xdr:blipFill>
        <a:blip xmlns:r="http://schemas.openxmlformats.org/officeDocument/2006/relationships" r:embed="rId10"/>
        <a:stretch>
          <a:fillRect/>
        </a:stretch>
      </xdr:blipFill>
      <xdr:spPr>
        <a:xfrm>
          <a:off x="0" y="22128480"/>
          <a:ext cx="6190476" cy="5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104000</xdr:colOff>
      <xdr:row>31</xdr:row>
      <xdr:rowOff>16434</xdr:rowOff>
    </xdr:to>
    <xdr:pic>
      <xdr:nvPicPr>
        <xdr:cNvPr id="2" name="图片 1">
          <a:extLst>
            <a:ext uri="{FF2B5EF4-FFF2-40B4-BE49-F238E27FC236}">
              <a16:creationId xmlns="" xmlns:a16="http://schemas.microsoft.com/office/drawing/2014/main" id="{225A59C0-0C99-DEE1-BA25-792688BD2F03}"/>
            </a:ext>
          </a:extLst>
        </xdr:cNvPr>
        <xdr:cNvPicPr>
          <a:picLocks noChangeAspect="1"/>
        </xdr:cNvPicPr>
      </xdr:nvPicPr>
      <xdr:blipFill>
        <a:blip xmlns:r="http://schemas.openxmlformats.org/officeDocument/2006/relationships" r:embed="rId1"/>
        <a:stretch>
          <a:fillRect/>
        </a:stretch>
      </xdr:blipFill>
      <xdr:spPr>
        <a:xfrm>
          <a:off x="0" y="0"/>
          <a:ext cx="6200000" cy="5685714"/>
        </a:xfrm>
        <a:prstGeom prst="rect">
          <a:avLst/>
        </a:prstGeom>
      </xdr:spPr>
    </xdr:pic>
    <xdr:clientData/>
  </xdr:twoCellAnchor>
  <xdr:twoCellAnchor editAs="oneCell">
    <xdr:from>
      <xdr:col>10</xdr:col>
      <xdr:colOff>205740</xdr:colOff>
      <xdr:row>0</xdr:row>
      <xdr:rowOff>0</xdr:rowOff>
    </xdr:from>
    <xdr:to>
      <xdr:col>33</xdr:col>
      <xdr:colOff>32559</xdr:colOff>
      <xdr:row>40</xdr:row>
      <xdr:rowOff>151467</xdr:rowOff>
    </xdr:to>
    <xdr:pic>
      <xdr:nvPicPr>
        <xdr:cNvPr id="3" name="图片 2">
          <a:extLst>
            <a:ext uri="{FF2B5EF4-FFF2-40B4-BE49-F238E27FC236}">
              <a16:creationId xmlns="" xmlns:a16="http://schemas.microsoft.com/office/drawing/2014/main" id="{2B698471-8046-3BBC-12F1-AAB8758D6D96}"/>
            </a:ext>
          </a:extLst>
        </xdr:cNvPr>
        <xdr:cNvPicPr>
          <a:picLocks noChangeAspect="1"/>
        </xdr:cNvPicPr>
      </xdr:nvPicPr>
      <xdr:blipFill>
        <a:blip xmlns:r="http://schemas.openxmlformats.org/officeDocument/2006/relationships" r:embed="rId2"/>
        <a:stretch>
          <a:fillRect/>
        </a:stretch>
      </xdr:blipFill>
      <xdr:spPr>
        <a:xfrm>
          <a:off x="6301740" y="0"/>
          <a:ext cx="13847619" cy="7466667"/>
        </a:xfrm>
        <a:prstGeom prst="rect">
          <a:avLst/>
        </a:prstGeom>
      </xdr:spPr>
    </xdr:pic>
    <xdr:clientData/>
  </xdr:twoCellAnchor>
  <xdr:twoCellAnchor editAs="oneCell">
    <xdr:from>
      <xdr:col>10</xdr:col>
      <xdr:colOff>335280</xdr:colOff>
      <xdr:row>42</xdr:row>
      <xdr:rowOff>22860</xdr:rowOff>
    </xdr:from>
    <xdr:to>
      <xdr:col>23</xdr:col>
      <xdr:colOff>239051</xdr:colOff>
      <xdr:row>70</xdr:row>
      <xdr:rowOff>6982</xdr:rowOff>
    </xdr:to>
    <xdr:pic>
      <xdr:nvPicPr>
        <xdr:cNvPr id="4" name="图片 3">
          <a:extLst>
            <a:ext uri="{FF2B5EF4-FFF2-40B4-BE49-F238E27FC236}">
              <a16:creationId xmlns="" xmlns:a16="http://schemas.microsoft.com/office/drawing/2014/main" id="{4E568851-0035-98C3-76FE-E2766E94E9F6}"/>
            </a:ext>
          </a:extLst>
        </xdr:cNvPr>
        <xdr:cNvPicPr>
          <a:picLocks noChangeAspect="1"/>
        </xdr:cNvPicPr>
      </xdr:nvPicPr>
      <xdr:blipFill>
        <a:blip xmlns:r="http://schemas.openxmlformats.org/officeDocument/2006/relationships" r:embed="rId3"/>
        <a:stretch>
          <a:fillRect/>
        </a:stretch>
      </xdr:blipFill>
      <xdr:spPr>
        <a:xfrm>
          <a:off x="6431280" y="7703820"/>
          <a:ext cx="782857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北京市昌平区何营路8号院22号楼1至5层101房地产抵押价值预评估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受贵公司委托，我公司对北京市昌平区何营路8号院22号楼1至5层101房地产抵押价值进行了预评估。</v>
      </c>
    </row>
    <row r="7" spans="1:2">
      <c r="A7" s="1119" t="s">
        <v>566</v>
      </c>
      <c r="B7" s="1120" t="str">
        <f>'预评函-1'!A7</f>
        <v>估价对象为北京市昌平区何营路8号院22号楼1至5层101房地产，为北京桔灯导航科技发展有限公司所有。根据《国有土地使用证》[]，估价对象（分摊）出让国有建设用地使用权面积为1098.66平方米，建筑面积为1680.33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22号楼1至5层101房地产,属北京桔灯导航科技发展有限公司开发建设的工业项目，该项目尚在开发建设中。根据《国有土地使用证》[]，估价对象（分摊）出让国有建设用地使用权面积为1098.66平方米，规划建筑面积为1680.33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厂房，土地取得方式为出让，出让国有建设用地使用权剩余土地使用年限为35.43，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2860.4258</v>
      </c>
    </row>
    <row r="21" spans="1:2">
      <c r="A21" s="1119" t="s">
        <v>537</v>
      </c>
      <c r="B21" s="1120">
        <f ca="1">'预评函-2'!D7</f>
        <v>17023</v>
      </c>
    </row>
    <row r="22" spans="1:2">
      <c r="A22" s="1119" t="s">
        <v>538</v>
      </c>
      <c r="B22" s="1120" t="str">
        <f ca="1">'预评函-2'!D6</f>
        <v>贰仟捌佰陆拾万肆仟贰佰伍拾捌元整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2860.4258</v>
      </c>
    </row>
    <row r="31" spans="1:2">
      <c r="A31" s="1119" t="s">
        <v>576</v>
      </c>
      <c r="B31" s="1120">
        <f ca="1">'预评函-2'!D15</f>
        <v>17023</v>
      </c>
    </row>
    <row r="32" spans="1:2">
      <c r="A32" s="1119" t="s">
        <v>543</v>
      </c>
      <c r="B32" s="1120" t="str">
        <f ca="1">'预评函-2'!D14</f>
        <v>贰仟捌佰陆拾万肆仟贰佰伍拾捌元整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2357.9180000000001</v>
      </c>
    </row>
    <row r="39" spans="1:2">
      <c r="A39" s="1119" t="s">
        <v>545</v>
      </c>
      <c r="B39" s="1120">
        <f ca="1">'预评函-2'!D21</f>
        <v>14032</v>
      </c>
    </row>
    <row r="40" spans="1:2">
      <c r="A40" s="1119" t="s">
        <v>546</v>
      </c>
      <c r="B40" s="1120" t="str">
        <f ca="1">'预评函-2'!D20</f>
        <v>贰仟叁佰伍拾柒万玖仟壹佰捌拾元整</v>
      </c>
    </row>
    <row r="41" spans="1:2">
      <c r="A41" s="1119" t="s">
        <v>592</v>
      </c>
      <c r="B41" s="1120" t="str">
        <f>'预评函-3'!A4</f>
        <v>北京市昌平区何营路8号院22号楼1至5层101房地产</v>
      </c>
    </row>
    <row r="42" spans="1:2">
      <c r="A42" s="1119" t="s">
        <v>590</v>
      </c>
      <c r="B42" s="1120" t="str">
        <f>'预评函-3'!B2</f>
        <v>建筑面积</v>
      </c>
    </row>
    <row r="43" spans="1:2">
      <c r="A43" s="1119" t="s">
        <v>591</v>
      </c>
      <c r="B43" s="1120">
        <f>'预评函-3'!B4</f>
        <v>1680.33</v>
      </c>
    </row>
    <row r="44" spans="1:2">
      <c r="A44" s="1119" t="s">
        <v>575</v>
      </c>
      <c r="B44" s="1120" t="str">
        <f>'预评函-3'!C2</f>
        <v>(分摊)土地面积</v>
      </c>
    </row>
    <row r="45" spans="1:2">
      <c r="A45" s="1119" t="s">
        <v>547</v>
      </c>
      <c r="B45" s="1120">
        <f>'预评函-3'!C4</f>
        <v>1098.6600000000001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16" t="s">
        <v>2580</v>
      </c>
      <c r="J2" s="3216"/>
      <c r="K2" s="3216"/>
      <c r="L2" s="3216"/>
      <c r="M2" s="3216"/>
      <c r="N2" s="3216"/>
      <c r="O2" s="3216"/>
      <c r="P2" s="3216"/>
      <c r="Q2" s="3216"/>
      <c r="R2" s="3216"/>
    </row>
    <row r="3" spans="1:18">
      <c r="A3" s="2758" t="s">
        <v>2501</v>
      </c>
      <c r="B3" s="2759">
        <f>项目基本情况!D3</f>
        <v>45705</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1.83</v>
      </c>
      <c r="D5" s="2763">
        <f>IF(ISERROR(ROUND(POWER(1+E5,A5-C5)*(POWER(1+E5,C5)-1)/(POWER(1+E5,A5)-1),3)),0,ROUND(POWER(1+E5,A5-C5)*(POWER(1+E5,C5)-1)/(POWER(1+E5,A5)-1),4))</f>
        <v>8.7499999999999994E-2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11.84</v>
      </c>
      <c r="D6" s="2763">
        <f>IF(ISERROR(ROUND(POWER(1+E6,A6-C6)*(POWER(1+E6,C6)-1)/(POWER(1+E6,A6)-1),3)),0,ROUND(POWER(1+E6,A6-C6)*(POWER(1+E6,C6)-1)/(POWER(1+E6,A6)-1),4))</f>
        <v>0.43230000000000002</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31.85</v>
      </c>
      <c r="D7" s="2763">
        <f>IF(ISERROR(ROUND(POWER(1+E7,A7-C7)*(POWER(1+E7,C7)-1)/(POWER(1+E7,A7)-1),3)),0,ROUND(POWER(1+E7,A7-C7)*(POWER(1+E7,C7)-1)/(POWER(1+E7,A7)-1),4))</f>
        <v>0.76219999999999999</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4.25" thickBot="1">
      <c r="A18" s="2768" t="s">
        <v>2516</v>
      </c>
      <c r="B18" s="2769">
        <f>ROUND(B17*F11/F12,2)</f>
        <v>5541.87</v>
      </c>
      <c r="C18" s="2769">
        <f>ROUND(F11/F12,4)</f>
        <v>1.1521999999999999</v>
      </c>
      <c r="D18" s="2770"/>
      <c r="E18" s="2770"/>
      <c r="F18" s="2771"/>
    </row>
    <row r="19" spans="1:14" ht="14.25" thickBot="1"/>
    <row r="20" spans="1:14" s="2804" customFormat="1" ht="14.2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8"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8">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8">
        <v>8</v>
      </c>
    </row>
    <row r="26" spans="1:14">
      <c r="A26" s="2777"/>
      <c r="B26" s="2778"/>
      <c r="C26" s="2778"/>
      <c r="D26" s="2778"/>
      <c r="E26" s="2778"/>
      <c r="F26" s="2778"/>
      <c r="G26" s="2779"/>
      <c r="I26" s="2795">
        <v>30</v>
      </c>
      <c r="J26" s="2795">
        <v>90.5</v>
      </c>
      <c r="K26" s="2795">
        <f t="shared" si="2"/>
        <v>4.2000000000000028</v>
      </c>
      <c r="L26" s="2795" t="s">
        <v>2571</v>
      </c>
      <c r="N26" s="3148">
        <v>5</v>
      </c>
    </row>
    <row r="27" spans="1:14">
      <c r="A27" s="2777" t="s">
        <v>2530</v>
      </c>
      <c r="B27" s="2778"/>
      <c r="C27" s="2778"/>
      <c r="D27" s="2778"/>
      <c r="E27" s="2778"/>
      <c r="F27" s="2778"/>
      <c r="G27" s="2779"/>
      <c r="I27" s="2795">
        <v>35</v>
      </c>
      <c r="J27" s="2795">
        <v>93.8</v>
      </c>
      <c r="K27" s="2795">
        <f t="shared" si="2"/>
        <v>3.2999999999999972</v>
      </c>
      <c r="L27" s="2795" t="s">
        <v>2572</v>
      </c>
      <c r="N27" s="3148">
        <v>3</v>
      </c>
    </row>
    <row r="28" spans="1:14">
      <c r="A28" s="2777" t="s">
        <v>2531</v>
      </c>
      <c r="B28" s="2778"/>
      <c r="C28" s="2778"/>
      <c r="D28" s="2778"/>
      <c r="E28" s="2778"/>
      <c r="F28" s="2778"/>
      <c r="G28" s="2779"/>
      <c r="I28" s="2795">
        <v>40</v>
      </c>
      <c r="J28" s="2795">
        <v>96.4</v>
      </c>
      <c r="K28" s="2795">
        <f t="shared" si="2"/>
        <v>2.6000000000000085</v>
      </c>
      <c r="L28" s="2795" t="s">
        <v>2573</v>
      </c>
      <c r="N28" s="3148">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8" t="s">
        <v>2568</v>
      </c>
    </row>
    <row r="37" spans="1:14">
      <c r="A37" s="2777" t="s">
        <v>2540</v>
      </c>
      <c r="B37" s="2778"/>
      <c r="C37" s="2778"/>
      <c r="D37" s="2778"/>
      <c r="E37" s="2778"/>
      <c r="F37" s="2778"/>
      <c r="G37" s="2779"/>
      <c r="I37" s="2795">
        <v>20</v>
      </c>
      <c r="J37" s="2795">
        <v>83.6</v>
      </c>
      <c r="K37" s="2795">
        <f t="shared" si="3"/>
        <v>7.2999999999999972</v>
      </c>
      <c r="L37" s="2795" t="s">
        <v>2566</v>
      </c>
      <c r="N37" s="3148">
        <v>10</v>
      </c>
    </row>
    <row r="38" spans="1:14">
      <c r="A38" s="2777" t="s">
        <v>2541</v>
      </c>
      <c r="B38" s="2778"/>
      <c r="C38" s="2778"/>
      <c r="D38" s="2778"/>
      <c r="E38" s="2778"/>
      <c r="F38" s="2778"/>
      <c r="G38" s="2779"/>
      <c r="I38" s="2795">
        <v>25</v>
      </c>
      <c r="J38" s="2795">
        <v>89.3</v>
      </c>
      <c r="K38" s="2795">
        <f t="shared" si="3"/>
        <v>5.7000000000000028</v>
      </c>
      <c r="L38" s="2795" t="s">
        <v>2570</v>
      </c>
      <c r="N38" s="3148">
        <v>8</v>
      </c>
    </row>
    <row r="39" spans="1:14">
      <c r="A39" s="2777"/>
      <c r="B39" s="2778"/>
      <c r="C39" s="2778"/>
      <c r="D39" s="2778"/>
      <c r="E39" s="2778"/>
      <c r="F39" s="2778"/>
      <c r="G39" s="2779"/>
      <c r="I39" s="2795">
        <v>30</v>
      </c>
      <c r="J39" s="2795">
        <v>93.8</v>
      </c>
      <c r="K39" s="2795">
        <f t="shared" si="3"/>
        <v>4.5</v>
      </c>
      <c r="L39" s="2795" t="s">
        <v>2571</v>
      </c>
      <c r="N39" s="3148">
        <v>6</v>
      </c>
    </row>
    <row r="40" spans="1:14">
      <c r="A40" s="2780" t="s">
        <v>2542</v>
      </c>
      <c r="B40" s="2781"/>
      <c r="C40" s="2781"/>
      <c r="D40" s="2781"/>
      <c r="E40" s="2781"/>
      <c r="F40" s="2781"/>
      <c r="G40" s="2782"/>
      <c r="I40" s="2795">
        <v>35</v>
      </c>
      <c r="J40" s="2795">
        <v>97.2</v>
      </c>
      <c r="K40" s="2795">
        <f t="shared" si="3"/>
        <v>3.4000000000000057</v>
      </c>
      <c r="L40" s="2795" t="s">
        <v>2572</v>
      </c>
      <c r="N40" s="3148">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4.2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3390</v>
      </c>
    </row>
    <row r="50" spans="1:4">
      <c r="A50" s="3140" t="s">
        <v>3391</v>
      </c>
      <c r="B50" s="3140" t="s">
        <v>3392</v>
      </c>
      <c r="C50" s="3140" t="s">
        <v>3393</v>
      </c>
      <c r="D50" s="3140" t="s">
        <v>3394</v>
      </c>
    </row>
    <row r="51" spans="1:4">
      <c r="A51" s="3140" t="s">
        <v>3395</v>
      </c>
      <c r="B51" s="2760">
        <f>B52+B53</f>
        <v>15000</v>
      </c>
      <c r="C51" s="3141">
        <f>D51/B51</f>
        <v>2666.6666666666665</v>
      </c>
      <c r="D51" s="2760">
        <f>D52+D53</f>
        <v>40000000</v>
      </c>
    </row>
    <row r="52" spans="1:4">
      <c r="A52" s="3142" t="s">
        <v>3396</v>
      </c>
      <c r="B52" s="3143">
        <v>10000</v>
      </c>
      <c r="C52" s="3143">
        <v>1500</v>
      </c>
      <c r="D52" s="3144">
        <f>C52*B52</f>
        <v>15000000</v>
      </c>
    </row>
    <row r="53" spans="1:4">
      <c r="A53" s="3142" t="s">
        <v>3397</v>
      </c>
      <c r="B53" s="3143">
        <v>5000</v>
      </c>
      <c r="C53" s="3143">
        <v>5000</v>
      </c>
      <c r="D53" s="3144">
        <f>C53*B53</f>
        <v>25000000</v>
      </c>
    </row>
    <row r="54" spans="1:4">
      <c r="A54" s="3140" t="s">
        <v>3398</v>
      </c>
      <c r="B54" s="2760">
        <f>B51</f>
        <v>15000</v>
      </c>
      <c r="C54" s="2766">
        <v>700</v>
      </c>
      <c r="D54" s="2760">
        <f t="shared" ref="D54:D55" si="5">C54*B54</f>
        <v>10500000</v>
      </c>
    </row>
    <row r="55" spans="1:4">
      <c r="A55" s="3140" t="s">
        <v>3399</v>
      </c>
      <c r="B55" s="2760">
        <f>B51</f>
        <v>15000</v>
      </c>
      <c r="C55" s="2766">
        <v>1500</v>
      </c>
      <c r="D55" s="2760">
        <f t="shared" si="5"/>
        <v>22500000</v>
      </c>
    </row>
    <row r="56" spans="1:4">
      <c r="A56" s="3140" t="s">
        <v>3400</v>
      </c>
      <c r="B56" s="2760">
        <f>B51</f>
        <v>15000</v>
      </c>
      <c r="C56" s="3145">
        <f>C51+C54+C55</f>
        <v>4866.6666666666661</v>
      </c>
      <c r="D56" s="2760">
        <f>D51+D54+D55</f>
        <v>73000000</v>
      </c>
    </row>
    <row r="58" spans="1:4">
      <c r="A58" s="3140" t="s">
        <v>3401</v>
      </c>
      <c r="B58" s="3146">
        <v>0.05</v>
      </c>
      <c r="C58" s="2760">
        <f>C56*(1+B58)</f>
        <v>5110</v>
      </c>
      <c r="D58" s="2760">
        <f>D56*B58</f>
        <v>3650000</v>
      </c>
    </row>
    <row r="60" spans="1:4">
      <c r="A60" s="3140" t="s">
        <v>3402</v>
      </c>
      <c r="B60" s="2766">
        <v>3500</v>
      </c>
      <c r="C60" s="2766">
        <f>C53</f>
        <v>5000</v>
      </c>
      <c r="D60" s="2760">
        <f>C60*B60</f>
        <v>17500000</v>
      </c>
    </row>
    <row r="62" spans="1:4">
      <c r="A62" s="3140" t="s">
        <v>3403</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2" sqref="H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北京市昌平区何营路8号院22号楼1至5层101房地产抵押价值预评估</v>
      </c>
      <c r="C1" s="3225"/>
      <c r="D1" s="3225"/>
      <c r="E1" s="3225"/>
      <c r="F1" s="3225"/>
      <c r="G1" s="3225"/>
      <c r="H1" s="3225"/>
      <c r="I1" s="322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北京市昌平区何营路8号院22号楼1至5层101房地产抵押价值</v>
      </c>
      <c r="T1" s="1618"/>
      <c r="U1" s="1618"/>
      <c r="V1" s="1618"/>
      <c r="W1" s="1618"/>
      <c r="X1" s="1618"/>
      <c r="Y1" s="1618"/>
      <c r="Z1" s="1618"/>
      <c r="AA1" s="1618"/>
      <c r="AB1" s="1618"/>
    </row>
    <row r="2" spans="1:30">
      <c r="A2" s="2182" t="s">
        <v>2169</v>
      </c>
      <c r="B2" s="122"/>
      <c r="D2" s="2443"/>
      <c r="E2" s="2437"/>
      <c r="F2" s="2437"/>
      <c r="G2" s="2438"/>
      <c r="H2" s="2438"/>
      <c r="I2" s="2438"/>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北京市昌平区何营路8号院22号楼1至5层101房地产</v>
      </c>
      <c r="T2" s="1618"/>
      <c r="U2" s="1618"/>
      <c r="V2" s="1618"/>
      <c r="W2" s="1618"/>
      <c r="X2" s="1618"/>
      <c r="Y2" s="1618"/>
      <c r="Z2" s="1618"/>
      <c r="AA2" s="1618"/>
      <c r="AB2" s="1618"/>
    </row>
    <row r="3" spans="1:30">
      <c r="A3" s="294" t="s">
        <v>2170</v>
      </c>
      <c r="B3" s="2185">
        <v>45705</v>
      </c>
      <c r="C3" s="2186" t="s">
        <v>2171</v>
      </c>
      <c r="D3" s="2185">
        <f>B3</f>
        <v>45705</v>
      </c>
      <c r="E3" s="2438"/>
      <c r="F3" s="2438"/>
      <c r="G3" s="2438"/>
      <c r="H3" s="2438"/>
      <c r="I3" s="2438"/>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3466</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8"/>
      <c r="F5" s="2438"/>
      <c r="G5" s="2438"/>
      <c r="H5" s="2438"/>
      <c r="I5" s="2438"/>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7"/>
      <c r="F6" s="2438"/>
      <c r="G6" s="2438"/>
      <c r="H6" s="2438"/>
      <c r="I6" s="2438"/>
      <c r="J6" s="2244"/>
      <c r="K6" s="2397" t="str">
        <f>IF(COUNTIF(B6,"*上海银行*"),"上海银行","")</f>
        <v/>
      </c>
      <c r="L6" s="2395"/>
      <c r="M6" s="2395"/>
      <c r="N6" s="2244"/>
      <c r="O6" s="1670"/>
      <c r="P6" s="2244"/>
      <c r="Q6" s="2244"/>
      <c r="R6" s="2244"/>
    </row>
    <row r="7" spans="1:30">
      <c r="A7" s="2194" t="s">
        <v>2175</v>
      </c>
      <c r="B7" s="2198"/>
      <c r="C7" s="2196"/>
      <c r="D7" s="2197"/>
      <c r="E7" s="2437"/>
      <c r="F7" s="2438"/>
      <c r="G7" s="2438"/>
      <c r="H7" s="2438"/>
      <c r="I7" s="2438"/>
      <c r="J7" s="2244"/>
      <c r="K7" s="2398"/>
      <c r="L7" s="2395"/>
      <c r="M7" s="2395"/>
      <c r="N7" s="2244"/>
      <c r="O7" s="1670"/>
      <c r="P7" s="2244"/>
      <c r="Q7" s="2244"/>
      <c r="R7" s="2244"/>
    </row>
    <row r="8" spans="1:30">
      <c r="A8" s="2199" t="s">
        <v>2176</v>
      </c>
      <c r="B8" s="2200" t="s">
        <v>3405</v>
      </c>
      <c r="C8" s="2201"/>
      <c r="D8" s="3227" t="s">
        <v>2177</v>
      </c>
      <c r="E8" s="2202" t="s">
        <v>3406</v>
      </c>
      <c r="F8" s="2203"/>
      <c r="G8" s="2438"/>
      <c r="H8" s="2438"/>
      <c r="I8" s="2438"/>
      <c r="J8" s="2244"/>
      <c r="K8" s="2396"/>
      <c r="L8" s="2395"/>
      <c r="M8" s="2395"/>
      <c r="N8" s="2244"/>
      <c r="O8" s="1670"/>
      <c r="P8" s="2244"/>
      <c r="Q8" s="2244"/>
      <c r="R8" s="2244"/>
    </row>
    <row r="9" spans="1:30" ht="13.5" thickBot="1">
      <c r="A9" s="2204" t="s">
        <v>2178</v>
      </c>
      <c r="B9" s="2205" t="s">
        <v>3406</v>
      </c>
      <c r="C9" s="2206"/>
      <c r="D9" s="3228"/>
      <c r="E9" s="2205" t="s">
        <v>587</v>
      </c>
      <c r="F9" s="2207"/>
      <c r="G9" s="2439"/>
      <c r="H9" s="2439"/>
      <c r="I9" s="2439"/>
      <c r="J9" s="2244"/>
      <c r="K9" s="2398"/>
      <c r="L9" s="2395"/>
      <c r="M9" s="2395"/>
      <c r="N9" s="2244"/>
      <c r="O9" s="1670"/>
      <c r="P9" s="2244"/>
      <c r="Q9" s="2244"/>
      <c r="R9" s="2244"/>
    </row>
    <row r="10" spans="1:30" ht="13.5" thickTop="1">
      <c r="A10" s="2208" t="s">
        <v>2179</v>
      </c>
      <c r="B10" s="2209" t="s">
        <v>3407</v>
      </c>
      <c r="C10" s="2210"/>
      <c r="D10" s="2193"/>
      <c r="E10" s="2211" t="s">
        <v>2180</v>
      </c>
      <c r="F10" s="3149" t="s">
        <v>3409</v>
      </c>
      <c r="G10" s="2440"/>
      <c r="H10" s="2441"/>
      <c r="I10" s="2442"/>
      <c r="J10" s="2244"/>
      <c r="K10" s="2398"/>
      <c r="L10" s="2395"/>
      <c r="M10" s="2395"/>
      <c r="N10" s="2244"/>
      <c r="O10" s="1670"/>
      <c r="P10" s="2244"/>
      <c r="Q10" s="2244"/>
      <c r="R10" s="2244"/>
    </row>
    <row r="11" spans="1:30" ht="36">
      <c r="A11" s="2212" t="s">
        <v>2181</v>
      </c>
      <c r="B11" s="2213" t="s">
        <v>3408</v>
      </c>
      <c r="C11" s="3150" t="s">
        <v>3410</v>
      </c>
      <c r="D11" s="2214"/>
      <c r="E11" s="2182"/>
      <c r="F11" s="2182"/>
      <c r="G11" s="2182"/>
      <c r="H11" s="2182"/>
      <c r="I11" s="2182"/>
      <c r="J11" s="2797"/>
      <c r="K11" s="2395"/>
      <c r="L11" s="2395"/>
      <c r="M11" s="2395"/>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6" t="s">
        <v>2576</v>
      </c>
      <c r="J12" s="2798"/>
      <c r="K12" s="2395"/>
      <c r="L12" s="2395"/>
      <c r="M12" s="2244"/>
      <c r="N12" s="1670"/>
      <c r="O12" s="2244"/>
      <c r="P12" s="2244"/>
      <c r="Q12" s="2244"/>
      <c r="AD12" s="1618"/>
    </row>
    <row r="13" spans="1:30">
      <c r="A13" s="3117" t="s">
        <v>3332</v>
      </c>
      <c r="B13" s="2217" t="s">
        <v>2190</v>
      </c>
      <c r="C13" s="803"/>
      <c r="D13" s="803"/>
      <c r="E13" s="803"/>
      <c r="F13" s="803"/>
      <c r="G13" s="803"/>
      <c r="H13" s="803">
        <v>58640</v>
      </c>
      <c r="I13" s="803">
        <v>58457</v>
      </c>
      <c r="J13" s="3162" t="s">
        <v>3468</v>
      </c>
      <c r="K13" s="2395"/>
      <c r="L13" s="2395"/>
      <c r="M13" s="2244"/>
      <c r="N13" s="1670"/>
      <c r="O13" s="2244"/>
      <c r="P13" s="2244"/>
      <c r="Q13" s="2244"/>
      <c r="AD13" s="1618"/>
    </row>
    <row r="14" spans="1:30">
      <c r="A14" s="1018"/>
      <c r="B14" s="2217" t="s">
        <v>2191</v>
      </c>
      <c r="C14" s="2218"/>
      <c r="D14" s="2218"/>
      <c r="E14" s="2218"/>
      <c r="F14" s="2218"/>
      <c r="G14" s="2218"/>
      <c r="H14" s="2218">
        <v>50</v>
      </c>
      <c r="I14" s="2218">
        <v>50</v>
      </c>
      <c r="J14" s="2799"/>
      <c r="K14" s="2395"/>
      <c r="L14" s="2395"/>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35.43</v>
      </c>
      <c r="I15" s="2220">
        <f>IF(A13="出让",IF(I13="","",ROUNDDOWN(MIN((I13-$D$3)/365,I14),2)),I14)</f>
        <v>34.93</v>
      </c>
      <c r="J15" s="2800"/>
      <c r="K15" s="1670"/>
      <c r="L15" s="1670"/>
      <c r="M15" s="2244"/>
      <c r="N15" s="1670"/>
      <c r="O15" s="2244"/>
      <c r="P15" s="2244"/>
      <c r="Q15" s="2244"/>
      <c r="AD15" s="1618"/>
    </row>
    <row r="16" spans="1:30">
      <c r="A16" s="2211" t="s">
        <v>2193</v>
      </c>
      <c r="B16" s="3234" t="s">
        <v>3411</v>
      </c>
      <c r="C16" s="3235"/>
      <c r="D16" s="3236"/>
      <c r="E16" s="2221" t="s">
        <v>2194</v>
      </c>
      <c r="F16" s="3237">
        <f>H15</f>
        <v>35.43</v>
      </c>
      <c r="G16" s="3238"/>
      <c r="H16" s="3238"/>
      <c r="I16" s="3239"/>
      <c r="J16" s="2244"/>
      <c r="K16" s="2399"/>
      <c r="L16" s="1670"/>
      <c r="M16" s="1670"/>
      <c r="N16" s="2244"/>
      <c r="O16" s="1670"/>
      <c r="P16" s="2244"/>
      <c r="Q16" s="2244"/>
      <c r="R16" s="2244"/>
    </row>
    <row r="17" spans="1:28">
      <c r="A17" s="305" t="s">
        <v>2195</v>
      </c>
      <c r="B17" s="294" t="s">
        <v>2196</v>
      </c>
      <c r="C17" s="8">
        <f>'数据-汇总表'!E3</f>
        <v>1680.33</v>
      </c>
      <c r="D17" s="1256" t="s">
        <v>2197</v>
      </c>
      <c r="E17" s="3240" t="s">
        <v>2198</v>
      </c>
      <c r="F17" s="3241"/>
      <c r="G17" s="3241"/>
      <c r="H17" s="3241"/>
      <c r="I17" s="3242"/>
      <c r="J17" s="2244"/>
      <c r="K17" s="2400"/>
      <c r="L17" s="1670"/>
      <c r="M17" s="1670"/>
      <c r="N17" s="2244"/>
      <c r="O17" s="1670"/>
      <c r="P17" s="2244"/>
      <c r="Q17" s="2244"/>
      <c r="R17" s="2244"/>
      <c r="S17" s="2244"/>
      <c r="T17" s="2244"/>
      <c r="U17" s="2244"/>
      <c r="V17" s="2244"/>
    </row>
    <row r="18" spans="1:28" ht="24.75" thickBot="1">
      <c r="A18" s="2222" t="s">
        <v>2199</v>
      </c>
      <c r="B18" s="1027" t="s">
        <v>2200</v>
      </c>
      <c r="C18" s="2223">
        <f>'数据-汇总表'!D3</f>
        <v>1098.6600000000001</v>
      </c>
      <c r="D18" s="1029" t="s">
        <v>2201</v>
      </c>
      <c r="E18" s="3243" t="s">
        <v>2202</v>
      </c>
      <c r="F18" s="3244"/>
      <c r="G18" s="3244"/>
      <c r="H18" s="3244"/>
      <c r="I18" s="3245"/>
      <c r="J18" s="2244"/>
      <c r="K18" s="2400"/>
      <c r="L18" s="1670"/>
      <c r="M18" s="1670"/>
      <c r="N18" s="2244"/>
      <c r="O18" s="1670"/>
      <c r="P18" s="2244"/>
      <c r="Q18" s="2244"/>
      <c r="R18" s="2244"/>
      <c r="S18" s="2244"/>
      <c r="T18" s="2244"/>
      <c r="U18" s="2244"/>
      <c r="V18" s="2244"/>
    </row>
    <row r="19" spans="1:28" ht="39.75" thickTop="1" thickBot="1">
      <c r="A19" s="319" t="s">
        <v>1055</v>
      </c>
      <c r="B19" s="299" t="s">
        <v>2203</v>
      </c>
      <c r="C19" s="1455" t="s">
        <v>3414</v>
      </c>
      <c r="D19" s="1456" t="s">
        <v>2204</v>
      </c>
      <c r="E19" s="1457" t="s">
        <v>3427</v>
      </c>
      <c r="F19" s="1458" t="str">
        <f>IF(AND(C19="是",E19="否"),"是否提供他项权证或相关说明","")</f>
        <v>是否提供他项权证或相关说明</v>
      </c>
      <c r="G19" s="1459" t="s">
        <v>3427</v>
      </c>
      <c r="H19" s="2438"/>
      <c r="I19" s="2438"/>
      <c r="J19" s="2244"/>
      <c r="K19" s="2398"/>
      <c r="L19" s="2395"/>
      <c r="M19" s="2395"/>
      <c r="N19" s="2244"/>
      <c r="O19" s="1670"/>
      <c r="P19" s="2244"/>
      <c r="Q19" s="2244"/>
      <c r="R19" s="2244"/>
      <c r="S19" s="2244"/>
      <c r="T19" s="2244"/>
      <c r="U19" s="2244"/>
      <c r="V19" s="2244"/>
    </row>
    <row r="20" spans="1:28">
      <c r="A20" s="2413" t="s">
        <v>2205</v>
      </c>
      <c r="B20" s="3230" t="s">
        <v>2206</v>
      </c>
      <c r="C20" s="3231"/>
      <c r="D20" s="3232" t="s">
        <v>2207</v>
      </c>
      <c r="E20" s="3233"/>
      <c r="F20" s="2426" t="s">
        <v>1056</v>
      </c>
      <c r="G20" s="2438"/>
      <c r="H20" s="2438"/>
      <c r="I20" s="2438"/>
      <c r="J20" s="2244"/>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3"/>
      <c r="B21" s="2414" t="s">
        <v>2209</v>
      </c>
      <c r="C21" s="2295" t="s">
        <v>1057</v>
      </c>
      <c r="D21" s="1460" t="s">
        <v>2210</v>
      </c>
      <c r="E21" s="2415" t="s">
        <v>1057</v>
      </c>
      <c r="F21" s="2427"/>
      <c r="G21" s="2438"/>
      <c r="H21" s="2438"/>
      <c r="I21" s="2438"/>
      <c r="J21" s="2244"/>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3"/>
      <c r="B22" s="2416" t="s">
        <v>2211</v>
      </c>
      <c r="C22" s="2295" t="s">
        <v>1058</v>
      </c>
      <c r="D22" s="2438"/>
      <c r="E22" s="2438"/>
      <c r="F22" s="2438"/>
      <c r="G22" s="2438"/>
      <c r="H22" s="2438"/>
      <c r="I22" s="2438"/>
      <c r="J22" s="2244"/>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7" t="s">
        <v>2212</v>
      </c>
      <c r="B23" s="2292" t="s">
        <v>2213</v>
      </c>
      <c r="C23" s="2418"/>
      <c r="D23" s="2419" t="s">
        <v>2213</v>
      </c>
      <c r="E23" s="2420"/>
      <c r="F23" s="2438"/>
      <c r="G23" s="2438"/>
      <c r="H23" s="2438"/>
      <c r="I23" s="2438"/>
      <c r="J23" s="2244"/>
      <c r="K23" s="2397"/>
      <c r="L23" s="121"/>
      <c r="M23" s="2395"/>
      <c r="N23" s="2244"/>
      <c r="O23" s="1670"/>
      <c r="P23" s="2244"/>
      <c r="Q23" s="2244"/>
      <c r="R23" s="2244"/>
      <c r="S23" s="2244"/>
      <c r="T23" s="2244"/>
      <c r="U23" s="2244"/>
      <c r="V23" s="2244"/>
    </row>
    <row r="24" spans="1:28">
      <c r="A24" s="2417"/>
      <c r="B24" s="2292" t="s">
        <v>1059</v>
      </c>
      <c r="C24" s="2270"/>
      <c r="D24" s="2417" t="s">
        <v>1059</v>
      </c>
      <c r="E24" s="2421"/>
      <c r="F24" s="2438"/>
      <c r="G24" s="2438"/>
      <c r="H24" s="2438"/>
      <c r="I24" s="2438"/>
      <c r="J24" s="2244"/>
      <c r="K24" s="2397"/>
      <c r="L24" s="121"/>
      <c r="M24" s="2395"/>
      <c r="N24" s="2244"/>
      <c r="O24" s="1670"/>
      <c r="P24" s="2244"/>
      <c r="Q24" s="2244"/>
      <c r="R24" s="2244"/>
      <c r="S24" s="2244"/>
      <c r="T24" s="2244"/>
      <c r="U24" s="2244"/>
      <c r="V24" s="2244"/>
    </row>
    <row r="25" spans="1:28">
      <c r="A25" s="2417"/>
      <c r="B25" s="2292" t="s">
        <v>1060</v>
      </c>
      <c r="C25" s="2270"/>
      <c r="D25" s="2417" t="s">
        <v>1060</v>
      </c>
      <c r="E25" s="2421"/>
      <c r="F25" s="2438"/>
      <c r="G25" s="2438"/>
      <c r="H25" s="2438"/>
      <c r="I25" s="2438"/>
      <c r="J25" s="2244"/>
      <c r="K25" s="2398"/>
      <c r="L25" s="2395"/>
      <c r="M25" s="2395"/>
      <c r="N25" s="2244"/>
      <c r="O25" s="1670"/>
      <c r="P25" s="2244"/>
      <c r="Q25" s="2244"/>
      <c r="R25" s="2244"/>
      <c r="S25" s="2244"/>
      <c r="T25" s="2244"/>
      <c r="U25" s="2244"/>
      <c r="V25" s="2244"/>
    </row>
    <row r="26" spans="1:28" ht="13.5" thickBot="1">
      <c r="A26" s="2422"/>
      <c r="B26" s="2423" t="s">
        <v>1061</v>
      </c>
      <c r="C26" s="2424"/>
      <c r="D26" s="2422" t="s">
        <v>1061</v>
      </c>
      <c r="E26" s="2425"/>
      <c r="F26" s="2439"/>
      <c r="G26" s="2439"/>
      <c r="H26" s="2439"/>
      <c r="I26" s="2439"/>
      <c r="J26" s="2244"/>
      <c r="K26" s="2398"/>
      <c r="L26" s="2395"/>
      <c r="M26" s="2395"/>
      <c r="N26" s="2244"/>
      <c r="O26" s="1670"/>
      <c r="P26" s="2244"/>
      <c r="Q26" s="2244"/>
      <c r="R26" s="2244"/>
      <c r="S26" s="2244"/>
      <c r="T26" s="2244"/>
      <c r="U26" s="2244"/>
      <c r="V26" s="2244"/>
    </row>
    <row r="27" spans="1:28" ht="13.5" thickTop="1">
      <c r="A27" s="3218" t="s">
        <v>2214</v>
      </c>
      <c r="B27" s="312" t="s">
        <v>2215</v>
      </c>
      <c r="C27" s="2224" t="s">
        <v>3412</v>
      </c>
      <c r="D27" s="2225"/>
      <c r="E27" s="2438"/>
      <c r="F27" s="2438"/>
      <c r="G27" s="2438"/>
      <c r="H27" s="2438"/>
      <c r="I27" s="2438"/>
      <c r="J27" s="2244"/>
      <c r="K27" s="2399"/>
      <c r="L27" s="1670"/>
      <c r="M27" s="1670"/>
      <c r="N27" s="2244"/>
      <c r="O27" s="1670"/>
      <c r="P27" s="2244"/>
      <c r="Q27" s="2244"/>
      <c r="R27" s="2244"/>
      <c r="S27" s="2244"/>
      <c r="T27" s="2244"/>
      <c r="U27" s="2244"/>
      <c r="V27" s="2244"/>
    </row>
    <row r="28" spans="1:28">
      <c r="A28" s="3218"/>
      <c r="B28" s="294" t="s">
        <v>2216</v>
      </c>
      <c r="C28" s="2226"/>
      <c r="D28" s="2227"/>
      <c r="E28" s="2438"/>
      <c r="F28" s="2438"/>
      <c r="G28" s="2438"/>
      <c r="H28" s="2438"/>
      <c r="I28" s="2438"/>
      <c r="J28" s="2244"/>
      <c r="K28" s="2398"/>
      <c r="L28" s="2395"/>
      <c r="M28" s="2395"/>
      <c r="N28" s="2244"/>
      <c r="O28" s="1670"/>
      <c r="P28" s="2244"/>
      <c r="Q28" s="2244"/>
      <c r="R28" s="2244"/>
      <c r="S28" s="2244"/>
      <c r="T28" s="2244"/>
      <c r="U28" s="2244"/>
      <c r="V28" s="2244"/>
    </row>
    <row r="29" spans="1:28">
      <c r="A29" s="3218"/>
      <c r="B29" s="294" t="s">
        <v>2217</v>
      </c>
      <c r="C29" s="2228"/>
      <c r="D29" s="2229"/>
      <c r="E29" s="2438"/>
      <c r="F29" s="2438"/>
      <c r="G29" s="2438"/>
      <c r="H29" s="2438"/>
      <c r="I29" s="2438"/>
      <c r="J29" s="2244"/>
      <c r="K29" s="2398"/>
      <c r="L29" s="2395"/>
      <c r="M29" s="2395"/>
      <c r="N29" s="2244"/>
      <c r="O29" s="1670"/>
      <c r="P29" s="2244"/>
      <c r="Q29" s="2244"/>
      <c r="R29" s="2244"/>
      <c r="S29" s="2244"/>
      <c r="T29" s="2244"/>
      <c r="U29" s="2244"/>
      <c r="V29" s="2244"/>
    </row>
    <row r="30" spans="1:28">
      <c r="A30" s="3219"/>
      <c r="B30" s="294" t="s">
        <v>2218</v>
      </c>
      <c r="C30" s="3220"/>
      <c r="D30" s="3221"/>
      <c r="E30" s="2438"/>
      <c r="F30" s="2438"/>
      <c r="G30" s="2438"/>
      <c r="H30" s="2438"/>
      <c r="I30" s="2438"/>
      <c r="J30" s="2244"/>
      <c r="K30" s="2398"/>
      <c r="L30" s="2395"/>
      <c r="M30" s="2395"/>
      <c r="N30" s="2244"/>
      <c r="O30" s="1670"/>
      <c r="P30" s="2244"/>
      <c r="Q30" s="2244"/>
      <c r="R30" s="2244"/>
      <c r="S30" s="2244"/>
      <c r="T30" s="2244"/>
      <c r="U30" s="2244"/>
      <c r="V30" s="2244"/>
    </row>
    <row r="31" spans="1:28">
      <c r="A31" s="3222" t="s">
        <v>2219</v>
      </c>
      <c r="B31" s="2230" t="s">
        <v>3413</v>
      </c>
      <c r="C31" s="12" t="str">
        <f>IF(B31="现房","成新及维护状况正常否",IF(B31="在建","工程状态是否正常",IF(B31="土地","是否闲置","-")))</f>
        <v>成新及维护状况正常否</v>
      </c>
      <c r="D31" s="1281"/>
      <c r="E31" s="2231"/>
      <c r="F31" s="2438"/>
      <c r="G31" s="2438"/>
      <c r="H31" s="2438"/>
      <c r="I31" s="2438"/>
      <c r="J31" s="2244"/>
      <c r="K31" s="2397"/>
      <c r="L31" s="2395"/>
      <c r="M31" s="2395"/>
      <c r="N31" s="2244"/>
      <c r="O31" s="1670"/>
      <c r="P31" s="2244"/>
      <c r="Q31" s="2244"/>
      <c r="R31" s="2244"/>
      <c r="S31" s="2244"/>
      <c r="T31" s="2244"/>
      <c r="U31" s="2244"/>
      <c r="V31" s="2244"/>
    </row>
    <row r="32" spans="1:28">
      <c r="A32" s="3223"/>
      <c r="B32" s="2230"/>
      <c r="C32" s="12" t="str">
        <f>IF(B32="现房","成新及维护状况是否正常",IF(B32="在建","工程状态是否正常",IF(B32="土地","是否闲置","-")))</f>
        <v>-</v>
      </c>
      <c r="D32" s="1281"/>
      <c r="E32" s="2231"/>
      <c r="F32" s="2438"/>
      <c r="G32" s="2438"/>
      <c r="H32" s="2438"/>
      <c r="I32" s="2438"/>
      <c r="J32" s="2244"/>
      <c r="K32" s="2398"/>
      <c r="L32" s="2395"/>
      <c r="M32" s="2395"/>
      <c r="N32" s="2244"/>
      <c r="O32" s="1670"/>
      <c r="P32" s="2244"/>
      <c r="Q32" s="2244"/>
      <c r="R32" s="2244"/>
      <c r="S32" s="2244"/>
      <c r="T32" s="2244"/>
      <c r="U32" s="2244"/>
      <c r="V32" s="2244"/>
    </row>
    <row r="33" spans="1:30">
      <c r="A33" s="3223"/>
      <c r="B33" s="2233"/>
      <c r="C33" s="1478" t="str">
        <f>IF(B33="现房","成新及维护状况是否正常",IF(B33="在建","工程状态是否正常",IF(B33="土地","是否闲置","-")))</f>
        <v>-</v>
      </c>
      <c r="D33" s="1274"/>
      <c r="E33" s="2234"/>
      <c r="F33" s="2438"/>
      <c r="G33" s="2438"/>
      <c r="H33" s="2438"/>
      <c r="I33" s="2438"/>
      <c r="J33" s="2244"/>
      <c r="K33" s="2398"/>
      <c r="L33" s="2395"/>
      <c r="M33" s="2395"/>
      <c r="N33" s="2244"/>
      <c r="O33" s="1670"/>
      <c r="P33" s="2244"/>
      <c r="Q33" s="2244"/>
      <c r="R33" s="2244"/>
      <c r="S33" s="2244"/>
      <c r="T33" s="2244"/>
      <c r="U33" s="2244"/>
      <c r="V33" s="2244"/>
    </row>
    <row r="34" spans="1:30">
      <c r="A34" s="294" t="s">
        <v>2220</v>
      </c>
      <c r="B34" s="1870"/>
      <c r="C34" s="1870"/>
      <c r="D34" s="1870"/>
      <c r="E34" s="1870"/>
      <c r="F34" s="1870"/>
      <c r="G34" s="1870"/>
      <c r="H34" s="1870"/>
      <c r="I34" s="2438"/>
      <c r="J34" s="2244"/>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4"/>
      <c r="V34" s="2244"/>
    </row>
    <row r="35" spans="1:30">
      <c r="A35" s="2235"/>
      <c r="B35" s="3217" t="s">
        <v>2229</v>
      </c>
      <c r="C35" s="3217"/>
      <c r="D35" s="3217"/>
      <c r="E35" s="3217"/>
      <c r="F35" s="8">
        <f>C10</f>
        <v>0</v>
      </c>
      <c r="G35" s="2438"/>
      <c r="H35" s="2438"/>
      <c r="I35" s="2438"/>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4"/>
      <c r="V35" s="2244"/>
    </row>
    <row r="36" spans="1:30">
      <c r="A36" s="2183"/>
      <c r="B36" s="8" t="s">
        <v>2185</v>
      </c>
      <c r="C36" s="8" t="s">
        <v>2186</v>
      </c>
      <c r="D36" s="8" t="s">
        <v>2184</v>
      </c>
      <c r="E36" s="8" t="s">
        <v>2189</v>
      </c>
      <c r="F36" s="2796" t="s">
        <v>2579</v>
      </c>
      <c r="G36" s="2438"/>
      <c r="H36" s="2438"/>
      <c r="I36" s="2438"/>
      <c r="J36" s="2244"/>
      <c r="K36" s="2398"/>
      <c r="L36" s="2395"/>
      <c r="M36" s="2395"/>
      <c r="N36" s="2244"/>
      <c r="O36" s="1670"/>
      <c r="P36" s="2244"/>
      <c r="Q36" s="2244"/>
      <c r="R36" s="2244"/>
      <c r="S36" s="2244"/>
      <c r="T36" s="2244"/>
      <c r="U36" s="2244"/>
      <c r="V36" s="2244"/>
    </row>
    <row r="37" spans="1:30">
      <c r="A37" s="2411" t="s">
        <v>2230</v>
      </c>
      <c r="B37" s="2236"/>
      <c r="C37" s="2236"/>
      <c r="D37" s="2236"/>
      <c r="E37" s="2236" t="s">
        <v>305</v>
      </c>
      <c r="F37" s="2236"/>
      <c r="G37" s="2438"/>
      <c r="H37" s="2438"/>
      <c r="I37" s="2438"/>
      <c r="J37" s="2244"/>
      <c r="K37" s="2398"/>
      <c r="L37" s="2395"/>
      <c r="M37" s="2395"/>
      <c r="N37" s="2244"/>
      <c r="O37" s="1670"/>
      <c r="P37" s="2244"/>
      <c r="Q37" s="2244"/>
      <c r="R37" s="2244"/>
      <c r="S37" s="2244"/>
      <c r="T37" s="2244"/>
      <c r="U37" s="2244"/>
      <c r="V37" s="2244"/>
    </row>
    <row r="38" spans="1:30" ht="13.5" thickBot="1">
      <c r="A38" s="2412" t="s">
        <v>2231</v>
      </c>
      <c r="B38" s="2237"/>
      <c r="C38" s="2237"/>
      <c r="D38" s="2237"/>
      <c r="E38" s="2237" t="s">
        <v>3422</v>
      </c>
      <c r="F38" s="2237"/>
      <c r="G38" s="2439"/>
      <c r="H38" s="2439"/>
      <c r="I38" s="2439"/>
      <c r="J38" s="2244"/>
      <c r="K38" s="2398"/>
      <c r="L38" s="2395"/>
      <c r="M38" s="2395"/>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2"/>
      <c r="B40" s="2182"/>
      <c r="C40" s="2182"/>
      <c r="D40" s="2182"/>
      <c r="E40" s="2182"/>
      <c r="F40" s="2182"/>
      <c r="G40" s="2182"/>
      <c r="H40" s="2182"/>
      <c r="I40" s="1466"/>
      <c r="J40" s="2244"/>
      <c r="K40" s="2397"/>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8"/>
      <c r="L41" s="2395"/>
      <c r="M41" s="2395"/>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1098.6600000000001</v>
      </c>
      <c r="B3" s="11">
        <f>IF(C3="否",G5-AT5,G5)</f>
        <v>1680.33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3414</v>
      </c>
      <c r="E13" s="13">
        <f>IF($C$3="是",ROUND($A$3*G13/$B$3,2),ROUND($A$3*(G13-AT13)/$B$3,2))</f>
        <v>1098.6600000000001</v>
      </c>
      <c r="F13" s="29"/>
      <c r="G13" s="30">
        <f>H13+AC13+AT13</f>
        <v>1680.33</v>
      </c>
      <c r="H13" s="17">
        <f>SUMIF(I$12:AB$12,"总值",I13:AB13)</f>
        <v>1680.33</v>
      </c>
      <c r="I13" s="1514">
        <v>1680.33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5"/>
      <c r="G2" s="2428"/>
      <c r="H2" s="2429"/>
      <c r="I2" s="2146" t="s">
        <v>1132</v>
      </c>
      <c r="J2" s="2435"/>
      <c r="K2" s="2435"/>
      <c r="L2" s="2435"/>
      <c r="M2" s="2435"/>
      <c r="N2" s="2436"/>
      <c r="O2" s="2435"/>
      <c r="P2" s="2435"/>
    </row>
    <row r="3" spans="1:16" ht="15.75" thickBot="1">
      <c r="A3" s="3256" t="s">
        <v>1105</v>
      </c>
      <c r="B3" s="3256"/>
      <c r="C3" s="3256"/>
      <c r="D3" s="41">
        <f>'数据-基础表'!AY6</f>
        <v>1098.6600000000001</v>
      </c>
      <c r="E3" s="41">
        <f>'数据-基础表'!AZ5</f>
        <v>1680.33</v>
      </c>
      <c r="F3" s="2435"/>
      <c r="G3" s="42"/>
      <c r="H3" s="43" t="s">
        <v>1106</v>
      </c>
      <c r="I3" s="802">
        <f>ROUND('数据-基础表'!B3/'数据-基础表'!A3,2)</f>
        <v>1.53</v>
      </c>
      <c r="J3" s="2435"/>
      <c r="K3" s="2435"/>
      <c r="L3" s="2435"/>
      <c r="M3" s="2435"/>
      <c r="N3" s="2436"/>
      <c r="O3" s="2435"/>
      <c r="P3" s="2435"/>
    </row>
    <row r="4" spans="1:16" ht="15">
      <c r="A4" s="3257"/>
      <c r="B4" s="3258"/>
      <c r="C4" s="3259"/>
      <c r="D4" s="1524" t="s">
        <v>1107</v>
      </c>
      <c r="E4" s="1525" t="s">
        <v>1108</v>
      </c>
      <c r="F4" s="2435"/>
      <c r="G4" s="2430" t="s">
        <v>1133</v>
      </c>
      <c r="H4" s="43" t="s">
        <v>1113</v>
      </c>
      <c r="I4" s="802">
        <f>ROUND(SUMIF('数据-基础表'!I9:AS9,"地上",'数据-基础表'!I5:AS5)/'数据-基础表'!A3,2)</f>
        <v>1.53</v>
      </c>
      <c r="J4" s="2435"/>
      <c r="K4" s="2435"/>
      <c r="L4" s="2435"/>
      <c r="M4" s="2435"/>
      <c r="N4" s="2436"/>
      <c r="O4" s="2435"/>
      <c r="P4" s="2435"/>
    </row>
    <row r="5" spans="1:16">
      <c r="A5" s="42" t="s">
        <v>1109</v>
      </c>
      <c r="B5" s="3260" t="s">
        <v>1110</v>
      </c>
      <c r="C5" s="3260"/>
      <c r="D5" s="43">
        <f>ROUND($D$3*E5/$E$3,2)</f>
        <v>0</v>
      </c>
      <c r="E5" s="44">
        <f>SUMIF('数据-基础表'!$11:$11,"住宅",'数据-基础表'!$5:$5)</f>
        <v>0</v>
      </c>
      <c r="F5" s="2435"/>
      <c r="G5" s="42"/>
      <c r="H5" s="43" t="s">
        <v>1106</v>
      </c>
      <c r="I5" s="802">
        <f>ROUND(E31/D31,2)</f>
        <v>1.53</v>
      </c>
      <c r="J5" s="2435"/>
      <c r="K5" s="2435"/>
      <c r="L5" s="2435"/>
      <c r="M5" s="2435"/>
      <c r="N5" s="2435"/>
      <c r="O5" s="2435"/>
      <c r="P5" s="2435"/>
    </row>
    <row r="6" spans="1:16" ht="15" thickBot="1">
      <c r="A6" s="1527"/>
      <c r="B6" s="3260" t="s">
        <v>1111</v>
      </c>
      <c r="C6" s="3260"/>
      <c r="D6" s="43">
        <f>ROUND($D$3*E6/$E$3,2)</f>
        <v>1098.6600000000001</v>
      </c>
      <c r="E6" s="44">
        <f>E3-E5</f>
        <v>1680.33</v>
      </c>
      <c r="F6" s="2435"/>
      <c r="G6" s="1529" t="s">
        <v>1112</v>
      </c>
      <c r="H6" s="45" t="s">
        <v>1113</v>
      </c>
      <c r="I6" s="2431">
        <f>ROUND(F31/D31,2)</f>
        <v>1.53</v>
      </c>
      <c r="J6" s="2435"/>
      <c r="K6" s="2435"/>
      <c r="L6" s="2435"/>
      <c r="M6" s="2435"/>
      <c r="N6" s="2435"/>
      <c r="O6" s="2435"/>
      <c r="P6" s="2435"/>
    </row>
    <row r="7" spans="1:16" ht="15.75" thickBot="1">
      <c r="A7" s="3252"/>
      <c r="B7" s="3253"/>
      <c r="C7" s="3254"/>
      <c r="D7" s="1524" t="s">
        <v>1107</v>
      </c>
      <c r="E7" s="1528" t="s">
        <v>1114</v>
      </c>
      <c r="F7" s="2435"/>
      <c r="G7" s="2432" t="s">
        <v>1115</v>
      </c>
      <c r="H7" s="95"/>
      <c r="I7" s="2433">
        <v>1.5</v>
      </c>
      <c r="J7" s="2435"/>
      <c r="K7" s="2435"/>
      <c r="L7" s="2435"/>
      <c r="M7" s="2435"/>
      <c r="N7" s="2435"/>
      <c r="O7" s="2435"/>
      <c r="P7" s="2435"/>
    </row>
    <row r="8" spans="1:16">
      <c r="A8" s="42" t="s">
        <v>1116</v>
      </c>
      <c r="B8" s="45" t="s">
        <v>1117</v>
      </c>
      <c r="C8" s="43" t="s">
        <v>1118</v>
      </c>
      <c r="D8" s="43">
        <f t="shared" ref="D8:D15" si="0">ROUND($D$3*E8/$E$3,2)</f>
        <v>1098.6600000000001</v>
      </c>
      <c r="E8" s="46">
        <f>SUMIF('数据-基础表'!BB10:BK10,"地上",'数据-基础表'!BB5:BK5)</f>
        <v>1680.33</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1098.6600000000001</v>
      </c>
      <c r="E16" s="48">
        <f>SUM(E8:E15)</f>
        <v>1680.33</v>
      </c>
      <c r="F16" s="2435"/>
      <c r="G16" s="2435"/>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3416</v>
      </c>
      <c r="D19" s="43">
        <f>ROUND($D$3*E19/$E$3,2)</f>
        <v>1098.6600000000001</v>
      </c>
      <c r="E19" s="51">
        <f t="shared" ref="E19:E26" si="1">SUM(F19:G19)</f>
        <v>1680.33</v>
      </c>
      <c r="F19" s="2553">
        <f>'数据-基础表'!G13</f>
        <v>1680.33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1098.6600000000001</v>
      </c>
      <c r="S19" s="51">
        <f t="shared" si="5"/>
        <v>1680.33</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1098.6600000000001</v>
      </c>
      <c r="E27" s="1073">
        <f>IF(SUM(E19:E26)='数据-基础表'!BA5,SUM(E19:E26),IF(F27="地上面积有误","面积有误","地下面积有误"))</f>
        <v>1680.33</v>
      </c>
      <c r="F27" s="1072">
        <f>IF(SUM(F19:F26)=E8,SUM(F19:F26),"地上面积有误")</f>
        <v>1680.33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1098.6600000000001</v>
      </c>
      <c r="S27" s="43">
        <f>IF(SUM(S19:S26)=$E$3,SUM(S19:S26),SUM(S19:S26)&amp;"误差"&amp;ROUND(SUM(S19:S26)-E3,2))</f>
        <v>1680.33</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1098.6600000000001</v>
      </c>
      <c r="E31" s="643">
        <f>E27+E30</f>
        <v>1680.33</v>
      </c>
      <c r="F31" s="644">
        <f>F27+F30</f>
        <v>1680.33</v>
      </c>
      <c r="G31" s="645">
        <f>G27+G30</f>
        <v>0</v>
      </c>
      <c r="H31" s="2435"/>
      <c r="I31" s="2435"/>
      <c r="J31" s="2435"/>
      <c r="K31" s="2435"/>
      <c r="L31" s="2435"/>
      <c r="M31" s="2435"/>
      <c r="N31" s="2435"/>
      <c r="O31" s="2435"/>
      <c r="P31" s="2435"/>
    </row>
    <row r="32" spans="1:19">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35.43</v>
      </c>
      <c r="G6" s="62">
        <f>IF(ISERROR(ROUND(POWER(1+H6,D6-F6)*(POWER(1+H6,F6)-1)/(POWER(1+H6,D6)-1),3)),0,ROUND(POWER(1+H6,D6-F6)*(POWER(1+H6,F6)-1)/(POWER(1+H6,D6)-1),3))</f>
        <v>0.90100000000000002</v>
      </c>
      <c r="H6" s="691">
        <v>0.05</v>
      </c>
      <c r="I6" s="691">
        <v>5.5E-2</v>
      </c>
      <c r="J6" s="63">
        <v>7.0000000000000007E-2</v>
      </c>
      <c r="K6" s="970">
        <f>SUMIF('数据-汇总表'!C$19:C$33,A6,'数据-汇总表'!E$19:E$33)</f>
        <v>1680.33</v>
      </c>
      <c r="L6" s="692">
        <v>3500</v>
      </c>
      <c r="M6" s="64">
        <f t="shared" ref="M6:M14" si="0">ROUND(K6*L6/10000,0)</f>
        <v>588</v>
      </c>
      <c r="N6" s="690">
        <f>N19</f>
        <v>0.78</v>
      </c>
      <c r="O6" s="64" t="str">
        <f>IF($N$5="成新度","——",ROUND(M6*N6,0))</f>
        <v>——</v>
      </c>
      <c r="P6" s="65" t="str">
        <f>IF($N$5="成新度","——",M6-O6)</f>
        <v>——</v>
      </c>
      <c r="Q6" s="693">
        <v>0.1</v>
      </c>
      <c r="R6" s="66">
        <f ca="1">SUMIF('数据-汇总表'!C$19:C$33,A6,'数据-汇总表'!R$19:R$27)</f>
        <v>1098.6600000000001</v>
      </c>
      <c r="S6" s="49">
        <f>IF('数据-汇总表'!$I$17="按面积比例",SUMIF('数据-汇总表'!C$19:C$33,A6,'数据-汇总表'!K$19:K$33),SUMIF('数据-汇总表'!C$19:C$33,A6,'数据-汇总表'!N$19:N$33))</f>
        <v>0</v>
      </c>
      <c r="T6" s="1092">
        <f>ROUND($L$14*S6/10000,0)</f>
        <v>0</v>
      </c>
      <c r="U6" s="3122">
        <v>2</v>
      </c>
      <c r="V6" s="67">
        <v>0.02</v>
      </c>
      <c r="W6" s="67">
        <v>0.1</v>
      </c>
      <c r="X6" s="979"/>
      <c r="Y6" s="68">
        <f>N6</f>
        <v>0.78</v>
      </c>
      <c r="Z6" s="69"/>
      <c r="AA6" s="63"/>
      <c r="AB6" s="63"/>
      <c r="AC6" s="979"/>
      <c r="AD6" s="70"/>
      <c r="AE6" s="980">
        <f ca="1">IF(AN6="",0,SUMIF(INDIRECT("'"&amp;AN6&amp;"'"&amp;"!E:E"),$AE$5,INDIRECT("'"&amp;AN6&amp;"'"&amp;"!F:F")))</f>
        <v>35.43</v>
      </c>
      <c r="AF6" s="74"/>
      <c r="AG6" s="130">
        <f>IF(AF6="",0,AE6-AF6)</f>
        <v>0</v>
      </c>
      <c r="AH6" s="71"/>
      <c r="AI6" s="73">
        <v>365</v>
      </c>
      <c r="AJ6" s="74"/>
      <c r="AK6" s="75">
        <v>3.0000000000000001E-3</v>
      </c>
      <c r="AL6" s="76">
        <v>1E-3</v>
      </c>
      <c r="AM6" s="77">
        <v>1.2999999999999999E-2</v>
      </c>
      <c r="AN6" s="1589" t="s">
        <v>3421</v>
      </c>
      <c r="AO6" s="50">
        <f ca="1">SUMIF(INDIRECT("'"&amp;AN6&amp;"'"&amp;"!A:A"),"总价",INDIRECT("'"&amp;AN6&amp;"'"&amp;"!B:B"))</f>
        <v>1767.4554000000001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0.90100000000000002</v>
      </c>
      <c r="H16" s="84">
        <f>ROUND(SUMPRODUCT(H6:H13,K6:K13)/SUMPRODUCT((H6:H13&gt;0)*(K6:K13)),3)</f>
        <v>0.05</v>
      </c>
      <c r="I16" s="85"/>
      <c r="J16" s="85"/>
      <c r="K16" s="86">
        <f>SUM(K6:K15)</f>
        <v>1680.33</v>
      </c>
      <c r="L16" s="87">
        <f>ROUND(M16*10000/SUM(K6:K14),0)</f>
        <v>3499</v>
      </c>
      <c r="M16" s="87">
        <f>SUM(M6:M14)</f>
        <v>588</v>
      </c>
      <c r="N16" s="88">
        <f>ROUND(SUMPRODUCT(M6:M14,N6:N14)/M16,3)</f>
        <v>0.78</v>
      </c>
      <c r="O16" s="87">
        <f>SUM(O6:O14)</f>
        <v>0</v>
      </c>
      <c r="P16" s="87">
        <f>SUM(P6:P14)</f>
        <v>0</v>
      </c>
      <c r="Q16" s="89">
        <f>ROUND(SUMPRODUCT(Q6:Q13,K6:K13)/SUMPRODUCT((Q6:Q13&gt;0)*(K6:K13)),2)</f>
        <v>0.1</v>
      </c>
      <c r="R16" s="974">
        <f ca="1">SUM(R6:R13)</f>
        <v>1098.6600000000001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3418</v>
      </c>
      <c r="N18" s="2444">
        <v>2012</v>
      </c>
      <c r="O18" s="3151" t="s">
        <v>3419</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1211</v>
      </c>
      <c r="B19" s="97">
        <v>0</v>
      </c>
      <c r="C19" s="2556" t="s">
        <v>2302</v>
      </c>
      <c r="D19" s="2447"/>
      <c r="E19" s="2435"/>
      <c r="F19" s="2435"/>
      <c r="G19" s="2435"/>
      <c r="H19" s="2435"/>
      <c r="I19" s="2435"/>
      <c r="J19" s="2435"/>
      <c r="K19" s="2445"/>
      <c r="L19" s="2445"/>
      <c r="M19" s="3151" t="s">
        <v>3420</v>
      </c>
      <c r="N19" s="2444">
        <f>ROUND(1-(1-0)*(2025-N18)/60,2)</f>
        <v>0.78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1212</v>
      </c>
      <c r="B20" s="98">
        <v>1.5</v>
      </c>
      <c r="C20" s="2557" t="s">
        <v>2300</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1213</v>
      </c>
      <c r="B21" s="98">
        <f>B20</f>
        <v>1.5</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1214</v>
      </c>
      <c r="B22" s="99">
        <f>B19+B20</f>
        <v>1.5</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1215</v>
      </c>
      <c r="B23" s="99">
        <f>B19+B21</f>
        <v>1.5</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1220</v>
      </c>
      <c r="B27" s="101">
        <v>160</v>
      </c>
      <c r="C27" s="2558" t="s">
        <v>2304</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1222</v>
      </c>
      <c r="B29" s="105"/>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1226</v>
      </c>
      <c r="B33" s="640">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1230</v>
      </c>
      <c r="B37" s="108">
        <v>0.02</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2310</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1236</v>
      </c>
      <c r="B44" s="112">
        <v>0.05</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1237</v>
      </c>
      <c r="B45" s="110">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1238</v>
      </c>
      <c r="B46" s="110">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1240</v>
      </c>
      <c r="B48" s="114">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1245</v>
      </c>
      <c r="B53" s="1611" t="s">
        <v>29</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1" t="s">
        <v>2286</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1680.33</v>
      </c>
      <c r="C1" s="2457"/>
      <c r="D1" s="2457"/>
      <c r="E1" s="2457"/>
      <c r="F1" s="2457"/>
      <c r="G1" s="2458"/>
      <c r="H1" s="2458"/>
      <c r="I1" s="2458"/>
      <c r="J1" s="2458"/>
      <c r="K1" s="2458"/>
    </row>
    <row r="2" spans="1:11" ht="16.5">
      <c r="A2" s="2299" t="s">
        <v>653</v>
      </c>
      <c r="B2" s="2299">
        <f>SUM(C14:C23)</f>
        <v>0</v>
      </c>
      <c r="C2" s="2457"/>
      <c r="D2" s="2457"/>
      <c r="E2" s="2457"/>
      <c r="F2" s="2457"/>
      <c r="G2" s="2458"/>
      <c r="H2" s="2458"/>
      <c r="I2" s="2458"/>
      <c r="J2" s="2458"/>
      <c r="K2" s="2458"/>
    </row>
    <row r="3" spans="1:11" ht="16.5">
      <c r="A3" s="2299" t="s">
        <v>662</v>
      </c>
      <c r="B3" s="2301">
        <f>项目基本情况!D3</f>
        <v>45705</v>
      </c>
      <c r="C3" s="2457"/>
      <c r="D3" s="2457"/>
      <c r="E3" s="2457"/>
      <c r="F3" s="2457"/>
      <c r="G3" s="2458"/>
      <c r="H3" s="2458"/>
      <c r="I3" s="2458"/>
      <c r="J3" s="2458"/>
      <c r="K3" s="2458"/>
    </row>
    <row r="4" spans="1:11" ht="33">
      <c r="A4" s="2299" t="s">
        <v>661</v>
      </c>
      <c r="B4" s="2299" t="s">
        <v>660</v>
      </c>
      <c r="C4" s="2299" t="s">
        <v>659</v>
      </c>
      <c r="D4" s="2299" t="s">
        <v>658</v>
      </c>
      <c r="E4" s="2457"/>
      <c r="F4" s="2458"/>
      <c r="G4" s="2458"/>
      <c r="H4" s="2458"/>
      <c r="I4" s="2458"/>
      <c r="J4" s="2458"/>
      <c r="K4" s="2458"/>
    </row>
    <row r="5" spans="1:11" ht="16.5">
      <c r="A5" s="2299" t="s">
        <v>657</v>
      </c>
      <c r="B5" s="2299">
        <f ca="1">SUM(D14:D23)</f>
        <v>2860.4258</v>
      </c>
      <c r="C5" s="2299">
        <f ca="1">IF(B5=D14,结果表!H102,ROUND(B5*10000/$B$1,0))</f>
        <v>17023</v>
      </c>
      <c r="D5" s="2299" t="e">
        <f ca="1">ROUND(B5*10000/$B$2,0)</f>
        <v>#DIV/0!</v>
      </c>
      <c r="E5" s="2457"/>
      <c r="F5" s="2458"/>
      <c r="G5" s="2458"/>
      <c r="H5" s="2458"/>
      <c r="I5" s="2458"/>
      <c r="J5" s="2458"/>
      <c r="K5" s="2458"/>
    </row>
    <row r="6" spans="1:11" ht="16.5">
      <c r="A6" s="2299" t="s">
        <v>656</v>
      </c>
      <c r="B6" s="2299">
        <f ca="1">SUM(G14:G23)</f>
        <v>2860.4258</v>
      </c>
      <c r="C6" s="2299">
        <f ca="1">IF(B6=G14,结果表!H108,ROUND(B6*10000/$B$1,0))</f>
        <v>17023</v>
      </c>
      <c r="D6" s="2299" t="e">
        <f ca="1">ROUND(B6*10000/$B$2,0)</f>
        <v>#DIV/0!</v>
      </c>
      <c r="E6" s="2457"/>
      <c r="F6" s="2458"/>
      <c r="G6" s="2458"/>
      <c r="H6" s="2458"/>
      <c r="I6" s="2458"/>
      <c r="J6" s="2458"/>
      <c r="K6" s="2458"/>
    </row>
    <row r="7" spans="1:11" ht="16.5">
      <c r="A7" s="2299" t="s">
        <v>664</v>
      </c>
      <c r="B7" s="2299">
        <f>SUM(H14:H23)</f>
        <v>0</v>
      </c>
      <c r="C7" s="2299" t="str">
        <f>IF(B7=H14,结果表!H110,ROUND(B7*10000/$B$1,0))</f>
        <v>——</v>
      </c>
      <c r="D7" s="2299" t="e">
        <f>ROUND(B7*10000/$B$2,0)</f>
        <v>#DIV/0!</v>
      </c>
      <c r="E7" s="2457"/>
      <c r="F7" s="2458"/>
      <c r="G7" s="2458"/>
      <c r="H7" s="2458"/>
      <c r="I7" s="2458"/>
      <c r="J7" s="2458"/>
      <c r="K7" s="2458"/>
    </row>
    <row r="8" spans="1:11" ht="16.5">
      <c r="A8" s="2299" t="s">
        <v>587</v>
      </c>
      <c r="B8" s="2299">
        <f ca="1">SUM(I14:I23)</f>
        <v>2357.9180000000001</v>
      </c>
      <c r="C8" s="2299">
        <f ca="1">IF(B8=I14,结果表!H112,ROUND(B8*10000/$B$1,0))</f>
        <v>14032</v>
      </c>
      <c r="D8" s="2299" t="e">
        <f ca="1">ROUND(B8*10000/$B$2,0)</f>
        <v>#DIV/0!</v>
      </c>
      <c r="E8" s="2457"/>
      <c r="F8" s="2458"/>
      <c r="G8" s="2458"/>
      <c r="H8" s="2458"/>
      <c r="I8" s="2458"/>
      <c r="J8" s="2458"/>
      <c r="K8" s="2458"/>
    </row>
    <row r="9" spans="1:11" ht="16.5">
      <c r="A9" s="2299" t="s">
        <v>655</v>
      </c>
      <c r="B9" s="1244"/>
      <c r="C9" s="2457"/>
      <c r="D9" s="2457"/>
      <c r="E9" s="2457"/>
      <c r="F9" s="2458"/>
      <c r="G9" s="2458"/>
      <c r="H9" s="2458"/>
      <c r="I9" s="2458"/>
      <c r="J9" s="2458"/>
      <c r="K9" s="2458"/>
    </row>
    <row r="10" spans="1:11" ht="16.5">
      <c r="A10" s="2299" t="s">
        <v>654</v>
      </c>
      <c r="B10" s="2299">
        <f>IF(E10="",0,ROUND(B1*(E10*365/G10)/10000,0))</f>
        <v>0</v>
      </c>
      <c r="C10" s="2299" t="s">
        <v>3356</v>
      </c>
      <c r="D10" s="2299" t="s">
        <v>3357</v>
      </c>
      <c r="E10" s="3132"/>
      <c r="F10" s="3136" t="s">
        <v>3358</v>
      </c>
      <c r="G10" s="3133"/>
      <c r="H10" s="2458"/>
      <c r="I10" s="2458"/>
      <c r="J10" s="2458"/>
      <c r="K10" s="2458"/>
    </row>
    <row r="11" spans="1:11" ht="16.5">
      <c r="A11" s="2299"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2" t="s">
        <v>669</v>
      </c>
      <c r="B13" s="2303" t="s">
        <v>666</v>
      </c>
      <c r="C13" s="2303" t="s">
        <v>668</v>
      </c>
      <c r="D13" s="2303" t="s">
        <v>667</v>
      </c>
      <c r="E13" s="2299" t="s">
        <v>659</v>
      </c>
      <c r="F13" s="2299" t="s">
        <v>658</v>
      </c>
      <c r="G13" s="2303" t="s">
        <v>652</v>
      </c>
      <c r="H13" s="2303" t="s">
        <v>663</v>
      </c>
      <c r="I13" s="2303" t="s">
        <v>651</v>
      </c>
      <c r="J13" s="2458"/>
      <c r="K13" s="2458"/>
    </row>
    <row r="14" spans="1:11" ht="16.5">
      <c r="A14" s="2304" t="s">
        <v>650</v>
      </c>
      <c r="B14" s="2305">
        <f>'数据-汇总表'!E19</f>
        <v>1680.33</v>
      </c>
      <c r="C14" s="2305"/>
      <c r="D14" s="2305">
        <f ca="1">结果表!H101</f>
        <v>2860.4258</v>
      </c>
      <c r="E14" s="2305">
        <f ca="1">结果表!H102</f>
        <v>17023</v>
      </c>
      <c r="F14" s="2305" t="e">
        <f ca="1">ROUND(D14*10000/C14,0)</f>
        <v>#DIV/0!</v>
      </c>
      <c r="G14" s="2305">
        <f ca="1">结果表!H107</f>
        <v>2860.4258</v>
      </c>
      <c r="H14" s="2305"/>
      <c r="I14" s="2305">
        <f ca="1">结果表!H111</f>
        <v>2357.9180000000001</v>
      </c>
      <c r="J14" s="2458"/>
      <c r="K14" s="2458"/>
    </row>
    <row r="15" spans="1:11" ht="16.5">
      <c r="A15" s="2304" t="s">
        <v>649</v>
      </c>
      <c r="B15" s="2306"/>
      <c r="C15" s="2306"/>
      <c r="D15" s="2306"/>
      <c r="E15" s="2305" t="e">
        <f t="shared" ref="E15:E23" si="0">ROUND(D15*10000/B15,0)</f>
        <v>#DIV/0!</v>
      </c>
      <c r="F15" s="2305" t="e">
        <f t="shared" ref="F15:F23" si="1">ROUND(D15*10000/C15,0)</f>
        <v>#DIV/0!</v>
      </c>
      <c r="G15" s="1244"/>
      <c r="H15" s="1244"/>
      <c r="I15" s="2306"/>
      <c r="J15" s="2458"/>
      <c r="K15" s="2458"/>
    </row>
    <row r="16" spans="1:11" ht="16.5">
      <c r="A16" s="2304" t="s">
        <v>648</v>
      </c>
      <c r="B16" s="2306"/>
      <c r="C16" s="2306"/>
      <c r="D16" s="2306"/>
      <c r="E16" s="2305" t="e">
        <f t="shared" si="0"/>
        <v>#DIV/0!</v>
      </c>
      <c r="F16" s="2305" t="e">
        <f t="shared" si="1"/>
        <v>#DIV/0!</v>
      </c>
      <c r="G16" s="1244"/>
      <c r="H16" s="1244"/>
      <c r="I16" s="2306"/>
      <c r="J16" s="2458"/>
      <c r="K16" s="2458"/>
    </row>
    <row r="17" spans="1:11" ht="16.5">
      <c r="A17" s="2304" t="s">
        <v>647</v>
      </c>
      <c r="B17" s="2306"/>
      <c r="C17" s="2306"/>
      <c r="D17" s="2306"/>
      <c r="E17" s="2305" t="e">
        <f t="shared" si="0"/>
        <v>#DIV/0!</v>
      </c>
      <c r="F17" s="2305" t="e">
        <f t="shared" si="1"/>
        <v>#DIV/0!</v>
      </c>
      <c r="G17" s="1244"/>
      <c r="H17" s="1244"/>
      <c r="I17" s="2306"/>
      <c r="J17" s="2458"/>
      <c r="K17" s="2458"/>
    </row>
    <row r="18" spans="1:11" ht="16.5">
      <c r="A18" s="2304" t="s">
        <v>646</v>
      </c>
      <c r="B18" s="2306"/>
      <c r="C18" s="2306"/>
      <c r="D18" s="2306"/>
      <c r="E18" s="2305" t="e">
        <f t="shared" si="0"/>
        <v>#DIV/0!</v>
      </c>
      <c r="F18" s="2305" t="e">
        <f t="shared" si="1"/>
        <v>#DIV/0!</v>
      </c>
      <c r="G18" s="2306"/>
      <c r="H18" s="2306"/>
      <c r="I18" s="2306"/>
      <c r="J18" s="2458"/>
      <c r="K18" s="2458"/>
    </row>
    <row r="19" spans="1:11" ht="16.5">
      <c r="A19" s="2304" t="s">
        <v>645</v>
      </c>
      <c r="B19" s="2306"/>
      <c r="C19" s="2306"/>
      <c r="D19" s="2306"/>
      <c r="E19" s="2305" t="e">
        <f t="shared" si="0"/>
        <v>#DIV/0!</v>
      </c>
      <c r="F19" s="2305" t="e">
        <f t="shared" si="1"/>
        <v>#DIV/0!</v>
      </c>
      <c r="G19" s="2306"/>
      <c r="H19" s="2306"/>
      <c r="I19" s="2306"/>
      <c r="J19" s="2458"/>
      <c r="K19" s="2458"/>
    </row>
    <row r="20" spans="1:11" ht="16.5">
      <c r="A20" s="2304" t="s">
        <v>644</v>
      </c>
      <c r="B20" s="2306"/>
      <c r="C20" s="2306"/>
      <c r="D20" s="2306"/>
      <c r="E20" s="2305" t="e">
        <f t="shared" si="0"/>
        <v>#DIV/0!</v>
      </c>
      <c r="F20" s="2305" t="e">
        <f t="shared" si="1"/>
        <v>#DIV/0!</v>
      </c>
      <c r="G20" s="2306"/>
      <c r="H20" s="2306"/>
      <c r="I20" s="2306"/>
      <c r="J20" s="2458"/>
      <c r="K20" s="2458"/>
    </row>
    <row r="21" spans="1:11" ht="16.5">
      <c r="A21" s="2304" t="s">
        <v>643</v>
      </c>
      <c r="B21" s="2306"/>
      <c r="C21" s="2306"/>
      <c r="D21" s="2306"/>
      <c r="E21" s="2305" t="e">
        <f t="shared" si="0"/>
        <v>#DIV/0!</v>
      </c>
      <c r="F21" s="2305" t="e">
        <f t="shared" si="1"/>
        <v>#DIV/0!</v>
      </c>
      <c r="G21" s="2306"/>
      <c r="H21" s="2306"/>
      <c r="I21" s="2306"/>
      <c r="J21" s="2458"/>
      <c r="K21" s="2458"/>
    </row>
    <row r="22" spans="1:11" ht="16.5">
      <c r="A22" s="2304" t="s">
        <v>642</v>
      </c>
      <c r="B22" s="2306"/>
      <c r="C22" s="2306"/>
      <c r="D22" s="2306"/>
      <c r="E22" s="2305" t="e">
        <f t="shared" si="0"/>
        <v>#DIV/0!</v>
      </c>
      <c r="F22" s="2305" t="e">
        <f t="shared" si="1"/>
        <v>#DIV/0!</v>
      </c>
      <c r="G22" s="2306"/>
      <c r="H22" s="2306"/>
      <c r="I22" s="2306"/>
      <c r="J22" s="2458"/>
      <c r="K22" s="2458"/>
    </row>
    <row r="23" spans="1:11" ht="16.5">
      <c r="A23" s="2304" t="s">
        <v>641</v>
      </c>
      <c r="B23" s="2306"/>
      <c r="C23" s="2306"/>
      <c r="D23" s="2306"/>
      <c r="E23" s="1244" t="e">
        <f t="shared" si="0"/>
        <v>#DIV/0!</v>
      </c>
      <c r="F23" s="1244" t="e">
        <f t="shared" si="1"/>
        <v>#DIV/0!</v>
      </c>
      <c r="G23" s="2306"/>
      <c r="H23" s="2306"/>
      <c r="I23" s="2306"/>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110" zoomScaleNormal="100" zoomScaleSheetLayoutView="110" zoomScalePageLayoutView="80" workbookViewId="0">
      <selection activeCell="D56" sqref="D5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北京市昌平区何营路8号院22号楼1至5层101房地产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3461</v>
      </c>
      <c r="D4" s="1626" t="s">
        <v>3421</v>
      </c>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7</v>
      </c>
      <c r="D14" s="3300">
        <v>3</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7" t="s">
        <v>2131</v>
      </c>
      <c r="F18" s="3288"/>
      <c r="G18" s="3288"/>
      <c r="H18" s="3288"/>
      <c r="I18" s="3288"/>
      <c r="K18" s="294" t="s">
        <v>1289</v>
      </c>
      <c r="L18" s="294">
        <f>IF(C1="",'数据-汇总表'!E3,SUMIF(项目类型,C1,'数据-汇总表'!E17:E26)+SUMIF(项目类型,C1,'数据-汇总表'!I17:I26))</f>
        <v>1680.33</v>
      </c>
      <c r="M18" s="294">
        <f>IF(C1="",'数据-汇总表'!E3,SUMIF(项目类型,C1,'数据-汇总表'!E17:E26))</f>
        <v>1680.33</v>
      </c>
    </row>
    <row r="19" spans="1:36" ht="15">
      <c r="A19" s="1630" t="s">
        <v>1290</v>
      </c>
      <c r="B19" s="1631" t="s">
        <v>1291</v>
      </c>
      <c r="C19" s="126">
        <f ca="1">SUMIF(INDIRECT("'"&amp;C4&amp;"'"&amp;"!A:A"),结果表!B19,INDIRECT("'"&amp;C4&amp;"'"&amp;"!B:B"))</f>
        <v>3328.9018000000001</v>
      </c>
      <c r="D19" s="127">
        <f ca="1">SUMIF(INDIRECT("'"&amp;D4&amp;"'"&amp;"!A:A"),结果表!B19,INDIRECT("'"&amp;D4&amp;"'"&amp;"!B:B"))</f>
        <v>1767.4554000000001</v>
      </c>
      <c r="E19" s="1630" t="s">
        <v>1292</v>
      </c>
      <c r="F19" s="1631" t="s">
        <v>1291</v>
      </c>
      <c r="G19" s="128">
        <f ca="1">ROUND(C19*$C$18+D19*$D$18,0)</f>
        <v>2860</v>
      </c>
      <c r="H19" s="1632" t="s">
        <v>1293</v>
      </c>
      <c r="I19" s="121"/>
      <c r="K19" s="294" t="s">
        <v>1294</v>
      </c>
      <c r="L19" s="294">
        <f>IF(C1="",'数据-汇总表'!D3,SUMIF(项目类型,C1,'数据-汇总表'!D17:D26)+SUMIF(项目类型,C1,'数据-汇总表'!H17:H27))</f>
        <v>1098.6600000000001</v>
      </c>
      <c r="M19" s="294">
        <f>IF(C1="",'数据-汇总表'!D3,SUMIF(项目类型,C1,'数据-汇总表'!D17:D26))</f>
        <v>1098.6600000000001</v>
      </c>
    </row>
    <row r="20" spans="1:36" ht="15">
      <c r="A20" s="1633"/>
      <c r="B20" s="43" t="s">
        <v>1295</v>
      </c>
      <c r="C20" s="129">
        <f ca="1">SUMIF(INDIRECT("'"&amp;C4&amp;"'"&amp;"!A:A"),结果表!B20,INDIRECT("'"&amp;C4&amp;"'"&amp;"!B:B"))</f>
        <v>19811</v>
      </c>
      <c r="D20" s="130">
        <f ca="1">SUMIF(INDIRECT("'"&amp;D4&amp;"'"&amp;"!A:A"),结果表!B20,INDIRECT("'"&amp;D4&amp;"'"&amp;"!B:B"))</f>
        <v>10519</v>
      </c>
      <c r="E20" s="1633"/>
      <c r="F20" s="43" t="s">
        <v>1295</v>
      </c>
      <c r="G20" s="131">
        <f ca="1">ROUND(C20*$C$18+D20*$D$18,0)</f>
        <v>17023</v>
      </c>
      <c r="H20" s="760" t="s">
        <v>1296</v>
      </c>
      <c r="I20" s="121"/>
    </row>
    <row r="21" spans="1:36" ht="15" customHeight="1" thickBot="1">
      <c r="A21" s="449"/>
      <c r="B21" s="93" t="s">
        <v>1297</v>
      </c>
      <c r="C21" s="678">
        <f ca="1">ROUND(C19*10000/L19,0)</f>
        <v>30300</v>
      </c>
      <c r="D21" s="679">
        <f ca="1">ROUND(D19*10000/L19,0)</f>
        <v>16087</v>
      </c>
      <c r="E21" s="449"/>
      <c r="F21" s="93" t="s">
        <v>1297</v>
      </c>
      <c r="G21" s="132">
        <f ca="1">ROUND(G19*10000/L19,0)</f>
        <v>26032</v>
      </c>
      <c r="H21" s="1634" t="s">
        <v>1296</v>
      </c>
      <c r="I21" s="121"/>
    </row>
    <row r="22" spans="1:36" ht="15" thickBot="1">
      <c r="A22" s="1564" t="s">
        <v>1298</v>
      </c>
      <c r="B22" s="1635"/>
      <c r="C22" s="1636"/>
      <c r="D22" s="680">
        <f ca="1">IF(C19&lt;D19,D19/C19-1,C19/D19-1)</f>
        <v>0.88344316920245913</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c r="K28" s="3161" t="s">
        <v>3462</v>
      </c>
      <c r="L28" s="684">
        <v>2860</v>
      </c>
    </row>
    <row r="29" spans="1:36" ht="14.25">
      <c r="A29" s="1639"/>
      <c r="B29" s="134"/>
      <c r="C29" s="134"/>
      <c r="D29" s="135"/>
      <c r="E29" s="121"/>
      <c r="F29" s="121"/>
      <c r="G29" s="121"/>
      <c r="H29" s="121"/>
      <c r="I29" s="121"/>
      <c r="K29" s="3161" t="s">
        <v>3480</v>
      </c>
      <c r="L29" s="684">
        <f>L28/'数据-汇总表'!E19</f>
        <v>1.7020466217945285</v>
      </c>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17023</v>
      </c>
      <c r="D32" s="1641" t="s">
        <v>3428</v>
      </c>
      <c r="E32" s="121"/>
      <c r="F32" s="121"/>
      <c r="G32" s="121"/>
      <c r="H32" s="121"/>
      <c r="I32" s="121"/>
    </row>
    <row r="33" spans="1:15" ht="15">
      <c r="A33" s="740" t="s">
        <v>1306</v>
      </c>
      <c r="B33" s="123"/>
      <c r="C33" s="1642" t="s">
        <v>3429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3172">
        <f ca="1">ROUND(H101*F45,4)</f>
        <v>2860.4258</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09">
        <v>1</v>
      </c>
      <c r="K46" s="3327" t="s">
        <v>1331</v>
      </c>
      <c r="L46" s="3327"/>
      <c r="M46" s="3347"/>
      <c r="N46" s="3347"/>
      <c r="O46" s="3347"/>
    </row>
    <row r="47" spans="1:15" ht="12" customHeight="1">
      <c r="A47" s="152" t="s">
        <v>1332</v>
      </c>
      <c r="B47" s="153"/>
      <c r="C47" s="154"/>
      <c r="D47" s="1024" t="s">
        <v>1333</v>
      </c>
      <c r="E47" s="294" t="s">
        <v>1334</v>
      </c>
      <c r="F47" s="155" t="s">
        <v>1335</v>
      </c>
      <c r="G47" s="2332" t="s">
        <v>1336</v>
      </c>
      <c r="H47" s="2333"/>
      <c r="I47" s="151"/>
      <c r="J47" s="2309">
        <v>2</v>
      </c>
      <c r="K47" s="3327" t="s">
        <v>1337</v>
      </c>
      <c r="L47" s="3327"/>
      <c r="M47" s="3348">
        <f>'数据-取费表'!B2</f>
        <v>45705</v>
      </c>
      <c r="N47" s="3348"/>
      <c r="O47" s="3348"/>
    </row>
    <row r="48" spans="1:15" ht="25.5">
      <c r="A48" s="3296" t="s">
        <v>1338</v>
      </c>
      <c r="B48" s="3279"/>
      <c r="C48" s="3279"/>
      <c r="D48" s="3174">
        <f ca="1">IF(H48="情况1",0,IF(H48="情况2",D52,IF(H48="情况3",D53,IF(H48="情况4",D54))))</f>
        <v>100.1931</v>
      </c>
      <c r="E48" s="1256" t="str">
        <f>IF(H48="情况4","(销售额-原购置价)×税（费）率","销售额×税（费）率")</f>
        <v>(销售额-原购置价)×税（费）率</v>
      </c>
      <c r="F48" s="2334">
        <f>IF(H48="情况1","免征",'数据-取费表'!B41)</f>
        <v>5.5000000000000007E-2</v>
      </c>
      <c r="G48" s="2335" t="s">
        <v>1339</v>
      </c>
      <c r="H48" s="2336" t="s">
        <v>3475</v>
      </c>
      <c r="I48" s="1668"/>
      <c r="J48" s="2309">
        <v>3</v>
      </c>
      <c r="K48" s="3327" t="s">
        <v>1340</v>
      </c>
      <c r="L48" s="3327"/>
      <c r="M48" s="3349">
        <f ca="1">H101</f>
        <v>2860.4258</v>
      </c>
      <c r="N48" s="3349"/>
      <c r="O48" s="3349"/>
    </row>
    <row r="49" spans="1:35" ht="25.5" customHeight="1">
      <c r="A49" s="2152" t="s">
        <v>1341</v>
      </c>
      <c r="B49" s="3263" t="s">
        <v>1342</v>
      </c>
      <c r="C49" s="3263"/>
      <c r="D49" s="1478">
        <v>0</v>
      </c>
      <c r="E49" s="316" t="s">
        <v>1343</v>
      </c>
      <c r="F49" s="2232" t="s">
        <v>28</v>
      </c>
      <c r="G49" s="3333"/>
      <c r="H49" s="2134" t="s">
        <v>2134</v>
      </c>
      <c r="I49" s="2135"/>
      <c r="J49" s="2309">
        <v>4</v>
      </c>
      <c r="K49" s="3327" t="str">
        <f>IF(项目基本情况!E8="房地产抵押价值","房地产抵押价值","抵押担保权已注销时的房地产抵押价值")</f>
        <v>房地产抵押价值</v>
      </c>
      <c r="L49" s="3327"/>
      <c r="M49" s="3349">
        <f ca="1">IF(项目基本情况!E8="房地产抵押价值",H107,H109)</f>
        <v>2860.4258</v>
      </c>
      <c r="N49" s="3349"/>
      <c r="O49" s="3349"/>
    </row>
    <row r="50" spans="1:35" ht="25.5" customHeight="1">
      <c r="A50" s="2337"/>
      <c r="B50" s="3263" t="s">
        <v>1344</v>
      </c>
      <c r="C50" s="3263"/>
      <c r="D50" s="2189"/>
      <c r="E50" s="323"/>
      <c r="F50" s="2232"/>
      <c r="G50" s="3334"/>
      <c r="H50" s="2136" t="s">
        <v>2135</v>
      </c>
      <c r="I50" s="2135"/>
      <c r="J50" s="3346" t="s">
        <v>1345</v>
      </c>
      <c r="K50" s="3346"/>
      <c r="L50" s="3346"/>
      <c r="M50" s="3346"/>
      <c r="N50" s="3346"/>
      <c r="O50" s="3346"/>
    </row>
    <row r="51" spans="1:35" ht="20.45" customHeight="1">
      <c r="A51" s="2338"/>
      <c r="B51" s="3263" t="s">
        <v>1346</v>
      </c>
      <c r="C51" s="3263"/>
      <c r="D51" s="1024"/>
      <c r="E51" s="319"/>
      <c r="F51" s="2232"/>
      <c r="G51" s="3335"/>
      <c r="H51" s="2136" t="s">
        <v>2136</v>
      </c>
      <c r="I51" s="2135"/>
      <c r="J51" s="2310" t="s">
        <v>1347</v>
      </c>
      <c r="K51" s="3327" t="s">
        <v>1348</v>
      </c>
      <c r="L51" s="3327"/>
      <c r="M51" s="2310" t="s">
        <v>1349</v>
      </c>
      <c r="N51" s="2310" t="s">
        <v>1350</v>
      </c>
      <c r="O51" s="2310" t="s">
        <v>1351</v>
      </c>
    </row>
    <row r="52" spans="1:35" ht="24" customHeight="1">
      <c r="A52" s="2153" t="s">
        <v>1352</v>
      </c>
      <c r="B52" s="3263" t="s">
        <v>1353</v>
      </c>
      <c r="C52" s="3263"/>
      <c r="D52" s="1024">
        <f ca="1">ROUND(D45*'数据-取费表'!B41/(1+'数据-取费表'!C42),0)</f>
        <v>150</v>
      </c>
      <c r="E52" s="1256" t="s">
        <v>1354</v>
      </c>
      <c r="F52" s="2339">
        <f>'数据-取费表'!B41</f>
        <v>5.5000000000000007E-2</v>
      </c>
      <c r="G52" s="2340"/>
      <c r="H52" s="2330"/>
      <c r="I52" s="1669"/>
      <c r="J52" s="2309">
        <v>1</v>
      </c>
      <c r="K52" s="3328" t="s">
        <v>1355</v>
      </c>
      <c r="L52" s="3328"/>
      <c r="M52" s="2311">
        <f ca="1">D48</f>
        <v>100.1931</v>
      </c>
      <c r="N52" s="2309" t="str">
        <f>E48</f>
        <v>(销售额-原购置价)×税（费）率</v>
      </c>
      <c r="O52" s="2312">
        <f>F48</f>
        <v>5.5000000000000007E-2</v>
      </c>
    </row>
    <row r="53" spans="1:35" ht="12" customHeight="1">
      <c r="A53" s="2153" t="s">
        <v>1356</v>
      </c>
      <c r="B53" s="3289" t="s">
        <v>2291</v>
      </c>
      <c r="C53" s="3290"/>
      <c r="D53" s="1024">
        <f ca="1">ROUND(D45*'数据-取费表'!B41/(1+'数据-取费表'!C42),0)</f>
        <v>150</v>
      </c>
      <c r="E53" s="1256" t="s">
        <v>1354</v>
      </c>
      <c r="F53" s="2339">
        <f>'数据-取费表'!B41</f>
        <v>5.5000000000000007E-2</v>
      </c>
      <c r="G53" s="2340"/>
      <c r="H53" s="2330"/>
      <c r="I53" s="1669"/>
      <c r="J53" s="2309">
        <v>2</v>
      </c>
      <c r="K53" s="3328" t="s">
        <v>1357</v>
      </c>
      <c r="L53" s="3328"/>
      <c r="M53" s="2311">
        <f t="shared" ref="M53:O54" ca="1" si="0">D55</f>
        <v>1.4301999999999999</v>
      </c>
      <c r="N53" s="2309" t="str">
        <f t="shared" si="0"/>
        <v>销售额×税（费）率</v>
      </c>
      <c r="O53" s="2312">
        <f t="shared" si="0"/>
        <v>5.0000000000000001E-4</v>
      </c>
    </row>
    <row r="54" spans="1:35" ht="12" customHeight="1">
      <c r="A54" s="2153" t="s">
        <v>1358</v>
      </c>
      <c r="B54" s="3289" t="s">
        <v>2292</v>
      </c>
      <c r="C54" s="3290"/>
      <c r="D54" s="3173">
        <f ca="1">C68</f>
        <v>100.1931</v>
      </c>
      <c r="E54" s="319" t="s">
        <v>1359</v>
      </c>
      <c r="F54" s="2339">
        <f>'数据-取费表'!B41</f>
        <v>5.5000000000000007E-2</v>
      </c>
      <c r="G54" s="2340"/>
      <c r="H54" s="2341"/>
      <c r="I54" s="1669"/>
      <c r="J54" s="2309">
        <v>3</v>
      </c>
      <c r="K54" s="3328" t="s">
        <v>1360</v>
      </c>
      <c r="L54" s="3328"/>
      <c r="M54" s="2311">
        <f t="shared" ca="1" si="0"/>
        <v>400.8845</v>
      </c>
      <c r="N54" s="2309" t="str">
        <f t="shared" si="0"/>
        <v>增值额×税（费）率</v>
      </c>
      <c r="O54" s="2313" t="str">
        <f t="shared" si="0"/>
        <v>——</v>
      </c>
    </row>
    <row r="55" spans="1:35" ht="24" customHeight="1">
      <c r="A55" s="3278" t="s">
        <v>1361</v>
      </c>
      <c r="B55" s="3279"/>
      <c r="C55" s="3279"/>
      <c r="D55" s="3174">
        <f ca="1">IF(H55="个人住宅",0,ROUND(D45*I55,4))</f>
        <v>1.4301999999999999</v>
      </c>
      <c r="E55" s="1256" t="s">
        <v>1362</v>
      </c>
      <c r="F55" s="2339">
        <f>IF(H55="正常",I55,"免征")</f>
        <v>5.0000000000000001E-4</v>
      </c>
      <c r="G55" s="2340"/>
      <c r="H55" s="2336" t="s">
        <v>3437</v>
      </c>
      <c r="I55" s="157">
        <f>'数据-取费表'!B49</f>
        <v>5.0000000000000001E-4</v>
      </c>
      <c r="J55" s="2309" t="str">
        <f>IF(H59="非个人房产","",4)</f>
        <v/>
      </c>
      <c r="K55" s="3328" t="str">
        <f>IF(H59="非个人房产","——","个人所得税")</f>
        <v>——</v>
      </c>
      <c r="L55" s="3328"/>
      <c r="M55" s="2314" t="str">
        <f>D59</f>
        <v>——</v>
      </c>
      <c r="N55" s="1883" t="str">
        <f>E59</f>
        <v>——</v>
      </c>
      <c r="O55" s="2315" t="str">
        <f>F59</f>
        <v>——</v>
      </c>
    </row>
    <row r="56" spans="1:35" ht="24.75">
      <c r="A56" s="3278" t="s">
        <v>1363</v>
      </c>
      <c r="B56" s="3279"/>
      <c r="C56" s="3279"/>
      <c r="D56" s="3174">
        <f ca="1">IF(H56="个人住宅",D57,D58)</f>
        <v>400.8845</v>
      </c>
      <c r="E56" s="1256" t="s">
        <v>1364</v>
      </c>
      <c r="F56" s="2339" t="str">
        <f>IF(H56="正常",F58,"免征")</f>
        <v>——</v>
      </c>
      <c r="G56" s="2342" t="s">
        <v>1365</v>
      </c>
      <c r="H56" s="2343" t="s">
        <v>3437</v>
      </c>
      <c r="I56" s="1670"/>
      <c r="J56" s="2309" t="str">
        <f>IF(项目基本情况!K6="上海银行",IF(J55="",4,J55+1),"")</f>
        <v/>
      </c>
      <c r="K56" s="3351" t="str">
        <f>IF(项目基本情况!K6="上海银行","其他处置费用","")</f>
        <v/>
      </c>
      <c r="L56" s="3352"/>
      <c r="M56" s="2311" t="str">
        <f>IF(项目基本情况!K6="上海银行",M69,"")</f>
        <v/>
      </c>
      <c r="N56" s="3351" t="str">
        <f>IF(项目基本情况!K6="上海银行","包含处置中涉及的律师、诉讼、拍卖、评估等费用","")</f>
        <v/>
      </c>
      <c r="O56" s="3354"/>
    </row>
    <row r="57" spans="1:35" ht="12.75">
      <c r="A57" s="2153" t="s">
        <v>1341</v>
      </c>
      <c r="B57" s="3289" t="s">
        <v>1366</v>
      </c>
      <c r="C57" s="3290"/>
      <c r="D57" s="1478">
        <v>0</v>
      </c>
      <c r="E57" s="316" t="s">
        <v>1343</v>
      </c>
      <c r="F57" s="294"/>
      <c r="G57" s="2340"/>
      <c r="H57" s="2344"/>
      <c r="I57" s="1670"/>
      <c r="J57" s="3328">
        <f>IF(AND(J55="",J56=""),4,IF(项目基本情况!K6="上海银行",结果表!J56+1,结果表!J55+1))</f>
        <v>4</v>
      </c>
      <c r="K57" s="3328" t="s">
        <v>1367</v>
      </c>
      <c r="L57" s="2316" t="s">
        <v>1368</v>
      </c>
      <c r="M57" s="2317"/>
      <c r="N57" s="2318">
        <f ca="1">SUMIF(M52:M56,"&lt;9e307")</f>
        <v>502.50779999999997</v>
      </c>
      <c r="O57" s="2319"/>
      <c r="P57" s="2460">
        <f ca="1">N57/M49</f>
        <v>0.17567587315147276</v>
      </c>
    </row>
    <row r="58" spans="1:35" ht="24.75">
      <c r="A58" s="2153" t="s">
        <v>1352</v>
      </c>
      <c r="B58" s="3289" t="s">
        <v>1369</v>
      </c>
      <c r="C58" s="3263"/>
      <c r="D58" s="12">
        <f ca="1">IF(H58="转让取得",C81,C97)</f>
        <v>400.8845</v>
      </c>
      <c r="E58" s="1256" t="s">
        <v>1364</v>
      </c>
      <c r="F58" s="294" t="s">
        <v>28</v>
      </c>
      <c r="G58" s="2340"/>
      <c r="H58" s="2343" t="s">
        <v>3476</v>
      </c>
      <c r="I58" s="1670"/>
      <c r="J58" s="3328"/>
      <c r="K58" s="3328"/>
      <c r="L58" s="2316" t="s">
        <v>1370</v>
      </c>
      <c r="M58" s="2320"/>
      <c r="N58" s="2321" t="str">
        <f ca="1">NUMBERSTRING(INT(N57*10000),2)&amp;"元整"</f>
        <v>伍佰零贰万伍仟零柒拾捌元整</v>
      </c>
      <c r="O58" s="2322"/>
    </row>
    <row r="59" spans="1:35" ht="24.75" thickBot="1">
      <c r="A59" s="3331" t="s">
        <v>1371</v>
      </c>
      <c r="B59" s="3332"/>
      <c r="C59" s="3332"/>
      <c r="D59" s="2345" t="str">
        <f>IF(H59="非个人房产","——",IF(H59="个人住宅（满五唯一有凭证）",0,IF(H59="个人其他（无凭证）",ROUND(D45*F59,0),ROUND(C67*F59,4))))</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3481</v>
      </c>
      <c r="I59" s="2137" t="s">
        <v>2137</v>
      </c>
      <c r="J59" s="3329">
        <f>J57+1</f>
        <v>5</v>
      </c>
      <c r="K59" s="3328" t="s">
        <v>1372</v>
      </c>
      <c r="L59" s="2309" t="s">
        <v>1368</v>
      </c>
      <c r="M59" s="2323"/>
      <c r="N59" s="2324">
        <f ca="1">M49-N57</f>
        <v>2357.9180000000001</v>
      </c>
      <c r="O59" s="2325"/>
    </row>
    <row r="60" spans="1:35" ht="12" customHeight="1">
      <c r="A60" s="1671"/>
      <c r="B60" s="646"/>
      <c r="C60" s="646"/>
      <c r="D60" s="646"/>
      <c r="E60" s="1466"/>
      <c r="F60" s="1670"/>
      <c r="G60" s="1670"/>
      <c r="H60" s="151"/>
      <c r="I60" s="121"/>
      <c r="J60" s="3330"/>
      <c r="K60" s="3328"/>
      <c r="L60" s="2316" t="s">
        <v>1370</v>
      </c>
      <c r="M60" s="2320"/>
      <c r="N60" s="2321" t="str">
        <f ca="1">NUMBERSTRING(INT(N59*10000),2)&amp;"元整"</f>
        <v>贰仟叁佰伍拾柒万玖仟壹佰捌拾元整</v>
      </c>
      <c r="O60" s="2322"/>
    </row>
    <row r="61" spans="1:35" ht="13.5" thickBot="1">
      <c r="A61" s="3276" t="s">
        <v>1373</v>
      </c>
      <c r="B61" s="3276"/>
      <c r="C61" s="3276"/>
      <c r="D61" s="3276"/>
      <c r="E61" s="3276"/>
      <c r="F61" s="1670"/>
      <c r="G61" s="1670"/>
      <c r="H61" s="151"/>
      <c r="I61" s="121"/>
      <c r="J61" s="2309">
        <f>J59+1</f>
        <v>6</v>
      </c>
      <c r="K61" s="3328" t="s">
        <v>1374</v>
      </c>
      <c r="L61" s="3328"/>
      <c r="M61" s="2326"/>
      <c r="N61" s="2327">
        <f ca="1">ROUND(N59*10000/'数据-汇总表'!E3,0)</f>
        <v>14032</v>
      </c>
      <c r="O61" s="2328"/>
    </row>
    <row r="62" spans="1:35" ht="12.75">
      <c r="A62" s="3294" t="s">
        <v>1375</v>
      </c>
      <c r="B62" s="3295"/>
      <c r="C62" s="1865"/>
      <c r="D62" s="1865" t="s">
        <v>1376</v>
      </c>
      <c r="E62" s="158" t="s">
        <v>1377</v>
      </c>
      <c r="F62" s="1670"/>
      <c r="G62" s="1670"/>
      <c r="H62" s="151"/>
      <c r="I62" s="121"/>
    </row>
    <row r="63" spans="1:35" ht="12.75">
      <c r="A63" s="165" t="s">
        <v>330</v>
      </c>
      <c r="B63" s="159" t="s">
        <v>1378</v>
      </c>
      <c r="C63" s="3168">
        <f ca="1">ROUND((C64+C65)/(1+'数据-取费表'!C42),4)</f>
        <v>2724.2150000000001</v>
      </c>
      <c r="D63" s="159"/>
      <c r="E63" s="160"/>
      <c r="F63" s="1670"/>
      <c r="G63" s="1670"/>
      <c r="H63" s="151"/>
      <c r="I63" s="121"/>
      <c r="J63" s="3353" t="s">
        <v>1379</v>
      </c>
      <c r="K63" s="1245" t="s">
        <v>1380</v>
      </c>
      <c r="L63" s="1245">
        <f ca="1">IF(M49&gt;10000,M49*0.5%,IF(AND(M49&gt;1000,M49&lt;=10000),M49*1%,IF(AND(M49&gt;100,M49&lt;=1000),M49*3%,IF(AND(M49&gt;10,M49&lt;=100),M49*5%,M49*8%))))</f>
        <v>28.604258000000002</v>
      </c>
      <c r="M63" s="294">
        <f ca="1">ROUND(L63,1)</f>
        <v>28.6</v>
      </c>
      <c r="N63" s="2329"/>
      <c r="Z63" s="1623"/>
      <c r="AI63" s="1561"/>
    </row>
    <row r="64" spans="1:35" ht="14.25" customHeight="1">
      <c r="A64" s="161" t="s">
        <v>325</v>
      </c>
      <c r="B64" s="162" t="s">
        <v>1381</v>
      </c>
      <c r="C64" s="3171">
        <f ca="1">D45</f>
        <v>2860.4258</v>
      </c>
      <c r="D64" s="162" t="s">
        <v>26</v>
      </c>
      <c r="E64" s="164"/>
      <c r="F64" s="1670"/>
      <c r="G64" s="1670"/>
      <c r="H64" s="151"/>
      <c r="I64" s="121"/>
      <c r="J64" s="3353"/>
      <c r="K64" s="1245" t="s">
        <v>1382</v>
      </c>
      <c r="L64" s="1245">
        <f ca="1">IF(M49&gt;2000,M49*0.5%,IF(AND(M49&gt;1000,M49&lt;=2000),M49*0.6%,IF(AND(M49&gt;500,M49&lt;=1000),M49*0.7%,IF(AND(M49&gt;200,M49&lt;=500),M49*0.8%,IF(AND(M49&gt;100,M49&lt;=200),M49*0.9%,IF(AND(M49&gt;50,M49&lt;=100),M49*1%,IF(AND(M49&gt;20,M49&lt;=50),M49*1.5%,IF(AND(M49&gt;10,M49&lt;=20),M49*2%,IF(AND(M49&gt;1,M49&lt;=10),M49*2.5%)))))))))</f>
        <v>14.302129000000001</v>
      </c>
      <c r="M64" s="294">
        <f t="shared" ref="M64:M65" ca="1" si="1">ROUND(L64,1)</f>
        <v>14.3</v>
      </c>
      <c r="N64" s="2330" t="s">
        <v>1383</v>
      </c>
      <c r="Z64" s="1623"/>
      <c r="AI64" s="1561"/>
    </row>
    <row r="65" spans="1:35" ht="14.25" customHeight="1">
      <c r="A65" s="161" t="s">
        <v>326</v>
      </c>
      <c r="B65" s="162" t="s">
        <v>1384</v>
      </c>
      <c r="C65" s="2349"/>
      <c r="D65" s="162"/>
      <c r="E65" s="164"/>
      <c r="F65" s="1670"/>
      <c r="G65" s="1670"/>
      <c r="H65" s="151"/>
      <c r="I65" s="121"/>
      <c r="J65" s="3353"/>
      <c r="K65" s="1245" t="s">
        <v>1385</v>
      </c>
      <c r="L65" s="1245">
        <f ca="1">IF(M49&gt;1000,M49*0.1%,IF(AND(M49&gt;500,M49&lt;=1000),M49*0.5%,IF(AND(M49&gt;50,M49&lt;=500),M49*1%,IF(AND(M49&gt;1,M49&lt;=50),M49*1.5%))))</f>
        <v>2.8604258000000002</v>
      </c>
      <c r="M65" s="294">
        <f t="shared" ca="1" si="1"/>
        <v>2.9</v>
      </c>
      <c r="N65" s="2330" t="s">
        <v>1383</v>
      </c>
      <c r="Z65" s="1623"/>
      <c r="AI65" s="1561"/>
    </row>
    <row r="66" spans="1:35" ht="14.25" customHeight="1">
      <c r="A66" s="165" t="s">
        <v>327</v>
      </c>
      <c r="B66" s="166" t="s">
        <v>1386</v>
      </c>
      <c r="C66" s="2350">
        <f>L76/10000</f>
        <v>902.52210000000002</v>
      </c>
      <c r="D66" s="166" t="s">
        <v>26</v>
      </c>
      <c r="E66" s="1251" t="s">
        <v>671</v>
      </c>
      <c r="F66" s="1670"/>
      <c r="G66" s="1670"/>
      <c r="H66" s="151"/>
      <c r="I66" s="121"/>
      <c r="J66" s="3353"/>
      <c r="K66" s="1245" t="s">
        <v>1387</v>
      </c>
      <c r="L66" s="1245">
        <f ca="1">M49*0.5%</f>
        <v>14.302129000000001</v>
      </c>
      <c r="M66" s="294">
        <f ca="1">IF(L66&gt;0.5,0.5,ROUND(L66,0))</f>
        <v>0.5</v>
      </c>
      <c r="N66" s="2330" t="s">
        <v>1388</v>
      </c>
      <c r="Z66" s="1623"/>
      <c r="AI66" s="1561"/>
    </row>
    <row r="67" spans="1:35" ht="14.25" customHeight="1">
      <c r="A67" s="165" t="s">
        <v>328</v>
      </c>
      <c r="B67" s="166" t="s">
        <v>1389</v>
      </c>
      <c r="C67" s="3164">
        <f ca="1">C63-C66</f>
        <v>1821.6929</v>
      </c>
      <c r="D67" s="162" t="s">
        <v>26</v>
      </c>
      <c r="E67" s="164"/>
      <c r="F67" s="1670"/>
      <c r="G67" s="1670"/>
      <c r="H67" s="151"/>
      <c r="I67" s="121"/>
      <c r="J67" s="335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3169">
        <f ca="1">IF(C67&lt;=0,0,ROUND(C67*D68,4))</f>
        <v>100.1931</v>
      </c>
      <c r="D68" s="2352">
        <f>'数据-取费表'!B41</f>
        <v>5.5000000000000007E-2</v>
      </c>
      <c r="E68" s="170"/>
      <c r="F68" s="1670"/>
      <c r="G68" s="1670"/>
      <c r="H68" s="151"/>
      <c r="I68" s="121"/>
      <c r="J68" s="3353"/>
      <c r="K68" s="1245" t="s">
        <v>1392</v>
      </c>
      <c r="L68" s="1245">
        <f ca="1">IF(M49&gt;10000,M49*0.5%,IF(AND(M49&gt;5000,M49&lt;=10000),M49*1%,IF(AND(M49&gt;1000,M49&lt;=5000),M49*2%,IF(AND(M49&gt;200,M49&lt;=1000),M49*3%,M49*5%))))</f>
        <v>57.208516000000003</v>
      </c>
      <c r="M68" s="294">
        <f ca="1">ROUND(L68,1)</f>
        <v>57.2</v>
      </c>
      <c r="N68" s="2329"/>
      <c r="Z68" s="1623"/>
      <c r="AI68" s="1561"/>
    </row>
    <row r="69" spans="1:35" ht="16.5" customHeight="1">
      <c r="A69" s="1672"/>
      <c r="B69" s="1673"/>
      <c r="C69" s="1674"/>
      <c r="D69" s="1675"/>
      <c r="E69" s="1676"/>
      <c r="F69" s="1466"/>
      <c r="G69" s="1466"/>
      <c r="H69" s="1467"/>
      <c r="I69" s="646"/>
      <c r="J69" s="3353"/>
      <c r="K69" s="1245" t="s">
        <v>1393</v>
      </c>
      <c r="L69" s="1245"/>
      <c r="M69" s="294">
        <f ca="1">ROUND(SUM(M63:M68),0)</f>
        <v>106</v>
      </c>
      <c r="N69" s="2331">
        <f ca="1">M69/M49</f>
        <v>3.7057419912797596E-2</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3164">
        <f ca="1">ROUND(D45/(1+'数据-取费表'!C42),4)</f>
        <v>2724.2150000000001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3164">
        <f ca="1">C74+C78</f>
        <v>1530.6701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1517.049</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3">
        <f>L76/10000</f>
        <v>902.52210000000002</v>
      </c>
      <c r="D75" s="162" t="s">
        <v>26</v>
      </c>
      <c r="E75" s="176" t="s">
        <v>1399</v>
      </c>
      <c r="F75" s="2354" t="s">
        <v>3477</v>
      </c>
      <c r="G75" s="176" t="s">
        <v>1400</v>
      </c>
      <c r="H75" s="2355">
        <f>2025-K75</f>
        <v>13</v>
      </c>
      <c r="I75" s="1681"/>
      <c r="J75" s="1678"/>
      <c r="K75" s="1678">
        <v>2012</v>
      </c>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165">
        <f>IF(F75="购房发票",ROUND(C75*H75*D76,0),4)</f>
        <v>587</v>
      </c>
      <c r="D76" s="2356">
        <v>0.05</v>
      </c>
      <c r="E76" s="3289" t="s">
        <v>1402</v>
      </c>
      <c r="F76" s="3263"/>
      <c r="G76" s="3263"/>
      <c r="H76" s="3314"/>
      <c r="I76" s="1680"/>
      <c r="J76" s="1678"/>
      <c r="K76" s="3163" t="s">
        <v>3478</v>
      </c>
      <c r="L76" s="1678">
        <v>9025221</v>
      </c>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165">
        <f>ROUND(IF(G77="个人住宅",0,IF(G77="2016年5月1日前购买",C75*D77,C75*D77/(1+'数据-取费表'!C42))),4)</f>
        <v>27.526900000000001</v>
      </c>
      <c r="D77" s="2357">
        <f>'数据-取费表'!B48+'数据-取费表'!B49</f>
        <v>3.0499999999999999E-2</v>
      </c>
      <c r="E77" s="12" t="s">
        <v>1404</v>
      </c>
      <c r="F77" s="178"/>
      <c r="G77" s="1682" t="s">
        <v>3479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66">
        <f ca="1">ROUND(D45*D78/(1+'数据-取费表'!C42),4)</f>
        <v>13.6211</v>
      </c>
      <c r="D78" s="2359">
        <f>'数据-取费表'!B43</f>
        <v>5.000000000000001E-3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3164">
        <f ca="1">C72-C73</f>
        <v>1193.5449000000001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0.77975319436892387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3167">
        <f ca="1">ROUND(IF(C79&lt;=0,0,IF(C80&gt;=200%,C79*60%-C73*35%,IF(C80&gt;=100%,C79*50%-C73*15%,IF(C80&gt;=50%,C79*40%-C73*5%,IF(C80&lt;50%,C79*30%,0))))),4)</f>
        <v>400.8845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f ca="1">ROUND(D45/(1+'数据-取费表'!C42),0)</f>
        <v>2724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f ca="1">IF(H88="仅含出让金",C87+C90+C91+C92+C93+C94,C87+C91+C92+C93+C94)</f>
        <v>14</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4"/>
      <c r="D88" s="2359"/>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4"/>
      <c r="D90" s="2359"/>
      <c r="E90" s="185" t="str">
        <f>IF(H88="-","土地取得成本中已包含该笔费用"," ")</f>
        <v xml:space="preserve"> </v>
      </c>
      <c r="F90" s="2148"/>
      <c r="G90" s="3355" t="s">
        <v>2129</v>
      </c>
      <c r="H90" s="335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73" t="s">
        <v>1422</v>
      </c>
      <c r="F92" s="3274"/>
      <c r="G92" s="3274"/>
      <c r="H92" s="328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14</v>
      </c>
      <c r="D93" s="2359">
        <f>'数据-取费表'!B43</f>
        <v>5.000000000000001E-3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f ca="1">ROUND(C85-C86,0)</f>
        <v>2710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193.57142857142858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1">
        <f ca="1">ROUND(IF(C95&lt;=0,0,IF(C96&gt;=200%,C95*60%-C86*35%,IF(C96&gt;=100%,C95*50%-C86*15%,IF(C96&gt;=50%,C95*40%-C86*5%,IF(C96&lt;50%,C95*30%,0))))),0)</f>
        <v>1621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7" t="str">
        <f>C4</f>
        <v>比较法-工业</v>
      </c>
      <c r="D101" s="2368" t="str">
        <f>D4</f>
        <v>收益法 (元)</v>
      </c>
      <c r="E101" s="3350" t="s">
        <v>1431</v>
      </c>
      <c r="F101" s="3307"/>
      <c r="G101" s="1687" t="s">
        <v>1432</v>
      </c>
      <c r="H101" s="2377">
        <f ca="1">H118</f>
        <v>2860.4258</v>
      </c>
      <c r="I101" s="121"/>
    </row>
    <row r="102" spans="1:35" ht="18.75" customHeight="1">
      <c r="A102" s="3309" t="s">
        <v>1433</v>
      </c>
      <c r="B102" s="2366" t="s">
        <v>1432</v>
      </c>
      <c r="C102" s="2367">
        <f ca="1">IF(D32="楼面单价",ROUND(C19,0),C19)</f>
        <v>3329</v>
      </c>
      <c r="D102" s="2368">
        <f ca="1">IF(D32="楼面单价",ROUND(D19,0),D19)</f>
        <v>1767</v>
      </c>
      <c r="E102" s="3350"/>
      <c r="F102" s="3307"/>
      <c r="G102" s="1687" t="s">
        <v>1434</v>
      </c>
      <c r="H102" s="2340">
        <f ca="1">I118</f>
        <v>17023</v>
      </c>
      <c r="I102" s="121"/>
    </row>
    <row r="103" spans="1:35" ht="42.75" customHeight="1">
      <c r="A103" s="3309"/>
      <c r="B103" s="2366" t="s">
        <v>1434</v>
      </c>
      <c r="C103" s="2369">
        <f ca="1">C20</f>
        <v>19811</v>
      </c>
      <c r="D103" s="2370">
        <f ca="1">D20</f>
        <v>10519</v>
      </c>
      <c r="E103" s="3344" t="s">
        <v>1435</v>
      </c>
      <c r="F103" s="3345"/>
      <c r="G103" s="1688" t="s">
        <v>1436</v>
      </c>
      <c r="H103" s="2377">
        <f>IF(D36="正常操作",H104+H105+H106,H105+H106)</f>
        <v>0</v>
      </c>
      <c r="I103" s="121"/>
    </row>
    <row r="104" spans="1:35" ht="18.75" customHeight="1">
      <c r="A104" s="3309" t="s">
        <v>1437</v>
      </c>
      <c r="B104" s="2371" t="s">
        <v>1432</v>
      </c>
      <c r="C104" s="2372">
        <f ca="1">H118</f>
        <v>2860.4258</v>
      </c>
      <c r="D104" s="2373"/>
      <c r="E104" s="1555" t="s">
        <v>1438</v>
      </c>
      <c r="F104" s="1548"/>
      <c r="G104" s="1688" t="s">
        <v>1436</v>
      </c>
      <c r="H104" s="2378">
        <f>IF(D36="同一抵押权人同一抵押物续贷",C36&amp;"（续贷，未扣减，详见特别提示）",C36)</f>
        <v>0</v>
      </c>
      <c r="I104" s="121"/>
    </row>
    <row r="105" spans="1:35" ht="18.75" customHeight="1" thickBot="1">
      <c r="A105" s="3310"/>
      <c r="B105" s="2374" t="s">
        <v>1434</v>
      </c>
      <c r="C105" s="2375">
        <f ca="1">I118</f>
        <v>17023</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06" t="str">
        <f>IF(项目基本情况!E8="已注销","——","3.房地产抵押价值")</f>
        <v>3.房地产抵押价值</v>
      </c>
      <c r="F107" s="3307"/>
      <c r="G107" s="1687" t="s">
        <v>1432</v>
      </c>
      <c r="H107" s="2377">
        <f ca="1">IF(E107="——","——",H101-H103)</f>
        <v>2860.4258</v>
      </c>
      <c r="I107" s="121"/>
    </row>
    <row r="108" spans="1:35" ht="18.75" customHeight="1">
      <c r="A108" s="121"/>
      <c r="B108" s="121"/>
      <c r="C108" s="121"/>
      <c r="D108" s="121"/>
      <c r="E108" s="3306"/>
      <c r="F108" s="3307"/>
      <c r="G108" s="1687" t="s">
        <v>1434</v>
      </c>
      <c r="H108" s="2340">
        <f ca="1">IF(H107=H101,H102,ROUND(H107*10000/'数据-汇总表'!E3,0))</f>
        <v>17023</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0" t="str">
        <f>IF(E109="——","——",H101-H105-H106)</f>
        <v>——</v>
      </c>
      <c r="I109" s="121"/>
    </row>
    <row r="110" spans="1:35" ht="18.75" customHeight="1">
      <c r="A110" s="121"/>
      <c r="B110" s="121"/>
      <c r="C110" s="121"/>
      <c r="D110" s="121"/>
      <c r="E110" s="3306"/>
      <c r="F110" s="3307"/>
      <c r="G110" s="1687" t="s">
        <v>1434</v>
      </c>
      <c r="H110" s="2340"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08"/>
      <c r="G111" s="1687" t="s">
        <v>1432</v>
      </c>
      <c r="H111" s="2377">
        <f ca="1">IF(E111="——","——",N59)</f>
        <v>2357.9180000000001</v>
      </c>
      <c r="I111" s="121"/>
    </row>
    <row r="112" spans="1:35" ht="18.75" customHeight="1" thickBot="1">
      <c r="A112" s="121"/>
      <c r="B112" s="121"/>
      <c r="C112" s="121"/>
      <c r="D112" s="121"/>
      <c r="E112" s="3339"/>
      <c r="F112" s="3340"/>
      <c r="G112" s="1690" t="s">
        <v>1434</v>
      </c>
      <c r="H112" s="2381">
        <f ca="1">IF(E111="——","——",N61)</f>
        <v>14032</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2" t="str">
        <f>项目基本情况!S2</f>
        <v>北京市昌平区何营路8号院22号楼1至5层101房地产</v>
      </c>
      <c r="B118" s="2150">
        <f>M18</f>
        <v>1680.33</v>
      </c>
      <c r="C118" s="2150">
        <f>M19</f>
        <v>1098.6600000000001</v>
      </c>
      <c r="D118" s="2150">
        <f>ROUND(IF(D32="总价",C34,E118*B118/10000),0)</f>
        <v>0</v>
      </c>
      <c r="E118" s="2150">
        <f>ROUND(IF(C33="自定义",IF(D32="楼面单价",C34,D118*10000/B118),I118-G118),0)</f>
        <v>0</v>
      </c>
      <c r="F118" s="2150">
        <f>ROUND(IF(D32="总价",C35,G118*B118/10000),0)</f>
        <v>0</v>
      </c>
      <c r="G118" s="2150">
        <f>ROUND(IF(D32="楼面单价",C35,F118*10000/B118),0)</f>
        <v>0</v>
      </c>
      <c r="H118" s="3170">
        <f ca="1">ROUND(IF(D32="总价",C32,I118*B118/10000),4)</f>
        <v>2860.4258</v>
      </c>
      <c r="I118" s="2150">
        <f ca="1">ROUND(IF(D32="楼面单价",C32,H118*10000/B118),0)</f>
        <v>17023</v>
      </c>
    </row>
    <row r="119" spans="1:27" ht="18.75" customHeight="1">
      <c r="A119" s="3277" t="s">
        <v>1452</v>
      </c>
      <c r="B119" s="3277"/>
      <c r="C119" s="3277"/>
      <c r="D119" s="3317" t="str">
        <f>NUMBERSTRING(INT(D118*10000),2)&amp;"元整"</f>
        <v>零元整</v>
      </c>
      <c r="E119" s="3319"/>
      <c r="F119" s="3317" t="str">
        <f>NUMBERSTRING(INT(F118*10000),2)&amp;"元整"</f>
        <v>零元整</v>
      </c>
      <c r="G119" s="3319"/>
      <c r="H119" s="3317" t="str">
        <f ca="1">NUMBERSTRING(INT(H118*10000),2)&amp;"元整"</f>
        <v>贰仟捌佰陆拾万肆仟贰佰伍拾捌元整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f ca="1">H107</f>
        <v>2860.4258</v>
      </c>
      <c r="E122" s="3342"/>
      <c r="F122" s="3342"/>
      <c r="G122" s="3342"/>
      <c r="H122" s="3342"/>
      <c r="I122" s="3343"/>
      <c r="AA122" s="684"/>
    </row>
    <row r="123" spans="1:27" ht="18.75" customHeight="1">
      <c r="A123" s="3277" t="s">
        <v>1452</v>
      </c>
      <c r="B123" s="3277"/>
      <c r="C123" s="3277"/>
      <c r="D123" s="3317" t="str">
        <f ca="1">NUMBERSTRING(INT(D122*10000),2)&amp;"元整"</f>
        <v>贰仟捌佰陆拾万肆仟贰佰伍拾捌元整</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抵押净值</v>
      </c>
      <c r="B126" s="3308"/>
      <c r="C126" s="3308"/>
      <c r="D126" s="3341">
        <f ca="1">H111</f>
        <v>2357.9180000000001</v>
      </c>
      <c r="E126" s="3342"/>
      <c r="F126" s="3342"/>
      <c r="G126" s="3342"/>
      <c r="H126" s="3342"/>
      <c r="I126" s="3343"/>
      <c r="AA126" s="684"/>
    </row>
    <row r="127" spans="1:27" ht="18.75" customHeight="1">
      <c r="A127" s="3277" t="s">
        <v>1452</v>
      </c>
      <c r="B127" s="3277"/>
      <c r="C127" s="3277"/>
      <c r="D127" s="3317" t="str">
        <f ca="1">NUMBERSTRING(INT(D126*10000),2)&amp;"元整"</f>
        <v>贰仟叁佰伍拾柒万玖仟壹佰捌拾元整</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HQemil0RJoGfl/18ShFmaTjWOYOVkZMGXHevjre2m2RzJ9WUYdAeL4ltjepKlFe+lFwypdVQMWgugfVXRl9JVw==" saltValue="AtsIIkdbQQ2ooQCbv7Efr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1680.33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34</v>
      </c>
      <c r="D19" s="204">
        <f ca="1">D9+D10</f>
        <v>1680.33</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588</v>
      </c>
      <c r="D34" s="209"/>
      <c r="E34" s="212"/>
      <c r="F34" s="249">
        <f ca="1">IF('数据-取费表'!B24=0,1,IF(B1="",'数据-取费表'!N16,INDIRECT("'数据-取费表'!n"&amp;$G$1)))</f>
        <v>1</v>
      </c>
      <c r="G34" s="211" t="s">
        <v>1526</v>
      </c>
    </row>
    <row r="35" spans="1:7" ht="13.5" customHeight="1">
      <c r="A35" s="734" t="s">
        <v>351</v>
      </c>
      <c r="B35" s="207" t="s">
        <v>1527</v>
      </c>
      <c r="C35" s="212">
        <f ca="1">ROUND(C34*F35,0)</f>
        <v>29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1680.33</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5.0000000000000001E-4</v>
      </c>
      <c r="D44" s="230"/>
      <c r="E44" s="230"/>
      <c r="F44" s="231"/>
      <c r="G44" s="3359"/>
    </row>
    <row r="45" spans="1:7" s="206" customFormat="1" ht="13.5" customHeight="1">
      <c r="A45" s="247" t="s">
        <v>1547</v>
      </c>
      <c r="B45" s="236" t="s">
        <v>1513</v>
      </c>
      <c r="C45" s="237">
        <f ca="1">C46</f>
        <v>68</v>
      </c>
      <c r="D45" s="227">
        <f ca="1">C47</f>
        <v>2E-3</v>
      </c>
      <c r="E45" s="228" t="s">
        <v>1539</v>
      </c>
      <c r="F45" s="238">
        <f ca="1">F27</f>
        <v>0.1</v>
      </c>
      <c r="G45" s="239" t="s">
        <v>1548</v>
      </c>
    </row>
    <row r="46" spans="1:7" s="206" customFormat="1" ht="13.5" customHeight="1">
      <c r="A46" s="734" t="s">
        <v>346</v>
      </c>
      <c r="B46" s="240" t="s">
        <v>1549</v>
      </c>
      <c r="C46" s="241">
        <f ca="1">ROUND((C33+C39)*F27,0)</f>
        <v>68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820</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640</v>
      </c>
      <c r="D51" s="224"/>
      <c r="E51" s="224"/>
      <c r="F51" s="256"/>
      <c r="G51" s="226" t="s">
        <v>1560</v>
      </c>
    </row>
    <row r="52" spans="1:7" s="200" customFormat="1" ht="16.5" thickBot="1">
      <c r="A52" s="257" t="s">
        <v>1561</v>
      </c>
      <c r="B52" s="258"/>
      <c r="C52" s="259">
        <f ca="1">C31+C51</f>
        <v>684</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北京市昌平区何营路8号院22号楼1至5层101房地产抵押价值预评估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-38</v>
      </c>
      <c r="C2" s="268" t="s">
        <v>1595</v>
      </c>
      <c r="D2" s="268"/>
      <c r="E2" s="2563"/>
      <c r="F2" s="2563"/>
      <c r="G2" s="2563"/>
      <c r="H2" s="2563"/>
      <c r="I2" s="2563"/>
      <c r="J2" s="2563"/>
      <c r="K2" s="2563"/>
    </row>
    <row r="3" spans="1:33" ht="18" customHeight="1" thickBot="1">
      <c r="A3" s="195" t="s">
        <v>1464</v>
      </c>
      <c r="B3" s="196">
        <f ca="1">ROUND(B2*10000/IF(C1="",'数据-汇总表'!E3,INDIRECT("'数据-取费表'!K"&amp;$K$1)),0)</f>
        <v>-226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1680.33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1680.33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1680.33</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5" t="s">
        <v>2306</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0"/>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0"/>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15" customHeight="1">
      <c r="A2" s="1293" t="s">
        <v>2315</v>
      </c>
      <c r="B2" s="2590" t="e">
        <f>IF(D2="——",C40,C40+E2)</f>
        <v>#DIV/0!</v>
      </c>
      <c r="C2" s="2591" t="s">
        <v>2316</v>
      </c>
      <c r="D2" s="3134" t="s">
        <v>3359</v>
      </c>
      <c r="E2" s="3135"/>
      <c r="F2" s="2593"/>
      <c r="G2" s="2594"/>
      <c r="H2" s="2595"/>
      <c r="I2" s="2596"/>
      <c r="J2" s="3371" t="s">
        <v>2317</v>
      </c>
      <c r="K2" s="3372"/>
      <c r="L2" s="2597" t="s">
        <v>2318</v>
      </c>
      <c r="M2" s="2597" t="s">
        <v>2319</v>
      </c>
      <c r="N2" s="2597" t="s">
        <v>2320</v>
      </c>
      <c r="O2" s="2597" t="s">
        <v>2321</v>
      </c>
      <c r="P2" s="2597" t="s">
        <v>2322</v>
      </c>
      <c r="Q2" s="2598" t="s">
        <v>2323</v>
      </c>
      <c r="R2" s="2599" t="s">
        <v>2324</v>
      </c>
      <c r="S2" s="2588"/>
      <c r="T2" s="2588"/>
      <c r="U2" s="2588"/>
      <c r="V2" s="2596"/>
    </row>
    <row r="3" spans="1:22" s="2600" customFormat="1" ht="13.15" customHeight="1">
      <c r="A3" s="2601" t="s">
        <v>2325</v>
      </c>
      <c r="B3" s="2602" t="e">
        <f>ROUND(B2*10000/B4,0)</f>
        <v>#DIV/0!</v>
      </c>
      <c r="C3" s="2591" t="s">
        <v>2326</v>
      </c>
      <c r="D3" s="2591"/>
      <c r="E3" s="2592"/>
      <c r="F3" s="2593"/>
      <c r="G3" s="2594"/>
      <c r="H3" s="2595"/>
      <c r="I3" s="2596"/>
      <c r="J3" s="3373" t="s">
        <v>2327</v>
      </c>
      <c r="K3" s="3374"/>
      <c r="L3" s="2603"/>
      <c r="M3" s="2603"/>
      <c r="N3" s="2603"/>
      <c r="O3" s="2603"/>
      <c r="P3" s="2603"/>
      <c r="Q3" s="2604"/>
      <c r="R3" s="2605">
        <f>SUM(L3:Q3)</f>
        <v>0</v>
      </c>
      <c r="S3" s="2588"/>
      <c r="T3" s="2588"/>
      <c r="U3" s="2588"/>
      <c r="V3" s="2596"/>
    </row>
    <row r="4" spans="1:22" s="2600" customFormat="1" ht="13.15" customHeight="1">
      <c r="A4" s="2606" t="s">
        <v>2328</v>
      </c>
      <c r="B4" s="2607"/>
      <c r="C4" s="2591"/>
      <c r="D4" s="2591"/>
      <c r="E4" s="2592"/>
      <c r="F4" s="2593"/>
      <c r="G4" s="2594"/>
      <c r="H4" s="2595"/>
      <c r="I4" s="2596"/>
      <c r="J4" s="3373" t="s">
        <v>2329</v>
      </c>
      <c r="K4" s="3374"/>
      <c r="L4" s="2608"/>
      <c r="M4" s="2608"/>
      <c r="N4" s="2608"/>
      <c r="O4" s="2608"/>
      <c r="P4" s="2608"/>
      <c r="Q4" s="2609"/>
      <c r="R4" s="2610">
        <f>SUM(L4:Q4)</f>
        <v>0</v>
      </c>
      <c r="S4" s="2588"/>
      <c r="T4" s="2588"/>
      <c r="U4" s="2588"/>
      <c r="V4" s="2596"/>
    </row>
    <row r="5" spans="1:22" s="2600" customFormat="1" ht="13.15"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15" customHeight="1" thickBot="1">
      <c r="A6" s="3379" t="s">
        <v>2333</v>
      </c>
      <c r="B6" s="3380"/>
      <c r="C6" s="3381"/>
      <c r="D6" s="2617"/>
      <c r="E6" s="2618"/>
      <c r="F6" s="2619"/>
      <c r="G6" s="2620"/>
      <c r="H6" s="2595"/>
      <c r="I6" s="2596"/>
      <c r="J6" s="3365">
        <v>1</v>
      </c>
      <c r="K6" s="3366"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15" customHeight="1">
      <c r="A7" s="2623" t="s">
        <v>2343</v>
      </c>
      <c r="B7" s="2624"/>
      <c r="C7" s="2625"/>
      <c r="D7" s="2626">
        <f>SUM(D9,D10,D11,D17,0)</f>
        <v>0</v>
      </c>
      <c r="E7" s="2627" t="e">
        <f>E9+E10+E11+E17</f>
        <v>#DIV/0!</v>
      </c>
      <c r="F7" s="2628"/>
      <c r="G7" s="2629"/>
      <c r="H7" s="2595"/>
      <c r="I7" s="2596"/>
      <c r="J7" s="3365"/>
      <c r="K7" s="3367"/>
      <c r="L7" s="2630" t="s">
        <v>2344</v>
      </c>
      <c r="M7" s="2631"/>
      <c r="N7" s="2607"/>
      <c r="O7" s="2632"/>
      <c r="P7" s="2632"/>
      <c r="Q7" s="2633">
        <v>365</v>
      </c>
      <c r="R7" s="2634">
        <f>ROUND(M7*N7*O7*P7*Q7/10000,0)</f>
        <v>0</v>
      </c>
      <c r="S7" s="2588"/>
      <c r="T7" s="2588" t="s">
        <v>2345</v>
      </c>
      <c r="U7" s="2588"/>
      <c r="V7" s="2596"/>
    </row>
    <row r="8" spans="1:22" s="2600" customFormat="1" ht="13.15" customHeight="1">
      <c r="A8" s="2635" t="s">
        <v>2346</v>
      </c>
      <c r="B8" s="3382" t="s">
        <v>2347</v>
      </c>
      <c r="C8" s="3383"/>
      <c r="D8" s="2636" t="s">
        <v>2348</v>
      </c>
      <c r="E8" s="2637" t="s">
        <v>2349</v>
      </c>
      <c r="F8" s="2638" t="s">
        <v>2350</v>
      </c>
      <c r="G8" s="2639"/>
      <c r="H8" s="2595"/>
      <c r="I8" s="2596"/>
      <c r="J8" s="3365"/>
      <c r="K8" s="3367"/>
      <c r="L8" s="2630" t="s">
        <v>2351</v>
      </c>
      <c r="M8" s="2631"/>
      <c r="N8" s="2607"/>
      <c r="O8" s="2632"/>
      <c r="P8" s="2632"/>
      <c r="Q8" s="2633">
        <v>365</v>
      </c>
      <c r="R8" s="2634">
        <f t="shared" ref="R8:R13" si="0">ROUND(M8*N8*O8*P8*Q8/10000,0)</f>
        <v>0</v>
      </c>
      <c r="S8" s="2588"/>
      <c r="T8" s="2588" t="s">
        <v>2352</v>
      </c>
      <c r="U8" s="2588"/>
      <c r="V8" s="2596"/>
    </row>
    <row r="9" spans="1:22" s="2600" customFormat="1" ht="13.15" customHeight="1">
      <c r="A9" s="2635">
        <v>1</v>
      </c>
      <c r="B9" s="3382" t="s">
        <v>2353</v>
      </c>
      <c r="C9" s="3383"/>
      <c r="D9" s="2636">
        <f>ROUND(D6*E9,0)</f>
        <v>0</v>
      </c>
      <c r="E9" s="2640"/>
      <c r="F9" s="2641" t="s">
        <v>2354</v>
      </c>
      <c r="G9" s="2620"/>
      <c r="H9" s="2595"/>
      <c r="I9" s="2596"/>
      <c r="J9" s="3365"/>
      <c r="K9" s="3367"/>
      <c r="L9" s="2630" t="s">
        <v>2355</v>
      </c>
      <c r="M9" s="2631"/>
      <c r="N9" s="2607"/>
      <c r="O9" s="2632"/>
      <c r="P9" s="2632"/>
      <c r="Q9" s="2633">
        <v>365</v>
      </c>
      <c r="R9" s="2634">
        <f t="shared" si="0"/>
        <v>0</v>
      </c>
      <c r="S9" s="2588"/>
      <c r="T9" s="2588"/>
      <c r="U9" s="2588"/>
      <c r="V9" s="2596"/>
    </row>
    <row r="10" spans="1:22" s="2600" customFormat="1" ht="13.15" customHeight="1">
      <c r="A10" s="2635">
        <v>2</v>
      </c>
      <c r="B10" s="3382" t="s">
        <v>2356</v>
      </c>
      <c r="C10" s="3383"/>
      <c r="D10" s="2636">
        <f>ROUND(D6*E10,0)</f>
        <v>0</v>
      </c>
      <c r="E10" s="2640"/>
      <c r="F10" s="2641" t="s">
        <v>2357</v>
      </c>
      <c r="G10" s="2620"/>
      <c r="H10" s="2595"/>
      <c r="I10" s="2596"/>
      <c r="J10" s="3365"/>
      <c r="K10" s="3367"/>
      <c r="L10" s="2630" t="s">
        <v>2358</v>
      </c>
      <c r="M10" s="2631"/>
      <c r="N10" s="2607"/>
      <c r="O10" s="2632"/>
      <c r="P10" s="2632"/>
      <c r="Q10" s="2633">
        <v>365</v>
      </c>
      <c r="R10" s="2634">
        <f t="shared" si="0"/>
        <v>0</v>
      </c>
      <c r="S10" s="2588"/>
      <c r="T10" s="2588"/>
      <c r="U10" s="2588"/>
      <c r="V10" s="2596"/>
    </row>
    <row r="11" spans="1:22" s="2600" customFormat="1" ht="13.15" customHeight="1">
      <c r="A11" s="2635">
        <v>3</v>
      </c>
      <c r="B11" s="3382" t="s">
        <v>2359</v>
      </c>
      <c r="C11" s="3383"/>
      <c r="D11" s="2636">
        <f>D12+D14+D15+D16</f>
        <v>0</v>
      </c>
      <c r="E11" s="2642" t="e">
        <f>D11/D6</f>
        <v>#DIV/0!</v>
      </c>
      <c r="F11" s="2638"/>
      <c r="G11" s="2639"/>
      <c r="H11" s="2595"/>
      <c r="I11" s="2596"/>
      <c r="J11" s="3365"/>
      <c r="K11" s="3367"/>
      <c r="L11" s="2630" t="s">
        <v>2360</v>
      </c>
      <c r="M11" s="2631"/>
      <c r="N11" s="2607"/>
      <c r="O11" s="2632"/>
      <c r="P11" s="2632"/>
      <c r="Q11" s="2633">
        <v>365</v>
      </c>
      <c r="R11" s="2634">
        <f t="shared" si="0"/>
        <v>0</v>
      </c>
      <c r="S11" s="2588"/>
      <c r="T11" s="2588"/>
      <c r="U11" s="2588"/>
      <c r="V11" s="2596"/>
    </row>
    <row r="12" spans="1:22" s="2600" customFormat="1" ht="13.15" customHeight="1">
      <c r="A12" s="2643" t="s">
        <v>2361</v>
      </c>
      <c r="B12" s="3375" t="s">
        <v>2362</v>
      </c>
      <c r="C12" s="3376"/>
      <c r="D12" s="2644">
        <f>ROUND(D13*1.2%*(1-30%),0)</f>
        <v>0</v>
      </c>
      <c r="E12" s="2645">
        <v>1.2E-2</v>
      </c>
      <c r="F12" s="2638" t="s">
        <v>2363</v>
      </c>
      <c r="G12" s="2639"/>
      <c r="H12" s="2595"/>
      <c r="I12" s="2596"/>
      <c r="J12" s="3365"/>
      <c r="K12" s="3367"/>
      <c r="L12" s="2630" t="s">
        <v>2364</v>
      </c>
      <c r="M12" s="2631"/>
      <c r="N12" s="2607"/>
      <c r="O12" s="2632"/>
      <c r="P12" s="2632"/>
      <c r="Q12" s="2633">
        <v>365</v>
      </c>
      <c r="R12" s="2634">
        <f t="shared" si="0"/>
        <v>0</v>
      </c>
      <c r="S12" s="2588"/>
      <c r="T12" s="2588"/>
      <c r="U12" s="2588"/>
      <c r="V12" s="2596"/>
    </row>
    <row r="13" spans="1:22" s="2600" customFormat="1" ht="13.15" customHeight="1">
      <c r="A13" s="2643"/>
      <c r="B13" s="2646"/>
      <c r="C13" s="2647" t="s">
        <v>2365</v>
      </c>
      <c r="D13" s="2648"/>
      <c r="E13" s="2649"/>
      <c r="F13" s="2638"/>
      <c r="G13" s="2639"/>
      <c r="H13" s="2595"/>
      <c r="I13" s="2596"/>
      <c r="J13" s="3365"/>
      <c r="K13" s="3367"/>
      <c r="L13" s="2630" t="s">
        <v>2366</v>
      </c>
      <c r="M13" s="2631"/>
      <c r="N13" s="2607"/>
      <c r="O13" s="2632"/>
      <c r="P13" s="2632"/>
      <c r="Q13" s="2633">
        <v>365</v>
      </c>
      <c r="R13" s="2634">
        <f t="shared" si="0"/>
        <v>0</v>
      </c>
      <c r="S13" s="2588"/>
      <c r="T13" s="2588"/>
      <c r="U13" s="2588"/>
      <c r="V13" s="2596"/>
    </row>
    <row r="14" spans="1:22" s="2600" customFormat="1" ht="13.15" customHeight="1">
      <c r="A14" s="2643" t="s">
        <v>2367</v>
      </c>
      <c r="B14" s="3375" t="s">
        <v>2368</v>
      </c>
      <c r="C14" s="3376"/>
      <c r="D14" s="2644">
        <f>ROUND(E14*B5/10000,0)</f>
        <v>0</v>
      </c>
      <c r="E14" s="2633"/>
      <c r="F14" s="2638" t="s">
        <v>2369</v>
      </c>
      <c r="G14" s="2639"/>
      <c r="H14" s="2595"/>
      <c r="I14" s="2596"/>
      <c r="J14" s="3365"/>
      <c r="K14" s="3368"/>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2371</v>
      </c>
      <c r="B15" s="3375" t="s">
        <v>2372</v>
      </c>
      <c r="C15" s="3376"/>
      <c r="D15" s="2644">
        <f>ROUND(D6*E15,0)</f>
        <v>0</v>
      </c>
      <c r="E15" s="2645">
        <v>5.5E-2</v>
      </c>
      <c r="F15" s="2638" t="s">
        <v>2373</v>
      </c>
      <c r="G15" s="2620"/>
      <c r="H15" s="2595"/>
      <c r="I15" s="2596"/>
      <c r="J15" s="3365">
        <v>2</v>
      </c>
      <c r="K15" s="3366"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15" customHeight="1">
      <c r="A16" s="2643" t="s">
        <v>2380</v>
      </c>
      <c r="B16" s="3375" t="s">
        <v>2381</v>
      </c>
      <c r="C16" s="3376"/>
      <c r="D16" s="2655">
        <f>D6*E16</f>
        <v>0</v>
      </c>
      <c r="E16" s="2656"/>
      <c r="F16" s="2641" t="s">
        <v>2382</v>
      </c>
      <c r="G16" s="2620"/>
      <c r="H16" s="2595"/>
      <c r="I16" s="2596"/>
      <c r="J16" s="3365"/>
      <c r="K16" s="3367"/>
      <c r="L16" s="2630" t="s">
        <v>2383</v>
      </c>
      <c r="M16" s="2631"/>
      <c r="N16" s="2631"/>
      <c r="O16" s="2632"/>
      <c r="P16" s="2633">
        <v>365</v>
      </c>
      <c r="Q16" s="2607"/>
      <c r="R16" s="2654">
        <f>ROUND(M16*N16*O16*P16/10000,0)</f>
        <v>0</v>
      </c>
      <c r="S16" s="2588"/>
      <c r="T16" s="2588"/>
      <c r="U16" s="2588"/>
      <c r="V16" s="2596"/>
    </row>
    <row r="17" spans="1:22" s="2600" customFormat="1" ht="13.15" customHeight="1" thickBot="1">
      <c r="A17" s="2657">
        <v>4</v>
      </c>
      <c r="B17" s="3377" t="s">
        <v>2384</v>
      </c>
      <c r="C17" s="3378"/>
      <c r="D17" s="2658">
        <f>ROUND(D6*E17,0)</f>
        <v>0</v>
      </c>
      <c r="E17" s="2659"/>
      <c r="F17" s="2660" t="s">
        <v>2385</v>
      </c>
      <c r="G17" s="2620"/>
      <c r="H17" s="2595"/>
      <c r="I17" s="2596"/>
      <c r="J17" s="3365"/>
      <c r="K17" s="3367"/>
      <c r="L17" s="2630" t="s">
        <v>2386</v>
      </c>
      <c r="M17" s="2631"/>
      <c r="N17" s="2631"/>
      <c r="O17" s="2632"/>
      <c r="P17" s="2633">
        <v>365</v>
      </c>
      <c r="Q17" s="2607"/>
      <c r="R17" s="2654">
        <f>ROUND(M17*N17*O17*P17/10000,0)</f>
        <v>0</v>
      </c>
      <c r="S17" s="2588"/>
      <c r="T17" s="2588"/>
      <c r="U17" s="2588"/>
      <c r="V17" s="2596"/>
    </row>
    <row r="18" spans="1:22" s="2600" customFormat="1" ht="13.15" customHeight="1" thickBot="1">
      <c r="A18" s="2623" t="s">
        <v>2387</v>
      </c>
      <c r="B18" s="2624"/>
      <c r="C18" s="2624"/>
      <c r="D18" s="2661">
        <f>ROUND(D6*E18,0)</f>
        <v>0</v>
      </c>
      <c r="E18" s="2662"/>
      <c r="F18" s="2663" t="s">
        <v>2388</v>
      </c>
      <c r="G18" s="2620"/>
      <c r="H18" s="2595"/>
      <c r="I18" s="2596"/>
      <c r="J18" s="3365"/>
      <c r="K18" s="3367"/>
      <c r="L18" s="2630" t="s">
        <v>2389</v>
      </c>
      <c r="M18" s="2631"/>
      <c r="N18" s="2631"/>
      <c r="O18" s="2632"/>
      <c r="P18" s="2633">
        <v>365</v>
      </c>
      <c r="Q18" s="2607"/>
      <c r="R18" s="2654">
        <f>ROUND(M18*N18*O18*P18/10000,0)</f>
        <v>0</v>
      </c>
      <c r="S18" s="2588"/>
      <c r="T18" s="2588"/>
      <c r="U18" s="2588"/>
      <c r="V18" s="2596"/>
    </row>
    <row r="19" spans="1:22" s="2600" customFormat="1" ht="13.15" customHeight="1" thickBot="1">
      <c r="A19" s="2664" t="s">
        <v>2390</v>
      </c>
      <c r="B19" s="2618"/>
      <c r="C19" s="2618"/>
      <c r="D19" s="2618"/>
      <c r="E19" s="2618"/>
      <c r="F19" s="2619"/>
      <c r="G19" s="2639"/>
      <c r="H19" s="2595"/>
      <c r="I19" s="2596"/>
      <c r="J19" s="3365"/>
      <c r="K19" s="3368"/>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65">
        <v>3</v>
      </c>
      <c r="K20" s="3366"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15" customHeight="1">
      <c r="A21" s="2623"/>
      <c r="B21" s="2624"/>
      <c r="C21" s="2669" t="s">
        <v>2399</v>
      </c>
      <c r="D21" s="2670" t="s">
        <v>2400</v>
      </c>
      <c r="E21" s="2671" t="s">
        <v>2401</v>
      </c>
      <c r="F21" s="2667"/>
      <c r="G21" s="2639"/>
      <c r="H21" s="2595"/>
      <c r="I21" s="2596"/>
      <c r="J21" s="3365"/>
      <c r="K21" s="3367"/>
      <c r="L21" s="2630" t="s">
        <v>2402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2403</v>
      </c>
      <c r="D22" s="2674" t="s">
        <v>2404</v>
      </c>
      <c r="E22" s="2675" t="s">
        <v>2405</v>
      </c>
      <c r="F22" s="2667"/>
      <c r="G22" s="2588"/>
      <c r="H22" s="2595"/>
      <c r="I22" s="2596"/>
      <c r="J22" s="3365"/>
      <c r="K22" s="3367"/>
      <c r="L22" s="2630" t="s">
        <v>2406</v>
      </c>
      <c r="M22" s="2631"/>
      <c r="N22" s="2631"/>
      <c r="O22" s="2632"/>
      <c r="P22" s="2633">
        <v>365</v>
      </c>
      <c r="Q22" s="2607"/>
      <c r="R22" s="2672">
        <f>ROUND(M22*N22*O22*P22/10000,0)</f>
        <v>0</v>
      </c>
      <c r="S22" s="2588"/>
      <c r="T22" s="2588"/>
      <c r="U22" s="2588"/>
      <c r="V22" s="2596"/>
    </row>
    <row r="23" spans="1:22" s="2600" customFormat="1" ht="13.15" customHeight="1">
      <c r="A23" s="2676">
        <v>1</v>
      </c>
      <c r="B23" s="2677" t="s">
        <v>2407</v>
      </c>
      <c r="C23" s="2678">
        <f>D6</f>
        <v>0</v>
      </c>
      <c r="D23" s="2679">
        <f>C23*(1+D24)</f>
        <v>0</v>
      </c>
      <c r="E23" s="2680">
        <f>D23*(1+E24)</f>
        <v>0</v>
      </c>
      <c r="F23" s="2681"/>
      <c r="G23" s="2682"/>
      <c r="H23" s="2595"/>
      <c r="I23" s="2596"/>
      <c r="J23" s="3365"/>
      <c r="K23" s="3367"/>
      <c r="L23" s="2630" t="s">
        <v>2408</v>
      </c>
      <c r="M23" s="2631"/>
      <c r="N23" s="2631"/>
      <c r="O23" s="2632"/>
      <c r="P23" s="2633">
        <v>365</v>
      </c>
      <c r="Q23" s="2607"/>
      <c r="R23" s="2672">
        <f>ROUND(M23*N23*O23*P23/10000,0)</f>
        <v>0</v>
      </c>
      <c r="S23" s="2588"/>
      <c r="T23" s="2588"/>
      <c r="U23" s="2588"/>
      <c r="V23" s="2596"/>
    </row>
    <row r="24" spans="1:22" s="2600" customFormat="1" ht="13.15" customHeight="1">
      <c r="A24" s="2683"/>
      <c r="B24" s="2684" t="s">
        <v>2409</v>
      </c>
      <c r="C24" s="2685"/>
      <c r="D24" s="2686"/>
      <c r="E24" s="2687"/>
      <c r="F24" s="2688"/>
      <c r="G24" s="2682"/>
      <c r="H24" s="2595"/>
      <c r="I24" s="2596"/>
      <c r="J24" s="3365"/>
      <c r="K24" s="3368"/>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15" customHeight="1">
      <c r="A26" s="2676">
        <v>2</v>
      </c>
      <c r="B26" s="2677" t="s">
        <v>2411</v>
      </c>
      <c r="C26" s="2678">
        <f>D7</f>
        <v>0</v>
      </c>
      <c r="D26" s="2679">
        <f>D23*D27</f>
        <v>0</v>
      </c>
      <c r="E26" s="2680">
        <f>E23*E27</f>
        <v>0</v>
      </c>
      <c r="F26" s="2681"/>
      <c r="G26" s="2682"/>
      <c r="H26" s="2595"/>
      <c r="I26" s="2596"/>
      <c r="J26" s="3369">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15" customHeight="1">
      <c r="A27" s="2683"/>
      <c r="B27" s="2684" t="s">
        <v>2417</v>
      </c>
      <c r="C27" s="2701" t="e">
        <f>E7</f>
        <v>#DIV/0!</v>
      </c>
      <c r="D27" s="2686"/>
      <c r="E27" s="2687"/>
      <c r="F27" s="2688"/>
      <c r="G27" s="2682"/>
      <c r="H27" s="2702"/>
      <c r="I27" s="2694"/>
      <c r="J27" s="337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15"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15" customHeight="1">
      <c r="A32" s="2676">
        <v>4</v>
      </c>
      <c r="B32" s="2677" t="s">
        <v>2425</v>
      </c>
      <c r="C32" s="2678">
        <f>C23-C26-C29</f>
        <v>0</v>
      </c>
      <c r="D32" s="2679">
        <f>D23-D26-D29</f>
        <v>0</v>
      </c>
      <c r="E32" s="2680">
        <f>E23-E26-E29</f>
        <v>0</v>
      </c>
      <c r="F32" s="2681"/>
      <c r="G32" s="2588"/>
      <c r="H32" s="2595"/>
      <c r="I32" s="2596"/>
      <c r="J32" s="3371" t="s">
        <v>2317</v>
      </c>
      <c r="K32" s="3372"/>
      <c r="L32" s="2597" t="s">
        <v>2318</v>
      </c>
      <c r="M32" s="2597" t="s">
        <v>2319</v>
      </c>
      <c r="N32" s="2597" t="s">
        <v>2320</v>
      </c>
      <c r="O32" s="2597" t="s">
        <v>2321</v>
      </c>
      <c r="P32" s="2597" t="s">
        <v>2322</v>
      </c>
      <c r="Q32" s="2598" t="s">
        <v>2323</v>
      </c>
      <c r="R32" s="2717" t="s">
        <v>2324</v>
      </c>
      <c r="S32" s="2588"/>
      <c r="T32" s="2588"/>
      <c r="U32" s="2588"/>
      <c r="V32" s="2694"/>
    </row>
    <row r="33" spans="1:23" s="2600" customFormat="1" ht="13.15" customHeight="1">
      <c r="A33" s="2676"/>
      <c r="B33" s="2677"/>
      <c r="C33" s="2678"/>
      <c r="D33" s="2718"/>
      <c r="E33" s="2719"/>
      <c r="F33" s="2681"/>
      <c r="G33" s="2588"/>
      <c r="H33" s="2702"/>
      <c r="I33" s="2694"/>
      <c r="J33" s="3373" t="s">
        <v>2327</v>
      </c>
      <c r="K33" s="3374"/>
      <c r="L33" s="2603"/>
      <c r="M33" s="2603"/>
      <c r="N33" s="2603"/>
      <c r="O33" s="2603"/>
      <c r="P33" s="2603"/>
      <c r="Q33" s="2604"/>
      <c r="R33" s="2720">
        <f>SUM(L33:Q33)</f>
        <v>0</v>
      </c>
      <c r="S33" s="2588"/>
      <c r="T33" s="2588"/>
      <c r="U33" s="2588"/>
      <c r="V33" s="2596"/>
    </row>
    <row r="34" spans="1:23" s="2600" customFormat="1" ht="13.15" customHeight="1">
      <c r="A34" s="2676">
        <v>5</v>
      </c>
      <c r="B34" s="2677" t="s">
        <v>2426</v>
      </c>
      <c r="C34" s="2721"/>
      <c r="D34" s="2722"/>
      <c r="E34" s="2723"/>
      <c r="F34" s="2681"/>
      <c r="G34" s="2588"/>
      <c r="H34" s="2702"/>
      <c r="I34" s="2694"/>
      <c r="J34" s="3373" t="s">
        <v>2329</v>
      </c>
      <c r="K34" s="3374"/>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15" customHeight="1" thickBot="1">
      <c r="A36" s="2676">
        <v>7</v>
      </c>
      <c r="B36" s="2730" t="s">
        <v>2428</v>
      </c>
      <c r="C36" s="2731"/>
      <c r="D36" s="2732"/>
      <c r="E36" s="2733"/>
      <c r="F36" s="2734">
        <f>C36+D36+E36</f>
        <v>0</v>
      </c>
      <c r="G36" s="2588"/>
      <c r="H36" s="2595"/>
      <c r="I36" s="2596"/>
      <c r="J36" s="3365">
        <v>1</v>
      </c>
      <c r="K36" s="3366" t="s">
        <v>2429</v>
      </c>
      <c r="L36" s="2621"/>
      <c r="M36" s="2622"/>
      <c r="N36" s="2622"/>
      <c r="O36" s="2622"/>
      <c r="P36" s="2622"/>
      <c r="Q36" s="2622"/>
      <c r="R36" s="2605" t="s">
        <v>2341</v>
      </c>
      <c r="S36" s="2588"/>
      <c r="T36" s="2588" t="s">
        <v>2342</v>
      </c>
      <c r="U36" s="2588"/>
      <c r="V36" s="2596"/>
    </row>
    <row r="37" spans="1:23" s="2600" customFormat="1" ht="13.15" customHeight="1">
      <c r="A37" s="2676"/>
      <c r="B37" s="2677"/>
      <c r="C37" s="2677"/>
      <c r="D37" s="2677"/>
      <c r="E37" s="2677"/>
      <c r="F37" s="2681"/>
      <c r="G37" s="2588"/>
      <c r="H37" s="2595"/>
      <c r="I37" s="2596"/>
      <c r="J37" s="3365"/>
      <c r="K37" s="3367"/>
      <c r="L37" s="2630"/>
      <c r="M37" s="2631"/>
      <c r="N37" s="2607"/>
      <c r="O37" s="2632"/>
      <c r="P37" s="2632"/>
      <c r="Q37" s="2633"/>
      <c r="R37" s="2634"/>
      <c r="S37" s="2588"/>
      <c r="T37" s="2588" t="s">
        <v>2345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65"/>
      <c r="K38" s="3367"/>
      <c r="L38" s="2630"/>
      <c r="M38" s="2631"/>
      <c r="N38" s="2607"/>
      <c r="O38" s="2632"/>
      <c r="P38" s="2632"/>
      <c r="Q38" s="2633"/>
      <c r="R38" s="2634"/>
      <c r="S38" s="2588"/>
      <c r="T38" s="2588" t="s">
        <v>2352</v>
      </c>
      <c r="U38" s="2588"/>
      <c r="V38" s="2596"/>
    </row>
    <row r="39" spans="1:23" s="2600" customFormat="1" ht="13.15" customHeight="1">
      <c r="A39" s="2676">
        <v>9</v>
      </c>
      <c r="B39" s="2677" t="s">
        <v>2430</v>
      </c>
      <c r="C39" s="2644" t="e">
        <f>C38</f>
        <v>#DIV/0!</v>
      </c>
      <c r="D39" s="2677">
        <f>D38/(1+D34)^C36</f>
        <v>0</v>
      </c>
      <c r="E39" s="2677">
        <f>E38/(1+E34)^(C36+D36)</f>
        <v>0</v>
      </c>
      <c r="F39" s="2681"/>
      <c r="G39" s="2596"/>
      <c r="H39" s="2595"/>
      <c r="I39" s="2596"/>
      <c r="J39" s="3365"/>
      <c r="K39" s="3367"/>
      <c r="L39" s="2630"/>
      <c r="M39" s="2631"/>
      <c r="N39" s="2607"/>
      <c r="O39" s="2632"/>
      <c r="P39" s="2632"/>
      <c r="Q39" s="2633"/>
      <c r="R39" s="2634"/>
      <c r="S39" s="2588"/>
      <c r="T39" s="2588"/>
      <c r="U39" s="2588"/>
      <c r="V39" s="2596"/>
    </row>
    <row r="40" spans="1:23" s="2600" customFormat="1" ht="13.15" customHeight="1">
      <c r="A40" s="2735">
        <v>10</v>
      </c>
      <c r="B40" s="2677" t="s">
        <v>2431</v>
      </c>
      <c r="C40" s="2736" t="e">
        <f>C39+D39+E39</f>
        <v>#DIV/0!</v>
      </c>
      <c r="D40" s="2737"/>
      <c r="E40" s="2737"/>
      <c r="F40" s="2738"/>
      <c r="G40" s="2588"/>
      <c r="H40" s="2595"/>
      <c r="I40" s="2596"/>
      <c r="J40" s="3365"/>
      <c r="K40" s="3368"/>
      <c r="L40" s="2650" t="s">
        <v>2370</v>
      </c>
      <c r="M40" s="2651"/>
      <c r="N40" s="2651"/>
      <c r="O40" s="2652"/>
      <c r="P40" s="2652"/>
      <c r="Q40" s="2653"/>
      <c r="R40" s="2599">
        <f>SUM(R37:R39)</f>
        <v>0</v>
      </c>
      <c r="S40" s="2588"/>
      <c r="T40" s="2588"/>
      <c r="U40" s="2588"/>
      <c r="V40" s="2596"/>
    </row>
    <row r="41" spans="1:23" s="2600" customFormat="1" ht="13.15"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15" customHeight="1">
      <c r="G42" s="2595"/>
      <c r="H42" s="2595"/>
      <c r="I42" s="2596"/>
      <c r="J42" s="3369">
        <v>3</v>
      </c>
      <c r="K42" s="2696" t="s">
        <v>2412</v>
      </c>
      <c r="L42" s="2697"/>
      <c r="M42" s="2698"/>
      <c r="N42" s="2699" t="s">
        <v>2413</v>
      </c>
      <c r="O42" s="2699" t="s">
        <v>2414</v>
      </c>
      <c r="P42" s="2700" t="s">
        <v>2415</v>
      </c>
      <c r="Q42" s="2700" t="s">
        <v>2416</v>
      </c>
      <c r="R42" s="2605" t="s">
        <v>2341</v>
      </c>
      <c r="S42" s="2639"/>
      <c r="T42" s="2639"/>
      <c r="U42" s="2588"/>
      <c r="V42" s="2596"/>
    </row>
    <row r="43" spans="1:23" ht="13.15" customHeight="1">
      <c r="A43" s="2600"/>
      <c r="B43" s="2600"/>
      <c r="C43" s="2600"/>
      <c r="D43" s="2600"/>
      <c r="E43" s="2600"/>
      <c r="F43" s="2600"/>
      <c r="I43" s="2583"/>
      <c r="J43" s="337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5"/>
      <c r="G1" s="459"/>
      <c r="H1" s="459"/>
      <c r="I1" s="459"/>
      <c r="J1" s="459"/>
      <c r="K1" s="459"/>
      <c r="L1" s="459"/>
      <c r="M1" s="459"/>
      <c r="N1" s="459"/>
      <c r="O1" s="459"/>
      <c r="P1" s="459"/>
      <c r="Q1" s="459"/>
      <c r="R1" s="459"/>
      <c r="S1" s="459"/>
    </row>
    <row r="2" spans="1:22" ht="15.75">
      <c r="A2" s="1728" t="s">
        <v>1462</v>
      </c>
      <c r="B2" s="811">
        <f ca="1">SUMIF(B6:B13,"&lt;&gt;#ref!",B6:B13)</f>
        <v>1767.4554000000001</v>
      </c>
      <c r="C2" s="1729" t="s">
        <v>1651</v>
      </c>
      <c r="D2" s="1730" t="s">
        <v>1652</v>
      </c>
      <c r="E2" s="2389">
        <f>SUM(E6:E13)</f>
        <v>1680.33</v>
      </c>
      <c r="F2" s="2475"/>
      <c r="G2" s="459"/>
      <c r="H2" s="459"/>
      <c r="I2" s="459"/>
      <c r="J2" s="459"/>
      <c r="K2" s="459"/>
      <c r="L2" s="459"/>
      <c r="M2" s="459"/>
      <c r="N2" s="459"/>
      <c r="O2" s="459"/>
      <c r="P2" s="459"/>
      <c r="Q2" s="459"/>
      <c r="R2" s="459"/>
      <c r="S2" s="459"/>
    </row>
    <row r="3" spans="1:22" ht="15.75">
      <c r="A3" s="1728" t="s">
        <v>686</v>
      </c>
      <c r="B3" s="2383">
        <f ca="1">ROUND(B2*10000/E2,0)</f>
        <v>10519</v>
      </c>
      <c r="C3" s="1729"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384" t="s">
        <v>1654</v>
      </c>
      <c r="C5" s="3385"/>
      <c r="D5" s="2476"/>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1767.4554000000001</v>
      </c>
      <c r="C6" s="1729" t="s">
        <v>1651</v>
      </c>
      <c r="D6" s="2475"/>
      <c r="E6" s="2388">
        <f>IF(OR(A6=0,F6="否"),0,'数据-取费表'!K6+'数据-取费表'!S6)</f>
        <v>1680.33</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5"/>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5"/>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5"/>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5"/>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5"/>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5"/>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7"/>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1680.33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2"/>
      <c r="M4" s="2483"/>
      <c r="N4" s="2483"/>
      <c r="O4" s="2483"/>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2"/>
      <c r="M5" s="2483"/>
      <c r="N5" s="2483"/>
      <c r="O5" s="2483"/>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2"/>
      <c r="M6" s="2483"/>
      <c r="N6" s="2483"/>
      <c r="O6" s="2483"/>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424" t="s">
        <v>1680</v>
      </c>
      <c r="Q7" s="3426"/>
      <c r="R7" s="664" t="s">
        <v>20</v>
      </c>
      <c r="S7" s="665">
        <f t="shared" ref="S7:S15" si="0">F7</f>
        <v>0</v>
      </c>
      <c r="T7" s="664" t="s">
        <v>20</v>
      </c>
      <c r="U7" s="665">
        <f t="shared" ref="U7:U15" si="1">H7</f>
        <v>0</v>
      </c>
      <c r="V7" s="664" t="s">
        <v>20</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0"/>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399"/>
      <c r="Q16" s="1263"/>
      <c r="R16" s="667"/>
      <c r="S16" s="668"/>
      <c r="T16" s="667"/>
      <c r="U16" s="668"/>
      <c r="V16" s="667"/>
      <c r="W16" s="668"/>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399"/>
      <c r="Q18" s="1263"/>
      <c r="R18" s="667"/>
      <c r="S18" s="668"/>
      <c r="T18" s="667"/>
      <c r="U18" s="668"/>
      <c r="V18" s="667"/>
      <c r="W18" s="668"/>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399"/>
      <c r="Q20" s="1263"/>
      <c r="R20" s="667"/>
      <c r="S20" s="668"/>
      <c r="T20" s="667"/>
      <c r="U20" s="668"/>
      <c r="V20" s="667"/>
      <c r="W20" s="668"/>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399"/>
      <c r="Q22" s="1263"/>
      <c r="R22" s="667"/>
      <c r="S22" s="668"/>
      <c r="T22" s="667"/>
      <c r="U22" s="668"/>
      <c r="V22" s="667"/>
      <c r="W22" s="668"/>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0"/>
      <c r="M47" s="2483"/>
      <c r="N47" s="2483"/>
      <c r="O47" s="2483"/>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0"/>
      <c r="M49" s="2483"/>
      <c r="N49" s="2483"/>
      <c r="O49" s="2483"/>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1680.33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2"/>
      <c r="M5" s="2483"/>
      <c r="N5" s="2483"/>
      <c r="O5" s="2483"/>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2"/>
      <c r="M6" s="2483"/>
      <c r="N6" s="2483"/>
      <c r="O6" s="2483"/>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4"/>
      <c r="M7" s="2436"/>
      <c r="N7" s="2436"/>
      <c r="O7" s="2436"/>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399"/>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399"/>
      <c r="Q18" s="1263"/>
      <c r="R18" s="667"/>
      <c r="S18" s="668"/>
      <c r="T18" s="667"/>
      <c r="U18" s="668"/>
      <c r="V18" s="667"/>
      <c r="W18" s="668"/>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399"/>
      <c r="Q20" s="1263"/>
      <c r="R20" s="667"/>
      <c r="S20" s="668"/>
      <c r="T20" s="667"/>
      <c r="U20" s="668"/>
      <c r="V20" s="667"/>
      <c r="W20" s="668"/>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399"/>
      <c r="Q22" s="1263"/>
      <c r="R22" s="667"/>
      <c r="S22" s="668"/>
      <c r="T22" s="667"/>
      <c r="U22" s="668"/>
      <c r="V22" s="667"/>
      <c r="W22" s="668"/>
      <c r="X22" s="1265"/>
      <c r="Y22" s="339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0"/>
      <c r="M47" s="2483"/>
      <c r="N47" s="2483"/>
      <c r="O47" s="2483"/>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1680.33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2"/>
      <c r="M5" s="2483"/>
      <c r="N5" s="2483"/>
      <c r="O5" s="2483"/>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2"/>
      <c r="M6" s="2483"/>
      <c r="N6" s="2483"/>
      <c r="O6" s="2483"/>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4"/>
      <c r="M7" s="2436"/>
      <c r="N7" s="2436"/>
      <c r="O7" s="2436"/>
      <c r="P7" s="344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399"/>
      <c r="Q16" s="1263"/>
      <c r="R16" s="667"/>
      <c r="S16" s="668"/>
      <c r="T16" s="667"/>
      <c r="U16" s="668"/>
      <c r="V16" s="667"/>
      <c r="W16" s="668"/>
      <c r="X16" s="1265"/>
      <c r="Y16" s="339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399"/>
      <c r="Q18" s="1263"/>
      <c r="R18" s="667"/>
      <c r="S18" s="668"/>
      <c r="T18" s="667"/>
      <c r="U18" s="668"/>
      <c r="V18" s="667"/>
      <c r="W18" s="668"/>
      <c r="X18" s="1265"/>
      <c r="Y18" s="339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399"/>
      <c r="Q20" s="1263"/>
      <c r="R20" s="667"/>
      <c r="S20" s="668"/>
      <c r="T20" s="667"/>
      <c r="U20" s="668"/>
      <c r="V20" s="667"/>
      <c r="W20" s="668"/>
      <c r="X20" s="1265"/>
      <c r="Y20" s="339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399"/>
      <c r="Q22" s="1263"/>
      <c r="R22" s="667"/>
      <c r="S22" s="668"/>
      <c r="T22" s="667"/>
      <c r="U22" s="668"/>
      <c r="V22" s="667"/>
      <c r="W22" s="668"/>
      <c r="X22" s="1265"/>
      <c r="Y22" s="339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0"/>
      <c r="M48" s="2483"/>
      <c r="N48" s="2483"/>
      <c r="O48" s="2483"/>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0"/>
      <c r="M49" s="2483"/>
      <c r="N49" s="2483"/>
      <c r="O49" s="2483"/>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0"/>
      <c r="M50" s="2483"/>
      <c r="N50" s="2483"/>
      <c r="O50" s="2483"/>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zoomScaleSheetLayoutView="85" workbookViewId="0">
      <selection activeCell="M27" sqref="M2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3423</v>
      </c>
      <c r="E1" s="3127" t="s">
        <v>3434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3328.9018000000001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19811</v>
      </c>
      <c r="C3" s="344" t="s">
        <v>1768</v>
      </c>
      <c r="D3" s="343">
        <f>IF(D1="",'数据-汇总表'!E3,SUMIF('数据-汇总表'!$C19:$C33,D1,'数据-汇总表'!$E19:$E33))</f>
        <v>1680.33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3.9" customHeight="1">
      <c r="A5" s="348"/>
      <c r="B5" s="349"/>
      <c r="C5" s="3448" t="s">
        <v>3436</v>
      </c>
      <c r="D5" s="3423"/>
      <c r="E5" s="3448" t="s">
        <v>3467</v>
      </c>
      <c r="F5" s="3423"/>
      <c r="G5" s="3448" t="s">
        <v>3436</v>
      </c>
      <c r="H5" s="3423"/>
      <c r="I5" s="3448" t="s">
        <v>3436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47" t="s">
        <v>2769</v>
      </c>
      <c r="D6" s="3421"/>
      <c r="E6" s="3449" t="s">
        <v>2766</v>
      </c>
      <c r="F6" s="3428"/>
      <c r="G6" s="3447" t="s">
        <v>2769</v>
      </c>
      <c r="H6" s="3421"/>
      <c r="I6" s="3447" t="s">
        <v>2769</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f>C7</f>
        <v>45705</v>
      </c>
      <c r="F7" s="357">
        <f>SUMIF(52:52,YEAR(E7)&amp;"-"&amp;MONTH(E7),53:53)</f>
        <v>100</v>
      </c>
      <c r="G7" s="356">
        <f>C7</f>
        <v>45705</v>
      </c>
      <c r="H7" s="355">
        <f>SUMIF(52:52,YEAR(G7)&amp;"-"&amp;MONTH(G7),53:53)</f>
        <v>100</v>
      </c>
      <c r="I7" s="356">
        <f>C7</f>
        <v>45705</v>
      </c>
      <c r="J7" s="355">
        <f>SUMIF(52:52,YEAR(I7)&amp;"-"&amp;MONTH(I7),53:53)</f>
        <v>100</v>
      </c>
      <c r="K7" s="38"/>
      <c r="L7" s="862"/>
      <c r="M7" s="863"/>
      <c r="N7" s="863"/>
      <c r="O7" s="863"/>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3437</v>
      </c>
      <c r="D8" s="355">
        <v>100</v>
      </c>
      <c r="E8" s="358" t="s">
        <v>3438</v>
      </c>
      <c r="F8" s="357">
        <f>SUMIF(55:55,E8,56:56)-SUMIF(55:55,C8,56:56)+100</f>
        <v>101</v>
      </c>
      <c r="G8" s="358" t="s">
        <v>3438</v>
      </c>
      <c r="H8" s="355">
        <f>SUMIF(55:55,G8,56:56)-SUMIF(55:55,C8,56:56)+100</f>
        <v>101</v>
      </c>
      <c r="I8" s="358" t="s">
        <v>3438</v>
      </c>
      <c r="J8" s="355">
        <f>SUMIF(55:55,I8,56:56)-SUMIF(55:55,C8,56:56)+100</f>
        <v>101</v>
      </c>
      <c r="K8" s="38"/>
      <c r="L8" s="862"/>
      <c r="M8" s="863"/>
      <c r="N8" s="863"/>
      <c r="O8" s="863"/>
      <c r="P8" s="3424" t="s">
        <v>1683</v>
      </c>
      <c r="Q8" s="3425"/>
      <c r="R8" s="664" t="s">
        <v>14</v>
      </c>
      <c r="S8" s="665">
        <f t="shared" si="0"/>
        <v>101</v>
      </c>
      <c r="T8" s="664" t="s">
        <v>14</v>
      </c>
      <c r="U8" s="665">
        <f t="shared" si="1"/>
        <v>101</v>
      </c>
      <c r="V8" s="664" t="s">
        <v>14</v>
      </c>
      <c r="W8" s="665">
        <f t="shared" si="2"/>
        <v>101</v>
      </c>
      <c r="X8" s="666"/>
      <c r="Y8" s="3424" t="s">
        <v>1683</v>
      </c>
      <c r="Z8" s="3425"/>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54" t="s">
        <v>3441</v>
      </c>
      <c r="D9" s="59">
        <v>100</v>
      </c>
      <c r="E9" s="3154" t="s">
        <v>3441</v>
      </c>
      <c r="F9" s="59">
        <f>SUMIF(57:57,E9,58:58)-SUMIF(57:57,C9,58:58)+100</f>
        <v>100</v>
      </c>
      <c r="G9" s="3154" t="s">
        <v>3441</v>
      </c>
      <c r="H9" s="59">
        <f>SUMIF(57:57,G9,58:58)-SUMIF(57:57,C9,58:58)+100</f>
        <v>100</v>
      </c>
      <c r="I9" s="3154" t="s">
        <v>3441</v>
      </c>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75" thickTop="1">
      <c r="A10" s="363"/>
      <c r="B10" s="364" t="s">
        <v>1688</v>
      </c>
      <c r="C10" s="3153" t="s">
        <v>3472</v>
      </c>
      <c r="D10" s="119">
        <v>100</v>
      </c>
      <c r="E10" s="3153" t="s">
        <v>3472</v>
      </c>
      <c r="F10" s="119">
        <f>SUMIF(59:59,E10,60:60)-SUMIF(59:59,C10,60:60)+100</f>
        <v>100</v>
      </c>
      <c r="G10" s="3153" t="s">
        <v>3472</v>
      </c>
      <c r="H10" s="119">
        <f>SUMIF(59:59,G10,60:60)-SUMIF(59:59,C10,60:60)+100</f>
        <v>100</v>
      </c>
      <c r="I10" s="3153" t="s">
        <v>3472</v>
      </c>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t="s">
        <v>3431</v>
      </c>
      <c r="D18" s="389"/>
      <c r="E18" s="386" t="s">
        <v>3431</v>
      </c>
      <c r="F18" s="392"/>
      <c r="G18" s="386" t="s">
        <v>3431</v>
      </c>
      <c r="H18" s="387"/>
      <c r="I18" s="386" t="s">
        <v>3431</v>
      </c>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102</v>
      </c>
      <c r="G19" s="398"/>
      <c r="H19" s="389">
        <f>SUMIF(74:74,G20,75:75)-SUMIF(74:74,C20,75:75)+100</f>
        <v>100</v>
      </c>
      <c r="I19" s="396"/>
      <c r="J19" s="389">
        <f>SUMIF(74:74,I20,75:75)-SUMIF(74:74,C20,75:75)+100</f>
        <v>100</v>
      </c>
      <c r="K19" s="540">
        <v>2</v>
      </c>
      <c r="L19" s="870"/>
      <c r="M19" s="861"/>
      <c r="N19" s="861"/>
      <c r="O19" s="869"/>
      <c r="P19" s="3392"/>
      <c r="Q19" s="1263" t="str">
        <f>B19</f>
        <v>公共配套设施</v>
      </c>
      <c r="R19" s="667" t="s">
        <v>14</v>
      </c>
      <c r="S19" s="668">
        <f>F19</f>
        <v>102</v>
      </c>
      <c r="T19" s="667" t="s">
        <v>14</v>
      </c>
      <c r="U19" s="668">
        <f>H19</f>
        <v>100</v>
      </c>
      <c r="V19" s="667" t="s">
        <v>14</v>
      </c>
      <c r="W19" s="668">
        <f>J19</f>
        <v>100</v>
      </c>
      <c r="X19" s="1265"/>
      <c r="Y19" s="3392"/>
      <c r="Z19" s="1264" t="str">
        <f>Q19</f>
        <v>公共配套设施</v>
      </c>
      <c r="AA19" s="1264">
        <f t="shared" si="3"/>
        <v>0.98039215686274506</v>
      </c>
      <c r="AB19" s="1264">
        <f t="shared" si="4"/>
        <v>1</v>
      </c>
      <c r="AC19" s="1264">
        <f t="shared" si="5"/>
        <v>1</v>
      </c>
    </row>
    <row r="20" spans="1:29" ht="15">
      <c r="A20" s="367"/>
      <c r="B20" s="395"/>
      <c r="C20" s="386" t="s">
        <v>3433</v>
      </c>
      <c r="D20" s="387"/>
      <c r="E20" s="386" t="s">
        <v>3431</v>
      </c>
      <c r="F20" s="388"/>
      <c r="G20" s="386" t="s">
        <v>3433</v>
      </c>
      <c r="H20" s="387"/>
      <c r="I20" s="386" t="s">
        <v>3433</v>
      </c>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102</v>
      </c>
      <c r="G21" s="398"/>
      <c r="H21" s="389">
        <f>SUMIF(76:76,G22,77:77)-SUMIF(76:76,C22,77:77)+100</f>
        <v>100</v>
      </c>
      <c r="I21" s="396"/>
      <c r="J21" s="389">
        <f>SUMIF(76:76,I22,77:77)-SUMIF(76:76,C22,77:77)+100</f>
        <v>100</v>
      </c>
      <c r="K21" s="540">
        <v>1</v>
      </c>
      <c r="L21" s="870"/>
      <c r="M21" s="861"/>
      <c r="N21" s="861"/>
      <c r="O21" s="869"/>
      <c r="P21" s="3392"/>
      <c r="Q21" s="1263" t="str">
        <f>B21</f>
        <v>基础设施水平</v>
      </c>
      <c r="R21" s="667" t="s">
        <v>14</v>
      </c>
      <c r="S21" s="668">
        <f>F21</f>
        <v>102</v>
      </c>
      <c r="T21" s="667" t="s">
        <v>14</v>
      </c>
      <c r="U21" s="668">
        <f>H21</f>
        <v>100</v>
      </c>
      <c r="V21" s="667" t="s">
        <v>14</v>
      </c>
      <c r="W21" s="668">
        <f>J21</f>
        <v>100</v>
      </c>
      <c r="X21" s="1265"/>
      <c r="Y21" s="3392"/>
      <c r="Z21" s="1264" t="str">
        <f>Q21</f>
        <v>基础设施水平</v>
      </c>
      <c r="AA21" s="1264">
        <f t="shared" ref="AA21" si="8">D21/F21</f>
        <v>0.98039215686274506</v>
      </c>
      <c r="AB21" s="1264">
        <f t="shared" ref="AB21" si="9">D21/H21</f>
        <v>1</v>
      </c>
      <c r="AC21" s="1264">
        <f t="shared" ref="AC21" si="10">D21/J21</f>
        <v>1</v>
      </c>
    </row>
    <row r="22" spans="1:29" ht="15">
      <c r="A22" s="367"/>
      <c r="B22" s="586"/>
      <c r="C22" s="1755" t="s">
        <v>3463</v>
      </c>
      <c r="D22" s="387"/>
      <c r="E22" s="1755" t="s">
        <v>3474</v>
      </c>
      <c r="F22" s="388"/>
      <c r="G22" s="1755" t="s">
        <v>3463</v>
      </c>
      <c r="H22" s="387"/>
      <c r="I22" s="1755" t="s">
        <v>3463</v>
      </c>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t="s">
        <v>3431</v>
      </c>
      <c r="D24" s="387"/>
      <c r="E24" s="386" t="s">
        <v>3431</v>
      </c>
      <c r="F24" s="388"/>
      <c r="G24" s="386" t="s">
        <v>3431</v>
      </c>
      <c r="H24" s="387"/>
      <c r="I24" s="386" t="s">
        <v>3431</v>
      </c>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t="s">
        <v>3450</v>
      </c>
      <c r="D29" s="405">
        <v>100</v>
      </c>
      <c r="E29" s="1764" t="s">
        <v>3450</v>
      </c>
      <c r="F29" s="400">
        <f>SUMIF(88:88,E29,89:89)-SUMIF(88:88,C29,89:89)+100</f>
        <v>100</v>
      </c>
      <c r="G29" s="1764" t="s">
        <v>3450</v>
      </c>
      <c r="H29" s="374">
        <f>SUMIF(88:88,G29,89:89)-SUMIF(88:88,C29,89:89)+100</f>
        <v>100</v>
      </c>
      <c r="I29" s="1764" t="s">
        <v>3450</v>
      </c>
      <c r="J29" s="405">
        <f>SUMIF(88:88,I29,89:89)-SUMIF(88:88,C29,89:89)+100</f>
        <v>100</v>
      </c>
      <c r="K29" s="538">
        <v>2</v>
      </c>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1680.33</v>
      </c>
      <c r="D30" s="119">
        <v>100</v>
      </c>
      <c r="E30" s="369">
        <v>1144</v>
      </c>
      <c r="F30" s="364">
        <f>LOOKUP(E30,91:91,92:92)-LOOKUP(C30,91:91,92:92)+100</f>
        <v>100</v>
      </c>
      <c r="G30" s="368">
        <v>2100</v>
      </c>
      <c r="H30" s="119">
        <f>LOOKUP(G30,91:91,92:92)-LOOKUP(C30,91:91,92:92)+100</f>
        <v>97</v>
      </c>
      <c r="I30" s="368">
        <v>2246</v>
      </c>
      <c r="J30" s="119">
        <f>LOOKUP(I30,91:91,92:92)-LOOKUP(C30,91:91,92:92)+100</f>
        <v>97</v>
      </c>
      <c r="K30" s="539"/>
      <c r="L30" s="868"/>
      <c r="M30" s="871"/>
      <c r="N30" s="871"/>
      <c r="O30" s="872"/>
      <c r="P30" s="3396"/>
      <c r="Q30" s="531" t="str">
        <f t="shared" si="11"/>
        <v>项目建筑规模</v>
      </c>
      <c r="R30" s="669" t="s">
        <v>14</v>
      </c>
      <c r="S30" s="670">
        <f t="shared" si="12"/>
        <v>100</v>
      </c>
      <c r="T30" s="669" t="s">
        <v>14</v>
      </c>
      <c r="U30" s="670">
        <f t="shared" si="13"/>
        <v>97</v>
      </c>
      <c r="V30" s="669" t="s">
        <v>14</v>
      </c>
      <c r="W30" s="670">
        <f t="shared" si="14"/>
        <v>97</v>
      </c>
      <c r="X30" s="671"/>
      <c r="Y30" s="3396"/>
      <c r="Z30" s="672" t="str">
        <f t="shared" si="15"/>
        <v>项目建筑规模</v>
      </c>
      <c r="AA30" s="1264">
        <f t="shared" si="3"/>
        <v>1</v>
      </c>
      <c r="AB30" s="1264">
        <f t="shared" si="4"/>
        <v>1.0309278350515463</v>
      </c>
      <c r="AC30" s="1264">
        <f t="shared" si="5"/>
        <v>1.0309278350515463</v>
      </c>
    </row>
    <row r="31" spans="1:29" ht="15">
      <c r="A31" s="409"/>
      <c r="B31" s="364" t="s">
        <v>1698</v>
      </c>
      <c r="C31" s="399" t="s">
        <v>3425</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3159">
        <f>'数据-取费表'!N6</f>
        <v>0.78</v>
      </c>
      <c r="D33" s="374">
        <v>100</v>
      </c>
      <c r="E33" s="411">
        <v>0.8</v>
      </c>
      <c r="F33" s="400">
        <f>LOOKUP(E33,98:98,99:99)-LOOKUP(C33,98:98,99:99)+100</f>
        <v>101</v>
      </c>
      <c r="G33" s="411">
        <f>C33</f>
        <v>0.78</v>
      </c>
      <c r="H33" s="400">
        <f>LOOKUP(G33,98:98,99:99)-LOOKUP(C33,98:98,99:99)+100</f>
        <v>100</v>
      </c>
      <c r="I33" s="411">
        <f>C33</f>
        <v>0.78</v>
      </c>
      <c r="J33" s="374">
        <f>LOOKUP(I33,98:98,99:99)-LOOKUP(C33,98:98,99:99)+100</f>
        <v>100</v>
      </c>
      <c r="K33" s="538">
        <v>1</v>
      </c>
      <c r="L33" s="870"/>
      <c r="M33" s="861"/>
      <c r="N33" s="861"/>
      <c r="O33" s="869"/>
      <c r="P33" s="3396"/>
      <c r="Q33" s="1263" t="str">
        <f t="shared" si="11"/>
        <v>成新度</v>
      </c>
      <c r="R33" s="667" t="s">
        <v>14</v>
      </c>
      <c r="S33" s="668">
        <f t="shared" si="12"/>
        <v>101</v>
      </c>
      <c r="T33" s="667" t="s">
        <v>14</v>
      </c>
      <c r="U33" s="668">
        <f t="shared" si="13"/>
        <v>100</v>
      </c>
      <c r="V33" s="667" t="s">
        <v>14</v>
      </c>
      <c r="W33" s="668">
        <f t="shared" si="14"/>
        <v>100</v>
      </c>
      <c r="X33" s="1265"/>
      <c r="Y33" s="3396"/>
      <c r="Z33" s="1264" t="str">
        <f t="shared" si="15"/>
        <v>成新度</v>
      </c>
      <c r="AA33" s="1264">
        <f t="shared" si="3"/>
        <v>0.99009900990099009</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t="s">
        <v>3460</v>
      </c>
      <c r="D36" s="374">
        <v>100</v>
      </c>
      <c r="E36" s="399" t="s">
        <v>3459</v>
      </c>
      <c r="F36" s="400">
        <f>SUMIF(104:104,E36,105:105)-SUMIF(104:104,C36,105:105)+100</f>
        <v>101</v>
      </c>
      <c r="G36" s="399" t="s">
        <v>3459</v>
      </c>
      <c r="H36" s="374">
        <f>SUMIF(104:104,G36,105:105)-SUMIF(104:104,C36,105:105)+100</f>
        <v>101</v>
      </c>
      <c r="I36" s="399" t="s">
        <v>3459</v>
      </c>
      <c r="J36" s="374">
        <f>SUMIF(104:104,I36,105:105)-SUMIF(104:104,C36,105:105)+100</f>
        <v>101</v>
      </c>
      <c r="K36" s="538">
        <v>1</v>
      </c>
      <c r="L36" s="870"/>
      <c r="M36" s="861"/>
      <c r="N36" s="861"/>
      <c r="O36" s="869"/>
      <c r="P36" s="3396"/>
      <c r="Q36" s="1263" t="str">
        <f t="shared" si="11"/>
        <v>内部装修</v>
      </c>
      <c r="R36" s="667" t="s">
        <v>14</v>
      </c>
      <c r="S36" s="668">
        <f t="shared" si="12"/>
        <v>101</v>
      </c>
      <c r="T36" s="667" t="s">
        <v>14</v>
      </c>
      <c r="U36" s="668">
        <f t="shared" si="13"/>
        <v>101</v>
      </c>
      <c r="V36" s="667" t="s">
        <v>14</v>
      </c>
      <c r="W36" s="668">
        <f t="shared" si="14"/>
        <v>101</v>
      </c>
      <c r="X36" s="1265"/>
      <c r="Y36" s="3396"/>
      <c r="Z36" s="1264" t="str">
        <f t="shared" si="15"/>
        <v>内部装修</v>
      </c>
      <c r="AA36" s="1264">
        <f t="shared" si="3"/>
        <v>0.99009900990099009</v>
      </c>
      <c r="AB36" s="1264">
        <f t="shared" si="4"/>
        <v>0.99009900990099009</v>
      </c>
      <c r="AC36" s="1264">
        <f t="shared" si="5"/>
        <v>0.99009900990099009</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v>22000</v>
      </c>
      <c r="F41" s="420"/>
      <c r="G41" s="421">
        <v>18500</v>
      </c>
      <c r="H41" s="422"/>
      <c r="I41" s="419">
        <v>20000</v>
      </c>
      <c r="J41" s="422"/>
      <c r="K41" s="674"/>
      <c r="L41" s="873"/>
      <c r="M41" s="861"/>
      <c r="N41" s="861"/>
      <c r="O41" s="861"/>
      <c r="P41" s="3389" t="str">
        <f>A41</f>
        <v>成交单价（元/平方米）</v>
      </c>
      <c r="Q41" s="3389"/>
      <c r="R41" s="3390">
        <f>E41</f>
        <v>22000</v>
      </c>
      <c r="S41" s="3390"/>
      <c r="T41" s="3390">
        <f>G41</f>
        <v>18500</v>
      </c>
      <c r="U41" s="3390"/>
      <c r="V41" s="3390">
        <f>I41</f>
        <v>20000</v>
      </c>
      <c r="W41" s="3390"/>
      <c r="X41" s="385"/>
      <c r="Y41" s="673"/>
      <c r="Z41" s="385"/>
      <c r="AA41" s="385"/>
      <c r="AB41" s="385"/>
      <c r="AC41" s="385"/>
    </row>
    <row r="42" spans="1:29" ht="15.75" thickBot="1">
      <c r="A42" s="423" t="s">
        <v>1793</v>
      </c>
      <c r="B42" s="424"/>
      <c r="C42" s="1082">
        <f>R43</f>
        <v>19811</v>
      </c>
      <c r="D42" s="2141" t="s">
        <v>2138</v>
      </c>
      <c r="E42" s="1083">
        <f>R42</f>
        <v>20524</v>
      </c>
      <c r="F42" s="2142"/>
      <c r="G42" s="1082">
        <f>T42</f>
        <v>18696</v>
      </c>
      <c r="H42" s="2142"/>
      <c r="I42" s="1083">
        <f>V42</f>
        <v>20212</v>
      </c>
      <c r="J42" s="2142"/>
      <c r="K42" s="2144">
        <f>F42+H42+J42</f>
        <v>0</v>
      </c>
      <c r="L42" s="873"/>
      <c r="M42" s="861"/>
      <c r="N42" s="861"/>
      <c r="O42" s="861"/>
      <c r="P42" s="3389" t="str">
        <f>A42</f>
        <v>比较价值（元/平方米）</v>
      </c>
      <c r="Q42" s="3389"/>
      <c r="R42" s="3390">
        <f>IF(F1="售价",ROUND(PRODUCT(R41,AA7:AA40),0),ROUND(PRODUCT(R41,AA7:AA40),1))</f>
        <v>20524</v>
      </c>
      <c r="S42" s="3390"/>
      <c r="T42" s="3390">
        <f>IF(F1="售价",ROUND(PRODUCT(T41,AB7:AB40),0),ROUND(PRODUCT(T41,AB7:AB40),1))</f>
        <v>18696</v>
      </c>
      <c r="U42" s="3390"/>
      <c r="V42" s="3390">
        <f>IF(F1="售价",ROUND(PRODUCT(V41,AC7:AC40),0),ROUND(PRODUCT(V41,AC7:AC40),1))</f>
        <v>20212</v>
      </c>
      <c r="W42" s="3390"/>
      <c r="X42" s="385"/>
      <c r="Y42" s="385"/>
      <c r="Z42" s="385"/>
      <c r="AA42" s="385"/>
      <c r="AB42" s="385"/>
      <c r="AC42" s="385"/>
    </row>
    <row r="43" spans="1:29" ht="15.75" thickBot="1">
      <c r="A43" s="427" t="s">
        <v>1794</v>
      </c>
      <c r="B43" s="428"/>
      <c r="C43" s="351">
        <f>R43</f>
        <v>19811</v>
      </c>
      <c r="D43" s="351"/>
      <c r="E43" s="351"/>
      <c r="F43" s="351"/>
      <c r="G43" s="351"/>
      <c r="H43" s="351"/>
      <c r="I43" s="351"/>
      <c r="J43" s="351"/>
      <c r="K43" s="675"/>
      <c r="L43" s="873"/>
      <c r="M43" s="861"/>
      <c r="N43" s="861"/>
      <c r="O43" s="861"/>
      <c r="P43" s="3386" t="str">
        <f>A43</f>
        <v>估价对象XX用房的比较价值（楼面单价，元/平方米）</v>
      </c>
      <c r="Q43" s="3387"/>
      <c r="R43" s="3388">
        <f>IF(F1="售价",ROUND(IF(D42="简单平均",AVERAGE(R42:V42),R42*F42+T42*H42+V42*J42),0),ROUND(IF(D42="简单平均",AVERAGE(R42:V42),R42*F42+T42*H42+V42*J42),1))</f>
        <v>19811</v>
      </c>
      <c r="S43" s="3388"/>
      <c r="T43" s="3388"/>
      <c r="U43" s="3388"/>
      <c r="V43" s="3388"/>
      <c r="W43" s="338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f>IF(E41&lt;E42,E42/E41-1,E41/E42-1)</f>
        <v>7.1915805885792272E-2</v>
      </c>
      <c r="F46" s="435" t="str">
        <f>IF(OR(E46&gt;=0.3,E46&lt;=-0.3),"超过30%","")</f>
        <v/>
      </c>
      <c r="G46" s="434">
        <f>IF(G41&lt;G42,G42/G41-1,G41/G42-1)</f>
        <v>1.0594594594594664E-2</v>
      </c>
      <c r="H46" s="435" t="str">
        <f>IF(OR(G46&gt;=0.3,G46&lt;=-0.3),"超过30%","")</f>
        <v/>
      </c>
      <c r="I46" s="434">
        <f>IF(I41&lt;I42,I42/I41-1,I41/I42-1)</f>
        <v>1.0599999999999943E-2</v>
      </c>
      <c r="J46" s="435" t="str">
        <f>IF(OR(I46&gt;=0.3,I46&lt;=-0.3),"超过30%","")</f>
        <v/>
      </c>
      <c r="K46" s="2495"/>
      <c r="L46" s="836"/>
      <c r="M46" s="861"/>
      <c r="N46" s="861"/>
      <c r="O46" s="861"/>
    </row>
    <row r="47" spans="1:29" ht="13.5" customHeight="1">
      <c r="A47" s="2483"/>
      <c r="B47" s="2483"/>
      <c r="C47" s="432" t="s">
        <v>1796</v>
      </c>
      <c r="D47" s="436"/>
      <c r="E47" s="434">
        <f>IF(E42&lt;G42,G42/E42-1,E42/G42-1)</f>
        <v>9.7774925117672273E-2</v>
      </c>
      <c r="F47" s="435" t="str">
        <f>IF(OR(E47&gt;=0.2,E47&lt;=-0.2),"超过20%","")</f>
        <v/>
      </c>
      <c r="G47" s="434">
        <f>IF(G42&lt;I42,I42/G42-1,G42/I42-1)</f>
        <v>8.108686350021399E-2</v>
      </c>
      <c r="H47" s="435" t="str">
        <f>IF(OR(G47&gt;=0.2,G47&lt;=-0.2),"超过20%","")</f>
        <v/>
      </c>
      <c r="I47" s="434">
        <f>IF(I42&lt;E42,E42/I42-1,I42/E42-1)</f>
        <v>1.5436374431031075E-2</v>
      </c>
      <c r="J47" s="435" t="str">
        <f>IF(OR(I47&gt;=0.2,I47&lt;=-0.2),"超过20%","")</f>
        <v/>
      </c>
      <c r="K47" s="2495"/>
      <c r="L47" s="836"/>
      <c r="M47" s="861"/>
      <c r="N47" s="861"/>
      <c r="O47" s="861"/>
    </row>
    <row r="48" spans="1:29" s="437" customFormat="1" ht="13.5" customHeight="1">
      <c r="A48" s="2493"/>
      <c r="B48" s="2493"/>
      <c r="C48" s="432" t="s">
        <v>1797</v>
      </c>
      <c r="D48" s="436"/>
      <c r="E48" s="434">
        <f>IF(E41&lt;G41,G41/E41-1,E41/G41-1)</f>
        <v>0.18918918918918926</v>
      </c>
      <c r="F48" s="435" t="str">
        <f>IF(OR(E48&gt;=0.3,E48&lt;=-0.3),"超过30%","")</f>
        <v/>
      </c>
      <c r="G48" s="434">
        <f>IF(G41&lt;I41,I41/G41-1,G41/I41-1)</f>
        <v>8.1081081081081141E-2</v>
      </c>
      <c r="H48" s="435" t="str">
        <f>IF(OR(G48&gt;=0.3,G48&lt;=-0.3),"超过30%","")</f>
        <v/>
      </c>
      <c r="I48" s="434">
        <f>IF(I41&lt;E41,E41/I41-1,I41/E41-1)</f>
        <v>0.10000000000000009</v>
      </c>
      <c r="J48" s="435" t="str">
        <f>IF(OR(I48&gt;=0.3,I48&lt;=-0.3),"超过30%","")</f>
        <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52" t="s">
        <v>3439</v>
      </c>
      <c r="E55" s="31"/>
      <c r="F55" s="31"/>
      <c r="G55" s="31"/>
      <c r="H55" s="31"/>
      <c r="I55" s="31"/>
      <c r="J55" s="31"/>
      <c r="K55" s="31"/>
      <c r="L55" s="457"/>
      <c r="M55" s="458"/>
      <c r="N55" s="878"/>
      <c r="O55" s="878"/>
      <c r="P55" s="459"/>
      <c r="Q55" s="439"/>
    </row>
    <row r="56" spans="1:17" s="102" customFormat="1" ht="15.75" thickBot="1">
      <c r="A56" s="455"/>
      <c r="B56" s="444"/>
      <c r="C56" s="563">
        <v>100</v>
      </c>
      <c r="D56" s="446">
        <v>101</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3153" t="s">
        <v>3469</v>
      </c>
      <c r="D59" s="3155" t="s">
        <v>3470</v>
      </c>
      <c r="E59" s="3155" t="s">
        <v>3471</v>
      </c>
      <c r="F59" s="3153" t="s">
        <v>3472</v>
      </c>
      <c r="G59" s="3153" t="s">
        <v>3473</v>
      </c>
      <c r="H59" s="3153"/>
      <c r="I59" s="3153"/>
      <c r="J59" s="3153"/>
      <c r="K59" s="514"/>
      <c r="L59" s="515"/>
      <c r="M59" s="516"/>
      <c r="N59" s="879"/>
      <c r="O59" s="879"/>
      <c r="P59" s="40"/>
      <c r="Q59" s="439"/>
    </row>
    <row r="60" spans="1:17" ht="15.75" thickBot="1">
      <c r="A60" s="367"/>
      <c r="B60" s="474"/>
      <c r="C60" s="3156">
        <f t="shared" ref="C60:E60" si="17">D60-5</f>
        <v>80</v>
      </c>
      <c r="D60" s="3156">
        <f t="shared" si="17"/>
        <v>85</v>
      </c>
      <c r="E60" s="3156">
        <f t="shared" si="17"/>
        <v>90</v>
      </c>
      <c r="F60" s="3156">
        <f>G60-5</f>
        <v>95</v>
      </c>
      <c r="G60" s="3156">
        <v>100</v>
      </c>
      <c r="H60" s="3156"/>
      <c r="I60" s="3156"/>
      <c r="J60" s="3156"/>
      <c r="K60" s="467"/>
      <c r="L60" s="467"/>
      <c r="M60" s="468"/>
      <c r="N60" s="880"/>
      <c r="O60" s="880"/>
      <c r="P60" s="40"/>
      <c r="Q60" s="439"/>
    </row>
    <row r="61" spans="1:17" ht="15.7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58" t="s">
        <v>3451</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f>C92-3</f>
        <v>97</v>
      </c>
      <c r="E92" s="467">
        <f t="shared" ref="E92:F92" si="22">D92-3</f>
        <v>94</v>
      </c>
      <c r="F92" s="467">
        <f t="shared" si="22"/>
        <v>91</v>
      </c>
      <c r="G92" s="467"/>
      <c r="H92" s="467"/>
      <c r="I92" s="467"/>
      <c r="J92" s="467"/>
      <c r="K92" s="467"/>
      <c r="L92" s="467"/>
      <c r="M92" s="468"/>
      <c r="N92" s="880"/>
      <c r="O92" s="880"/>
      <c r="P92" s="489"/>
      <c r="Q92" s="490"/>
    </row>
    <row r="93" spans="1:17" ht="15" thickTop="1">
      <c r="A93" s="409"/>
      <c r="B93" s="469" t="s">
        <v>1738</v>
      </c>
      <c r="C93" s="3157" t="s">
        <v>3449</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3">C94-$K31</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3157" t="s">
        <v>3452</v>
      </c>
      <c r="D102" s="3157" t="s">
        <v>3453</v>
      </c>
      <c r="E102" s="3157" t="s">
        <v>3454</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3157" t="s">
        <v>3455</v>
      </c>
      <c r="D104" s="3157" t="s">
        <v>3456</v>
      </c>
      <c r="E104" s="3157" t="s">
        <v>3457</v>
      </c>
      <c r="F104" s="3157" t="s">
        <v>3458</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8">C107-$K37</f>
        <v>100</v>
      </c>
      <c r="E107" s="475">
        <f t="shared" si="28"/>
        <v>100</v>
      </c>
      <c r="F107" s="475">
        <f t="shared" si="28"/>
        <v>100</v>
      </c>
      <c r="G107" s="475">
        <f t="shared" si="28"/>
        <v>100</v>
      </c>
      <c r="H107" s="475">
        <f t="shared" si="28"/>
        <v>100</v>
      </c>
      <c r="I107" s="475">
        <f t="shared" si="28"/>
        <v>100</v>
      </c>
      <c r="J107" s="475">
        <f t="shared" si="28"/>
        <v>100</v>
      </c>
      <c r="K107" s="475">
        <f t="shared" si="28"/>
        <v>100</v>
      </c>
      <c r="L107" s="475">
        <f t="shared" si="28"/>
        <v>100</v>
      </c>
      <c r="M107" s="475">
        <f t="shared" si="28"/>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2"/>
      <c r="M5" s="2483"/>
      <c r="N5" s="2483"/>
      <c r="O5" s="2483"/>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2"/>
      <c r="M6" s="2483"/>
      <c r="N6" s="2483"/>
      <c r="O6" s="2483"/>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4"/>
      <c r="M7" s="2436"/>
      <c r="N7" s="2436"/>
      <c r="O7" s="2436"/>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92"/>
      <c r="Q15" s="1263"/>
      <c r="R15" s="667"/>
      <c r="S15" s="668"/>
      <c r="T15" s="667"/>
      <c r="U15" s="668"/>
      <c r="V15" s="667"/>
      <c r="W15" s="668"/>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92"/>
      <c r="Q17" s="1263"/>
      <c r="R17" s="667"/>
      <c r="S17" s="668"/>
      <c r="T17" s="667"/>
      <c r="U17" s="668"/>
      <c r="V17" s="667"/>
      <c r="W17" s="668"/>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92"/>
      <c r="Q19" s="1263"/>
      <c r="R19" s="667"/>
      <c r="S19" s="668"/>
      <c r="T19" s="667"/>
      <c r="U19" s="668"/>
      <c r="V19" s="667"/>
      <c r="W19" s="668"/>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0"/>
      <c r="M37" s="2483"/>
      <c r="N37" s="2483"/>
      <c r="O37" s="2483"/>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86" t="str">
        <f>A39</f>
        <v>估价对象XX用房的比较价值（楼面单价，元/平方米）</v>
      </c>
      <c r="Q39" s="3387"/>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2"/>
      <c r="M5" s="2483"/>
      <c r="N5" s="2483"/>
      <c r="O5" s="2483"/>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2"/>
      <c r="M6" s="2483"/>
      <c r="N6" s="2483"/>
      <c r="O6" s="2483"/>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4"/>
      <c r="M7" s="2436"/>
      <c r="N7" s="2436"/>
      <c r="O7" s="2436"/>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92"/>
      <c r="Q15" s="1263"/>
      <c r="R15" s="667"/>
      <c r="S15" s="668"/>
      <c r="T15" s="667"/>
      <c r="U15" s="668"/>
      <c r="V15" s="667"/>
      <c r="W15" s="668"/>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92"/>
      <c r="Q17" s="1263"/>
      <c r="R17" s="667"/>
      <c r="S17" s="668"/>
      <c r="T17" s="667"/>
      <c r="U17" s="668"/>
      <c r="V17" s="667"/>
      <c r="W17" s="668"/>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92"/>
      <c r="Q19" s="1263"/>
      <c r="R19" s="667"/>
      <c r="S19" s="668"/>
      <c r="T19" s="667"/>
      <c r="U19" s="668"/>
      <c r="V19" s="667"/>
      <c r="W19" s="668"/>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0"/>
      <c r="M35" s="2483"/>
      <c r="N35" s="2483"/>
      <c r="O35" s="2483"/>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386" t="str">
        <f>A37</f>
        <v>估价对象XX用房的比较价值（楼面单价，元/平方米）</v>
      </c>
      <c r="Q37" s="3387"/>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受贵公司委托，我公司对北京市昌平区何营路8号院22号楼1至5层101房地产抵押价值进行了预评估。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22号楼1至5层101房地产，为北京桔灯导航科技发展有限公司所有。根据《国有土地使用证》[]，估价对象（分摊）出让国有建设用地使用权面积为1098.66平方米，建筑面积为1680.33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22号楼1至5层101房地产,属北京桔灯导航科技发展有限公司开发建设的工业项目，该项目尚在开发建设中。根据《国有土地使用证》[]，估价对象（分摊）出让国有建设用地使用权面积为1098.66平方米，规划建筑面积为1680.33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厂房，土地取得方式为出让，出让国有建设用地使用权剩余土地使用年限为35.43，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2"/>
      <c r="M5" s="2483"/>
      <c r="N5" s="2483"/>
      <c r="O5" s="2483"/>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2"/>
      <c r="M6" s="2483"/>
      <c r="N6" s="2483"/>
      <c r="O6" s="2483"/>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5"/>
      <c r="M10" s="2486"/>
      <c r="N10" s="2486"/>
      <c r="O10" s="2537"/>
      <c r="P10" s="3389"/>
      <c r="Q10" s="530" t="str">
        <f t="shared" si="6"/>
        <v>土地使用年限（年）</v>
      </c>
      <c r="R10" s="664" t="s">
        <v>14</v>
      </c>
      <c r="S10" s="665">
        <f t="shared" si="0"/>
        <v>111</v>
      </c>
      <c r="T10" s="664" t="s">
        <v>14</v>
      </c>
      <c r="U10" s="665">
        <f t="shared" si="1"/>
        <v>111</v>
      </c>
      <c r="V10" s="664" t="s">
        <v>14</v>
      </c>
      <c r="W10" s="665">
        <f t="shared" si="2"/>
        <v>111</v>
      </c>
      <c r="X10" s="666"/>
      <c r="Y10" s="3264"/>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92"/>
      <c r="Q16" s="1263"/>
      <c r="R16" s="667"/>
      <c r="S16" s="668"/>
      <c r="T16" s="667"/>
      <c r="U16" s="668"/>
      <c r="V16" s="667"/>
      <c r="W16" s="668"/>
      <c r="X16" s="1265"/>
      <c r="Y16" s="339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92"/>
      <c r="Q18" s="1263"/>
      <c r="R18" s="667"/>
      <c r="S18" s="668"/>
      <c r="T18" s="667"/>
      <c r="U18" s="668"/>
      <c r="V18" s="667"/>
      <c r="W18" s="668"/>
      <c r="X18" s="1265"/>
      <c r="Y18" s="339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92"/>
      <c r="Q20" s="1263"/>
      <c r="R20" s="667"/>
      <c r="S20" s="668"/>
      <c r="T20" s="667"/>
      <c r="U20" s="668"/>
      <c r="V20" s="667"/>
      <c r="W20" s="668"/>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92"/>
      <c r="Q24" s="1263"/>
      <c r="R24" s="667"/>
      <c r="S24" s="668"/>
      <c r="T24" s="667"/>
      <c r="U24" s="668"/>
      <c r="V24" s="667"/>
      <c r="W24" s="668"/>
      <c r="X24" s="1265"/>
      <c r="Y24" s="339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92"/>
      <c r="Q26" s="1263"/>
      <c r="R26" s="667"/>
      <c r="S26" s="668"/>
      <c r="T26" s="667"/>
      <c r="U26" s="668"/>
      <c r="V26" s="667"/>
      <c r="W26" s="668"/>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392"/>
      <c r="Q28" s="530"/>
      <c r="R28" s="664"/>
      <c r="S28" s="665"/>
      <c r="T28" s="664"/>
      <c r="U28" s="665"/>
      <c r="V28" s="664"/>
      <c r="W28" s="665"/>
      <c r="X28" s="666"/>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0"/>
      <c r="M46" s="2483"/>
      <c r="N46" s="2483"/>
      <c r="O46" s="2483"/>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389" t="str">
        <f>A47</f>
        <v>比较价值（元/平方米）</v>
      </c>
      <c r="Q47" s="3389"/>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386" t="str">
        <f>A48</f>
        <v>估价对象XX用房的比较价值（楼面单价，元/平方米）</v>
      </c>
      <c r="Q48" s="3387"/>
      <c r="R48" s="3452" t="e">
        <f>ROUND(IF(D47="简单平均",AVERAGE(R47:W47),R47*F47+T47*H47+V47*J47),0)</f>
        <v>#DIV/0!</v>
      </c>
      <c r="S48" s="3452"/>
      <c r="T48" s="3452"/>
      <c r="U48" s="3452"/>
      <c r="V48" s="3452"/>
      <c r="W48" s="3452"/>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404" t="s">
        <v>1887</v>
      </c>
      <c r="H55" s="3453"/>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1680.33</v>
      </c>
      <c r="F56" s="833" t="e">
        <f t="shared" ref="F56:F64" si="15">ROUND(B56*E56/10000,0)</f>
        <v>#DIV/0!</v>
      </c>
      <c r="G56" s="3400"/>
      <c r="H56" s="338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1680.33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2"/>
      <c r="M4" s="2483"/>
      <c r="N4" s="2483"/>
      <c r="O4" s="2483"/>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2"/>
      <c r="M5" s="2483"/>
      <c r="N5" s="2483"/>
      <c r="O5" s="2483"/>
      <c r="P5" s="3410"/>
      <c r="Q5" s="3411"/>
      <c r="R5" s="3416"/>
      <c r="S5" s="3417"/>
      <c r="T5" s="3416"/>
      <c r="U5" s="3417"/>
      <c r="V5" s="3390"/>
      <c r="W5" s="3390"/>
      <c r="X5" s="1265"/>
      <c r="Y5" s="3416"/>
      <c r="Z5" s="3417"/>
      <c r="AA5" s="3402"/>
      <c r="AB5" s="3402"/>
      <c r="AC5" s="3402"/>
    </row>
    <row r="6" spans="1:29" ht="15.75" thickBot="1">
      <c r="A6" s="350"/>
      <c r="B6" s="351"/>
      <c r="C6" s="3454" t="s">
        <v>1919</v>
      </c>
      <c r="D6" s="3455"/>
      <c r="E6" s="3456" t="s">
        <v>1919</v>
      </c>
      <c r="F6" s="3457"/>
      <c r="G6" s="3454" t="s">
        <v>1919</v>
      </c>
      <c r="H6" s="3455"/>
      <c r="I6" s="3454" t="s">
        <v>1919</v>
      </c>
      <c r="J6" s="3455"/>
      <c r="K6" s="537" t="s">
        <v>1678</v>
      </c>
      <c r="L6" s="2482"/>
      <c r="M6" s="2483"/>
      <c r="N6" s="2483"/>
      <c r="O6" s="2483"/>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5"/>
      <c r="M10" s="2486"/>
      <c r="N10" s="2486"/>
      <c r="O10" s="2537"/>
      <c r="P10" s="3389"/>
      <c r="Q10" s="530" t="str">
        <f t="shared" si="6"/>
        <v>土地使用年限（年）</v>
      </c>
      <c r="R10" s="664" t="s">
        <v>14</v>
      </c>
      <c r="S10" s="665">
        <f t="shared" si="0"/>
        <v>111</v>
      </c>
      <c r="T10" s="664" t="s">
        <v>14</v>
      </c>
      <c r="U10" s="665">
        <f t="shared" si="1"/>
        <v>111</v>
      </c>
      <c r="V10" s="664" t="s">
        <v>14</v>
      </c>
      <c r="W10" s="665">
        <f t="shared" si="2"/>
        <v>111</v>
      </c>
      <c r="X10" s="666"/>
      <c r="Y10" s="3264"/>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92"/>
      <c r="Q16" s="1263"/>
      <c r="R16" s="667"/>
      <c r="S16" s="668"/>
      <c r="T16" s="667"/>
      <c r="U16" s="668"/>
      <c r="V16" s="667"/>
      <c r="W16" s="668"/>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92"/>
      <c r="Q20" s="1263"/>
      <c r="R20" s="667"/>
      <c r="S20" s="668"/>
      <c r="T20" s="667"/>
      <c r="U20" s="668"/>
      <c r="V20" s="667"/>
      <c r="W20" s="668"/>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92"/>
      <c r="Q22" s="1263"/>
      <c r="R22" s="667"/>
      <c r="S22" s="668"/>
      <c r="T22" s="667"/>
      <c r="U22" s="668"/>
      <c r="V22" s="667"/>
      <c r="W22" s="668"/>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0"/>
      <c r="M41" s="2483"/>
      <c r="N41" s="2483"/>
      <c r="O41" s="2483"/>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389" t="str">
        <f>A42</f>
        <v>比较价值（元/平方米）</v>
      </c>
      <c r="Q42" s="3389"/>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386" t="str">
        <f>A43</f>
        <v>估价对象XX用房的比较价值（楼面单价，元/平方米）</v>
      </c>
      <c r="Q43" s="3387"/>
      <c r="R43" s="3452" t="e">
        <f>ROUND(IF(D42="简单平均",AVERAGE(R42:W42),R42*F42+T42*H42+V42*J42),0)</f>
        <v>#DIV/0!</v>
      </c>
      <c r="S43" s="3452"/>
      <c r="T43" s="3452"/>
      <c r="U43" s="3452"/>
      <c r="V43" s="3452"/>
      <c r="W43" s="3452"/>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1" t="s">
        <v>1883</v>
      </c>
      <c r="D50" s="1832" t="s">
        <v>1884</v>
      </c>
      <c r="E50" s="606" t="s">
        <v>1885</v>
      </c>
      <c r="F50" s="607" t="s">
        <v>1886</v>
      </c>
      <c r="G50" s="3404" t="s">
        <v>1887</v>
      </c>
      <c r="H50" s="3453"/>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1680.33</v>
      </c>
      <c r="F51" s="611" t="e">
        <f t="shared" ref="F51:F60" si="15">ROUND(B51*E51/10000,0)</f>
        <v>#DIV/0!</v>
      </c>
      <c r="G51" s="3400"/>
      <c r="H51" s="338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1098.6600000000001</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0"/>
      <c r="G1" s="2540"/>
      <c r="H1" s="2540"/>
      <c r="I1" s="2540"/>
      <c r="J1" s="2540"/>
      <c r="K1" s="2540"/>
      <c r="L1" s="2540"/>
      <c r="M1" s="2540"/>
      <c r="N1" s="2540"/>
      <c r="O1" s="2540"/>
      <c r="P1" s="2540"/>
    </row>
    <row r="2" spans="1:16" ht="15.75">
      <c r="A2" s="1984" t="s">
        <v>2073</v>
      </c>
      <c r="B2" s="2384">
        <f ca="1">SUMIF(B6:B13,"&lt;&gt;#ref!",B6:B13)</f>
        <v>210</v>
      </c>
      <c r="C2" s="1984" t="s">
        <v>2074</v>
      </c>
      <c r="D2" s="1984" t="s">
        <v>2075</v>
      </c>
      <c r="E2" s="2394">
        <f ca="1">SUMIF(E6:E13,"&lt;&gt;#ref!",E6:E13)</f>
        <v>1680.33</v>
      </c>
      <c r="F2" s="2540"/>
      <c r="G2" s="2540"/>
      <c r="H2" s="2540"/>
      <c r="I2" s="2540"/>
      <c r="J2" s="2540"/>
      <c r="K2" s="2540"/>
      <c r="L2" s="2540"/>
      <c r="M2" s="2540"/>
      <c r="N2" s="2540"/>
      <c r="O2" s="2540"/>
      <c r="P2" s="2540"/>
    </row>
    <row r="3" spans="1:16" ht="15.75">
      <c r="A3" s="1984" t="s">
        <v>2076</v>
      </c>
      <c r="B3" s="2384">
        <f ca="1">ROUND(B2*10000/E2,0)</f>
        <v>1250</v>
      </c>
      <c r="C3" s="1984"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5"/>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210</v>
      </c>
      <c r="C6" s="1984" t="s">
        <v>2074</v>
      </c>
      <c r="D6" s="2540"/>
      <c r="E6" s="2394">
        <f ca="1">SUMIF(INDIRECT("'"&amp;A6&amp;"'"&amp;"!C:C"),"建筑面积",INDIRECT("'"&amp;A6&amp;"'"&amp;"!D:D"))</f>
        <v>1680.33</v>
      </c>
      <c r="F6" s="2540"/>
      <c r="G6" s="2540"/>
      <c r="H6" s="2540"/>
      <c r="I6" s="2540"/>
      <c r="J6" s="2540"/>
      <c r="K6" s="2540"/>
      <c r="L6" s="2540"/>
      <c r="M6" s="2540"/>
      <c r="N6" s="2540"/>
      <c r="O6" s="2540"/>
      <c r="P6" s="2540"/>
    </row>
    <row r="7" spans="1:16" ht="15.75">
      <c r="A7" s="2391"/>
      <c r="B7" s="2384" t="e">
        <f ca="1">SUMIF(INDIRECT("'"&amp;A7&amp;"'"&amp;"!A:A"),"总价",INDIRECT("'"&amp;A7&amp;"'"&amp;"!B:B"))</f>
        <v>#REF!</v>
      </c>
      <c r="C7" s="1984"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4"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4"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4"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4"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4"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4"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3423</v>
      </c>
      <c r="D1" s="1271" t="s">
        <v>43</v>
      </c>
      <c r="E1" s="1272" t="s">
        <v>678</v>
      </c>
      <c r="F1" s="999">
        <f ca="1">J53</f>
        <v>35.43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1767.4554000000001</v>
      </c>
      <c r="C2" s="1289" t="s">
        <v>879</v>
      </c>
      <c r="D2" s="1375">
        <f ca="1">C40+J29+L46</f>
        <v>17674554</v>
      </c>
      <c r="E2" s="1295" t="s">
        <v>880</v>
      </c>
      <c r="F2" s="1296"/>
      <c r="G2" s="2474"/>
      <c r="H2" s="2464"/>
      <c r="I2" s="2464"/>
      <c r="J2" s="2464"/>
      <c r="K2" s="2465"/>
      <c r="L2" s="2464"/>
      <c r="M2" s="2464"/>
    </row>
    <row r="3" spans="1:37" ht="18" customHeight="1" thickBot="1">
      <c r="A3" s="1297" t="s">
        <v>881</v>
      </c>
      <c r="B3" s="1298">
        <f ca="1">IF(ISERROR(D2/F43),0,ROUND(D2/F43,0))</f>
        <v>10519</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1105357</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1103977</v>
      </c>
      <c r="D6" s="147" t="s">
        <v>2106</v>
      </c>
      <c r="E6" s="294" t="s">
        <v>696</v>
      </c>
      <c r="F6" s="295">
        <f ca="1">INDIRECT("'数据-取费表'!u"&amp;$G$1)</f>
        <v>2</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1680.33</v>
      </c>
      <c r="G7" s="1292"/>
      <c r="H7" s="296"/>
      <c r="I7" s="3363"/>
      <c r="J7" s="298"/>
      <c r="K7" s="299"/>
      <c r="L7" s="294" t="s">
        <v>697</v>
      </c>
      <c r="M7" s="295">
        <f ca="1">F7</f>
        <v>1680.33</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1380</v>
      </c>
      <c r="D10" s="150" t="s">
        <v>2116</v>
      </c>
      <c r="E10" s="305" t="s">
        <v>701</v>
      </c>
      <c r="F10" s="1053" t="s">
        <v>3424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6403092</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5881155</v>
      </c>
      <c r="D14" s="1257" t="s">
        <v>708</v>
      </c>
      <c r="E14" s="1255"/>
      <c r="F14" s="311"/>
      <c r="G14" s="1292"/>
      <c r="H14" s="928" t="s">
        <v>398</v>
      </c>
      <c r="I14" s="294" t="s">
        <v>709</v>
      </c>
      <c r="J14" s="21">
        <f ca="1">C29</f>
        <v>8209092</v>
      </c>
      <c r="K14" s="12"/>
      <c r="L14" s="759"/>
      <c r="M14" s="760"/>
    </row>
    <row r="15" spans="1:37" s="1304" customFormat="1" ht="18" customHeight="1" thickBot="1">
      <c r="A15" s="928" t="s">
        <v>399</v>
      </c>
      <c r="B15" s="294" t="s">
        <v>710</v>
      </c>
      <c r="C15" s="21">
        <f ca="1">ROUND(C14*F15,0)</f>
        <v>294058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26275</v>
      </c>
      <c r="K16" s="1024" t="s">
        <v>715</v>
      </c>
      <c r="L16" s="1025"/>
      <c r="M16" s="1009"/>
    </row>
    <row r="17" spans="1:37" s="1304" customFormat="1" ht="18" customHeight="1">
      <c r="A17" s="928" t="s">
        <v>681</v>
      </c>
      <c r="B17" s="294" t="s">
        <v>716</v>
      </c>
      <c r="C17" s="21">
        <f ca="1">ROUND(F17*(F43+INDIRECT("'数据-取费表'!S"&amp;$G$1)),0)</f>
        <v>336066</v>
      </c>
      <c r="D17" s="294" t="s">
        <v>717</v>
      </c>
      <c r="E17" s="294" t="s">
        <v>718</v>
      </c>
      <c r="F17" s="23">
        <f>'数据-取费表'!B35</f>
        <v>200</v>
      </c>
      <c r="G17" s="1303"/>
      <c r="H17" s="928" t="s">
        <v>398</v>
      </c>
      <c r="I17" s="294" t="s">
        <v>719</v>
      </c>
      <c r="J17" s="2140">
        <f ca="1">ROUND(IF(AND(项目基本情况!B11="自然人",项目基本情况!B10="北京市"),J6*M17/(1+'数据-取费表'!C42),J18+J19+J20),0)</f>
        <v>1648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117623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6628902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132578</v>
      </c>
      <c r="D20" s="315" t="s">
        <v>729</v>
      </c>
      <c r="E20" s="294" t="s">
        <v>712</v>
      </c>
      <c r="F20" s="314">
        <f>'数据-取费表'!B37</f>
        <v>0.02</v>
      </c>
      <c r="G20" s="1303"/>
      <c r="H20" s="928" t="s">
        <v>680</v>
      </c>
      <c r="I20" s="147" t="s">
        <v>730</v>
      </c>
      <c r="J20" s="22">
        <f ca="1">ROUND(M20*M21,0)</f>
        <v>1648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1098.6600000000001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24627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156603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1.2999999999999999E-2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-26275</v>
      </c>
      <c r="K25" s="1032" t="s">
        <v>753</v>
      </c>
      <c r="L25" s="1033"/>
      <c r="M25" s="1034"/>
    </row>
    <row r="26" spans="1:37" ht="18" customHeight="1">
      <c r="A26" s="928" t="s">
        <v>397</v>
      </c>
      <c r="B26" s="294" t="s">
        <v>754</v>
      </c>
      <c r="C26" s="21">
        <f ca="1">ROUND((C19+C20)*F26,0)</f>
        <v>676148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8209092</v>
      </c>
      <c r="D29" s="1029"/>
      <c r="E29" s="1027"/>
      <c r="F29" s="1030"/>
      <c r="G29" s="1303"/>
      <c r="H29" s="325" t="s">
        <v>396</v>
      </c>
      <c r="I29" s="326" t="s">
        <v>768</v>
      </c>
      <c r="J29" s="327">
        <f ca="1">ROUND(J26/(1+F40)^F41,0)</f>
        <v>0</v>
      </c>
      <c r="K29" s="328" t="s">
        <v>769</v>
      </c>
      <c r="L29" s="329"/>
      <c r="M29" s="330">
        <f ca="1">INDIRECT("'数据-取费表'!k"&amp;$G$1)</f>
        <v>1680.33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231044</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185644</v>
      </c>
      <c r="D31" s="1257" t="s">
        <v>720</v>
      </c>
      <c r="E31" s="1256" t="s">
        <v>770</v>
      </c>
      <c r="F31" s="2139" t="str">
        <f>IF(项目基本情况!B11="企业","——",IF(M47="住宅",IF(F6*F7*F8/12/(1+'数据-取费表'!F30)&gt;100000,4%,2.5%),IF(F6*F7*F8/12/(1+'数据-取费表'!F30)&gt;100000,12%,7%)))</f>
        <v>——</v>
      </c>
      <c r="G31" s="1292"/>
      <c r="H31" s="2565" t="s">
        <v>2306</v>
      </c>
      <c r="I31" s="1305"/>
      <c r="J31" s="1306"/>
      <c r="K31" s="121"/>
      <c r="L31" s="2467"/>
      <c r="M31" s="2468"/>
    </row>
    <row r="32" spans="1:37" ht="18" customHeight="1">
      <c r="A32" s="928" t="s">
        <v>397</v>
      </c>
      <c r="B32" s="294" t="s">
        <v>723</v>
      </c>
      <c r="C32" s="21">
        <f ca="1">IF(项目基本情况!B11="自然人","——",ROUND(C6*F32/(1+'数据-取费表'!C42),0))</f>
        <v>57827</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126169</v>
      </c>
      <c r="D33" s="1278" t="s">
        <v>3336</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1648</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1098.6600000000001</v>
      </c>
      <c r="G35" s="1292"/>
      <c r="H35" s="2466"/>
      <c r="I35" s="1305"/>
      <c r="J35" s="1306"/>
      <c r="K35" s="2470"/>
      <c r="L35" s="2469"/>
      <c r="M35" s="2469"/>
    </row>
    <row r="36" spans="1:18" ht="18" customHeight="1">
      <c r="A36" s="1039" t="s">
        <v>402</v>
      </c>
      <c r="B36" s="294" t="s">
        <v>738</v>
      </c>
      <c r="C36" s="21">
        <f ca="1">ROUND(C29*F36,0)</f>
        <v>24627</v>
      </c>
      <c r="D36" s="1256" t="s">
        <v>771</v>
      </c>
      <c r="E36" s="294" t="s">
        <v>712</v>
      </c>
      <c r="F36" s="320">
        <f ca="1">INDIRECT("'数据-取费表'!Ak"&amp;$G$1)</f>
        <v>3.0000000000000001E-3</v>
      </c>
      <c r="G36" s="1292"/>
      <c r="H36" s="2469"/>
      <c r="I36" s="1305"/>
      <c r="J36" s="1306"/>
      <c r="K36" s="2330"/>
      <c r="L36" s="2469"/>
      <c r="M36" s="2469"/>
    </row>
    <row r="37" spans="1:18" ht="18" customHeight="1">
      <c r="A37" s="928" t="s">
        <v>437</v>
      </c>
      <c r="B37" s="294" t="s">
        <v>742</v>
      </c>
      <c r="C37" s="21">
        <f ca="1">ROUND(C13*F37,0)</f>
        <v>6403</v>
      </c>
      <c r="D37" s="1256" t="s">
        <v>743</v>
      </c>
      <c r="E37" s="294" t="s">
        <v>744</v>
      </c>
      <c r="F37" s="321">
        <f ca="1">INDIRECT("'数据-取费表'!Al"&amp;$G$1)</f>
        <v>1E-3</v>
      </c>
      <c r="G37" s="1292"/>
      <c r="H37" s="2469"/>
      <c r="I37" s="1305"/>
      <c r="J37" s="1306"/>
      <c r="K37" s="2330"/>
      <c r="L37" s="2469"/>
      <c r="M37" s="2469"/>
    </row>
    <row r="38" spans="1:18" ht="18" customHeight="1" thickBot="1">
      <c r="A38" s="1026" t="s">
        <v>684</v>
      </c>
      <c r="B38" s="1027" t="s">
        <v>728</v>
      </c>
      <c r="C38" s="1028">
        <f ca="1">ROUND(C5*F38,0)</f>
        <v>14370</v>
      </c>
      <c r="D38" s="1029" t="s">
        <v>748</v>
      </c>
      <c r="E38" s="1027" t="s">
        <v>744</v>
      </c>
      <c r="F38" s="1023">
        <f ca="1">INDIRECT("'数据-取费表'!Am"&amp;$G$1)</f>
        <v>1.2999999999999999E-2</v>
      </c>
      <c r="G38" s="1292"/>
      <c r="H38" s="2469"/>
      <c r="I38" s="1305"/>
      <c r="J38" s="1306"/>
      <c r="K38" s="2467"/>
      <c r="L38" s="2469"/>
      <c r="M38" s="2469"/>
    </row>
    <row r="39" spans="1:18" ht="24.6" customHeight="1" thickTop="1">
      <c r="A39" s="1016" t="s">
        <v>394</v>
      </c>
      <c r="B39" s="1031" t="s">
        <v>772</v>
      </c>
      <c r="C39" s="302">
        <f ca="1">C5-C30</f>
        <v>874313</v>
      </c>
      <c r="D39" s="1032" t="s">
        <v>773</v>
      </c>
      <c r="E39" s="1033"/>
      <c r="F39" s="1034"/>
      <c r="G39" s="1292"/>
      <c r="H39" s="2469">
        <f ca="1">C39/C5</f>
        <v>0.79097793744464462</v>
      </c>
      <c r="I39" s="1305"/>
      <c r="J39" s="1306"/>
      <c r="K39" s="2467"/>
      <c r="L39" s="2469"/>
      <c r="M39" s="2469"/>
    </row>
    <row r="40" spans="1:18" ht="18" customHeight="1">
      <c r="A40" s="291" t="s">
        <v>395</v>
      </c>
      <c r="B40" s="292" t="s">
        <v>774</v>
      </c>
      <c r="C40" s="293">
        <f ca="1">ROUND(C39*(1-((1+F42)/(1+F40))^F41)/(F40-F42),0)</f>
        <v>17421302</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35.43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10368</v>
      </c>
      <c r="D43" s="328" t="s">
        <v>777</v>
      </c>
      <c r="E43" s="329" t="s">
        <v>778</v>
      </c>
      <c r="F43" s="330">
        <f ca="1">INDIRECT("'数据-取费表'!k"&amp;$G$1)</f>
        <v>1680.33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5" t="s">
        <v>3352</v>
      </c>
      <c r="B45" s="1307"/>
      <c r="C45" s="1376">
        <f ca="1">ROUND((C68-C40)/10000,4)</f>
        <v>-1792.6310000000001</v>
      </c>
      <c r="D45" s="3126" t="s">
        <v>3353</v>
      </c>
      <c r="E45" s="1307"/>
      <c r="F45" s="1307"/>
      <c r="O45" s="1310" t="s">
        <v>808</v>
      </c>
      <c r="P45" s="1366"/>
      <c r="Q45" s="1366"/>
      <c r="R45" s="1366"/>
    </row>
    <row r="46" spans="1:18" s="1292" customFormat="1" ht="13.5" thickBot="1">
      <c r="A46" s="1311" t="s">
        <v>809</v>
      </c>
      <c r="C46" s="1312">
        <f ca="1">ROUND(C45,0)</f>
        <v>-1793</v>
      </c>
      <c r="D46" s="1313" t="str">
        <f>C2</f>
        <v>万元</v>
      </c>
      <c r="I46" s="1314" t="s">
        <v>810</v>
      </c>
      <c r="J46" s="1315"/>
      <c r="K46" s="1316"/>
      <c r="L46" s="1317">
        <f ca="1">IF(M47="住宅",0,IF(L48&gt;J51,L60,J60))</f>
        <v>253252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17421302</v>
      </c>
      <c r="R47" s="1327" t="s">
        <v>818</v>
      </c>
    </row>
    <row r="48" spans="1:18" s="1292" customFormat="1" ht="28.5" thickBot="1">
      <c r="A48" s="1047" t="s">
        <v>438</v>
      </c>
      <c r="B48" s="292" t="s">
        <v>692</v>
      </c>
      <c r="C48" s="1268">
        <f ca="1">C49+C53+C55</f>
        <v>0</v>
      </c>
      <c r="D48" s="1049"/>
      <c r="E48" s="1050"/>
      <c r="F48" s="908"/>
      <c r="G48" s="681"/>
      <c r="H48" s="682"/>
      <c r="I48" s="1328" t="s">
        <v>819</v>
      </c>
      <c r="J48" s="1329" t="s">
        <v>3426</v>
      </c>
      <c r="K48" s="1330" t="s">
        <v>820</v>
      </c>
      <c r="L48" s="1331">
        <f ca="1">INDIRECT("'数据-取费表'!f"&amp;$G$1)</f>
        <v>35.43</v>
      </c>
      <c r="O48" s="1325" t="s">
        <v>404</v>
      </c>
      <c r="P48" s="1326" t="s">
        <v>821</v>
      </c>
      <c r="Q48" s="1327">
        <f ca="1">J60</f>
        <v>253252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8209092</v>
      </c>
      <c r="R49" s="1327" t="s">
        <v>818</v>
      </c>
    </row>
    <row r="50" spans="1:18" s="1292" customFormat="1" ht="13.5" thickBot="1">
      <c r="A50" s="922"/>
      <c r="B50" s="925"/>
      <c r="C50" s="926"/>
      <c r="D50" s="899"/>
      <c r="E50" s="993" t="s">
        <v>697</v>
      </c>
      <c r="F50" s="994">
        <f ca="1">F7</f>
        <v>1680.33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7661649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35.43</v>
      </c>
      <c r="K53" s="3360" t="s">
        <v>837</v>
      </c>
      <c r="L53" s="3361"/>
      <c r="O53" s="1325" t="s">
        <v>409</v>
      </c>
      <c r="P53" s="1326" t="s">
        <v>838</v>
      </c>
      <c r="Q53" s="1327">
        <f ca="1">Q47+Q48</f>
        <v>17674554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6403092</v>
      </c>
      <c r="D56" s="1352"/>
      <c r="E56" s="1353"/>
      <c r="F56" s="1345"/>
      <c r="I56" s="1354" t="s">
        <v>842</v>
      </c>
      <c r="J56" s="1355" t="s">
        <v>3427</v>
      </c>
      <c r="K56" s="1328" t="s">
        <v>843</v>
      </c>
      <c r="L56" s="1331" t="str">
        <f ca="1">IF(L48&lt;J51,"——",L48-J51)</f>
        <v>——</v>
      </c>
      <c r="O56" s="1325" t="s">
        <v>403</v>
      </c>
      <c r="P56" s="1326" t="s">
        <v>817</v>
      </c>
      <c r="Q56" s="1327">
        <f ca="1">C40+J29</f>
        <v>17421302</v>
      </c>
      <c r="R56" s="1327" t="s">
        <v>818</v>
      </c>
    </row>
    <row r="57" spans="1:18" s="1292" customFormat="1" ht="24.75" thickBot="1">
      <c r="A57" s="1356"/>
      <c r="B57" s="896" t="s">
        <v>767</v>
      </c>
      <c r="C57" s="230">
        <f ca="1">C29</f>
        <v>8209092</v>
      </c>
      <c r="D57" s="1357"/>
      <c r="E57" s="1358"/>
      <c r="F57" s="1359"/>
      <c r="I57" s="1360" t="s">
        <v>844</v>
      </c>
      <c r="J57" s="1361">
        <f ca="1">IF(OR(M47="住宅",J51&lt;L48,J56="是"),"——",J51-L48)</f>
        <v>11.57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32678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1648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3283637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253252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1648</v>
      </c>
      <c r="D62" s="911" t="s">
        <v>786</v>
      </c>
      <c r="E62" s="896" t="s">
        <v>787</v>
      </c>
      <c r="F62" s="317">
        <f t="shared" si="0"/>
        <v>1.5</v>
      </c>
      <c r="I62" s="1367" t="s">
        <v>858</v>
      </c>
      <c r="J62" s="610" t="s">
        <v>859</v>
      </c>
      <c r="K62" s="610" t="s">
        <v>860</v>
      </c>
      <c r="L62" s="610" t="s">
        <v>861</v>
      </c>
      <c r="M62" s="1368" t="s">
        <v>862</v>
      </c>
      <c r="O62" s="1325" t="s">
        <v>409</v>
      </c>
      <c r="P62" s="1326" t="s">
        <v>863</v>
      </c>
      <c r="Q62" s="1327">
        <f ca="1">Q56+Q57</f>
        <v>17421302</v>
      </c>
      <c r="R62" s="1327" t="s">
        <v>410</v>
      </c>
    </row>
    <row r="63" spans="1:18" s="1292" customFormat="1" ht="13.5" thickBot="1">
      <c r="A63" s="318"/>
      <c r="B63" s="902"/>
      <c r="C63" s="26"/>
      <c r="D63" s="912"/>
      <c r="E63" s="896" t="s">
        <v>788</v>
      </c>
      <c r="F63" s="295">
        <f t="shared" ca="1" si="0"/>
        <v>1098.6600000000001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24627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6403</v>
      </c>
      <c r="D65" s="910" t="s">
        <v>743</v>
      </c>
      <c r="E65" s="896" t="s">
        <v>744</v>
      </c>
      <c r="F65" s="321">
        <f t="shared" ca="1" si="0"/>
        <v>1E-3</v>
      </c>
      <c r="I65" s="1367" t="s">
        <v>867</v>
      </c>
      <c r="J65" s="610">
        <v>40</v>
      </c>
      <c r="K65" s="610">
        <v>30</v>
      </c>
      <c r="L65" s="610">
        <v>50</v>
      </c>
      <c r="M65" s="1369">
        <v>0.02</v>
      </c>
      <c r="O65" s="1325" t="s">
        <v>403</v>
      </c>
      <c r="P65" s="1326" t="s">
        <v>868</v>
      </c>
      <c r="Q65" s="1327">
        <f ca="1">C40+J29</f>
        <v>17421302</v>
      </c>
      <c r="R65" s="1327" t="s">
        <v>818</v>
      </c>
    </row>
    <row r="66" spans="1:18" s="1292" customFormat="1" ht="16.5" thickBot="1">
      <c r="A66" s="928" t="s">
        <v>793</v>
      </c>
      <c r="B66" s="896" t="s">
        <v>728</v>
      </c>
      <c r="C66" s="21">
        <f ca="1">ROUND(C48*F66,0)</f>
        <v>0</v>
      </c>
      <c r="D66" s="910" t="s">
        <v>794</v>
      </c>
      <c r="E66" s="896" t="s">
        <v>712</v>
      </c>
      <c r="F66" s="304">
        <f t="shared" ca="1" si="0"/>
        <v>1.2999999999999999E-2</v>
      </c>
      <c r="O66" s="1325" t="s">
        <v>404</v>
      </c>
      <c r="P66" s="1326" t="s">
        <v>846</v>
      </c>
      <c r="Q66" s="1327">
        <f ca="1">L60</f>
        <v>0</v>
      </c>
      <c r="R66" s="1327" t="s">
        <v>869</v>
      </c>
    </row>
    <row r="67" spans="1:18" s="1292" customFormat="1" ht="16.5" thickBot="1">
      <c r="A67" s="903" t="s">
        <v>394</v>
      </c>
      <c r="B67" s="913" t="s">
        <v>752</v>
      </c>
      <c r="C67" s="308">
        <f ca="1">C48-C58</f>
        <v>-32678</v>
      </c>
      <c r="D67" s="909" t="s">
        <v>753</v>
      </c>
      <c r="E67" s="914"/>
      <c r="F67" s="915"/>
      <c r="O67" s="1334" t="s">
        <v>405</v>
      </c>
      <c r="P67" s="1326" t="s">
        <v>850</v>
      </c>
      <c r="Q67" s="1370">
        <f ca="1">L51</f>
        <v>7661649</v>
      </c>
      <c r="R67" s="1327" t="s">
        <v>870</v>
      </c>
    </row>
    <row r="68" spans="1:18" s="1292" customFormat="1" ht="16.5" thickBot="1">
      <c r="A68" s="893" t="s">
        <v>395</v>
      </c>
      <c r="B68" s="894" t="s">
        <v>774</v>
      </c>
      <c r="C68" s="293">
        <f ca="1">ROUND(C67*(1-((1+F70)/(1+F68))^F69)/(F68-F70),0)</f>
        <v>-505008</v>
      </c>
      <c r="D68" s="911" t="s">
        <v>758</v>
      </c>
      <c r="E68" s="896" t="s">
        <v>759</v>
      </c>
      <c r="F68" s="304">
        <f ca="1">F40</f>
        <v>5.5E-2</v>
      </c>
      <c r="O68" s="1334" t="s">
        <v>406</v>
      </c>
      <c r="P68" s="1371" t="s">
        <v>871</v>
      </c>
      <c r="Q68" s="1327">
        <f ca="1">ROUND(Q69-Q70*Q71,0)</f>
        <v>426097</v>
      </c>
      <c r="R68" s="1327" t="s">
        <v>414</v>
      </c>
    </row>
    <row r="69" spans="1:18" s="1292" customFormat="1" ht="13.5" thickBot="1">
      <c r="A69" s="897"/>
      <c r="B69" s="898"/>
      <c r="C69" s="298"/>
      <c r="D69" s="916" t="s">
        <v>762</v>
      </c>
      <c r="E69" s="896" t="s">
        <v>763</v>
      </c>
      <c r="F69" s="324">
        <f ca="1">F41</f>
        <v>35.43</v>
      </c>
      <c r="O69" s="1334" t="s">
        <v>411</v>
      </c>
      <c r="P69" s="1371" t="s">
        <v>872</v>
      </c>
      <c r="Q69" s="1327">
        <f ca="1">C39</f>
        <v>874313</v>
      </c>
      <c r="R69" s="1327" t="s">
        <v>818</v>
      </c>
    </row>
    <row r="70" spans="1:18" s="1292" customFormat="1" ht="13.5" thickBot="1">
      <c r="A70" s="900"/>
      <c r="B70" s="901"/>
      <c r="C70" s="302"/>
      <c r="D70" s="912"/>
      <c r="E70" s="896" t="s">
        <v>766</v>
      </c>
      <c r="F70" s="991"/>
      <c r="O70" s="1334" t="s">
        <v>412</v>
      </c>
      <c r="P70" s="1371" t="s">
        <v>873</v>
      </c>
      <c r="Q70" s="1327">
        <f ca="1">C13</f>
        <v>6403092</v>
      </c>
      <c r="R70" s="1327" t="s">
        <v>818</v>
      </c>
    </row>
    <row r="71" spans="1:18" s="1292" customFormat="1" ht="13.5" thickBot="1">
      <c r="A71" s="917" t="s">
        <v>396</v>
      </c>
      <c r="B71" s="918" t="s">
        <v>776</v>
      </c>
      <c r="C71" s="327">
        <f ca="1">ROUND(C68/F71,0)</f>
        <v>-301</v>
      </c>
      <c r="D71" s="919" t="s">
        <v>777</v>
      </c>
      <c r="E71" s="920" t="s">
        <v>778</v>
      </c>
      <c r="F71" s="330">
        <f ca="1">F43</f>
        <v>1680.33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448216</v>
      </c>
      <c r="D75" s="1292"/>
      <c r="E75" s="1292"/>
      <c r="F75" s="1292"/>
      <c r="K75" s="1309"/>
      <c r="L75" s="1292"/>
      <c r="O75" s="1325" t="s">
        <v>409</v>
      </c>
      <c r="P75" s="1326" t="s">
        <v>838</v>
      </c>
      <c r="Q75" s="1327">
        <f ca="1">Q65+Q66</f>
        <v>17421302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0.48699999999999999</v>
      </c>
    </row>
    <row r="80" spans="1:18">
      <c r="B80" s="331" t="s">
        <v>800</v>
      </c>
      <c r="C80" s="266">
        <f ca="1">ROUND(C75/C39,3)</f>
        <v>0.51300000000000001</v>
      </c>
    </row>
    <row r="81" spans="2:3">
      <c r="B81" s="262" t="s">
        <v>801</v>
      </c>
      <c r="C81" s="230"/>
    </row>
    <row r="82" spans="2:3">
      <c r="B82" s="265" t="s">
        <v>802</v>
      </c>
      <c r="C82" s="267">
        <f ca="1">1-C83</f>
        <v>0.63200000000000001</v>
      </c>
    </row>
    <row r="83" spans="2:3">
      <c r="B83" s="265" t="s">
        <v>803</v>
      </c>
      <c r="C83" s="266">
        <f ca="1">ROUND(C13/C40,3)</f>
        <v>0.36799999999999999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25" zoomScale="85" zoomScaleNormal="60" zoomScaleSheetLayoutView="85" workbookViewId="0">
      <selection activeCell="N43" sqref="N4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3423</v>
      </c>
      <c r="E1" s="3127" t="s">
        <v>3434</v>
      </c>
      <c r="F1" s="1735" t="s">
        <v>3465</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0.31929999999999997</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1.9</v>
      </c>
      <c r="C3" s="344" t="s">
        <v>1665</v>
      </c>
      <c r="D3" s="343">
        <f>IF(D1="",'数据-汇总表'!E3,SUMIF('数据-汇总表'!$C19:$C33,D1,'数据-汇总表'!$E19:$E33))</f>
        <v>1680.33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1666</v>
      </c>
      <c r="B4" s="346"/>
      <c r="C4" s="3404" t="s">
        <v>1667</v>
      </c>
      <c r="D4" s="3405"/>
      <c r="E4" s="3406" t="s">
        <v>1668</v>
      </c>
      <c r="F4" s="3407"/>
      <c r="G4" s="3404" t="s">
        <v>1669</v>
      </c>
      <c r="H4" s="3405"/>
      <c r="I4" s="3404" t="s">
        <v>1670</v>
      </c>
      <c r="J4" s="3405"/>
      <c r="K4" s="537" t="s">
        <v>1671</v>
      </c>
      <c r="L4" s="860"/>
      <c r="M4" s="861"/>
      <c r="N4" s="861"/>
      <c r="O4" s="861"/>
      <c r="P4" s="3408" t="s">
        <v>1672</v>
      </c>
      <c r="Q4" s="3409"/>
      <c r="R4" s="3414" t="s">
        <v>1668</v>
      </c>
      <c r="S4" s="3415"/>
      <c r="T4" s="3414" t="s">
        <v>1669</v>
      </c>
      <c r="U4" s="3415"/>
      <c r="V4" s="3390" t="s">
        <v>1670</v>
      </c>
      <c r="W4" s="3390"/>
      <c r="X4" s="1265"/>
      <c r="Y4" s="3414" t="s">
        <v>1672</v>
      </c>
      <c r="Z4" s="3415"/>
      <c r="AA4" s="3401" t="s">
        <v>1668</v>
      </c>
      <c r="AB4" s="3402" t="s">
        <v>1669</v>
      </c>
      <c r="AC4" s="3401" t="s">
        <v>1670</v>
      </c>
    </row>
    <row r="5" spans="1:29" ht="13.9" customHeight="1">
      <c r="A5" s="348"/>
      <c r="B5" s="349"/>
      <c r="C5" s="3448" t="s">
        <v>3436</v>
      </c>
      <c r="D5" s="3423"/>
      <c r="E5" s="3448" t="s">
        <v>3436</v>
      </c>
      <c r="F5" s="3423"/>
      <c r="G5" s="3448" t="s">
        <v>3436</v>
      </c>
      <c r="H5" s="3423"/>
      <c r="I5" s="3448" t="s">
        <v>3436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45705</v>
      </c>
      <c r="D7" s="355">
        <v>100</v>
      </c>
      <c r="E7" s="356">
        <f>C7</f>
        <v>45705</v>
      </c>
      <c r="F7" s="357">
        <f>SUMIF(52:52,YEAR(E7)&amp;"-"&amp;MONTH(E7),53:53)</f>
        <v>100</v>
      </c>
      <c r="G7" s="356">
        <f>C7</f>
        <v>45705</v>
      </c>
      <c r="H7" s="355">
        <f>SUMIF(52:52,YEAR(G7)&amp;"-"&amp;MONTH(G7),53:53)</f>
        <v>100</v>
      </c>
      <c r="I7" s="356">
        <f>C7</f>
        <v>45705</v>
      </c>
      <c r="J7" s="355">
        <f>SUMIF(52:52,YEAR(I7)&amp;"-"&amp;MONTH(I7),53:53)</f>
        <v>100</v>
      </c>
      <c r="K7" s="38"/>
      <c r="L7" s="862"/>
      <c r="M7" s="863"/>
      <c r="N7" s="863"/>
      <c r="O7" s="863"/>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3437</v>
      </c>
      <c r="D8" s="355">
        <v>100</v>
      </c>
      <c r="E8" s="358" t="s">
        <v>3438</v>
      </c>
      <c r="F8" s="357">
        <f>SUMIF(55:55,E8,56:56)-SUMIF(55:55,C8,56:56)+100</f>
        <v>101</v>
      </c>
      <c r="G8" s="358" t="s">
        <v>3438</v>
      </c>
      <c r="H8" s="355">
        <f>SUMIF(55:55,G8,56:56)-SUMIF(55:55,C8,56:56)+100</f>
        <v>101</v>
      </c>
      <c r="I8" s="358" t="s">
        <v>3438</v>
      </c>
      <c r="J8" s="355">
        <f>SUMIF(55:55,I8,56:56)-SUMIF(55:55,C8,56:56)+100</f>
        <v>101</v>
      </c>
      <c r="K8" s="38"/>
      <c r="L8" s="862"/>
      <c r="M8" s="863"/>
      <c r="N8" s="863"/>
      <c r="O8" s="863"/>
      <c r="P8" s="3424" t="s">
        <v>1683</v>
      </c>
      <c r="Q8" s="3425"/>
      <c r="R8" s="664" t="s">
        <v>14</v>
      </c>
      <c r="S8" s="665">
        <f t="shared" si="0"/>
        <v>101</v>
      </c>
      <c r="T8" s="664" t="s">
        <v>14</v>
      </c>
      <c r="U8" s="665">
        <f t="shared" si="1"/>
        <v>101</v>
      </c>
      <c r="V8" s="664" t="s">
        <v>14</v>
      </c>
      <c r="W8" s="665">
        <f t="shared" si="2"/>
        <v>101</v>
      </c>
      <c r="X8" s="666"/>
      <c r="Y8" s="3424" t="s">
        <v>1683</v>
      </c>
      <c r="Z8" s="3425"/>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54" t="s">
        <v>3441</v>
      </c>
      <c r="D9" s="59">
        <v>100</v>
      </c>
      <c r="E9" s="3154" t="s">
        <v>3441</v>
      </c>
      <c r="F9" s="59">
        <f>SUMIF(57:57,E9,58:58)-SUMIF(57:57,C9,58:58)+100</f>
        <v>100</v>
      </c>
      <c r="G9" s="3154" t="s">
        <v>3441</v>
      </c>
      <c r="H9" s="59">
        <f>SUMIF(57:57,G9,58:58)-SUMIF(57:57,C9,58:58)+100</f>
        <v>100</v>
      </c>
      <c r="I9" s="3154" t="s">
        <v>3441</v>
      </c>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75" thickTop="1">
      <c r="A10" s="363"/>
      <c r="B10" s="364" t="s">
        <v>1688</v>
      </c>
      <c r="C10" s="3153" t="s">
        <v>3440</v>
      </c>
      <c r="D10" s="119">
        <v>100</v>
      </c>
      <c r="E10" s="3153" t="s">
        <v>3440</v>
      </c>
      <c r="F10" s="119">
        <f>SUMIF(59:59,E10,60:60)-SUMIF(59:59,C10,60:60)+100</f>
        <v>100</v>
      </c>
      <c r="G10" s="3153" t="s">
        <v>3440</v>
      </c>
      <c r="H10" s="119">
        <f>SUMIF(59:59,G10,60:60)-SUMIF(59:59,C10,60:60)+100</f>
        <v>100</v>
      </c>
      <c r="I10" s="3153" t="s">
        <v>3440</v>
      </c>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t="s">
        <v>3431</v>
      </c>
      <c r="D18" s="389"/>
      <c r="E18" s="386" t="s">
        <v>3431</v>
      </c>
      <c r="F18" s="392"/>
      <c r="G18" s="386" t="s">
        <v>3431</v>
      </c>
      <c r="H18" s="387"/>
      <c r="I18" s="386" t="s">
        <v>3431</v>
      </c>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t="s">
        <v>3431</v>
      </c>
      <c r="D20" s="387"/>
      <c r="E20" s="386" t="s">
        <v>3431</v>
      </c>
      <c r="F20" s="388"/>
      <c r="G20" s="386" t="s">
        <v>3431</v>
      </c>
      <c r="H20" s="387"/>
      <c r="I20" s="386" t="s">
        <v>3431</v>
      </c>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t="s">
        <v>3463</v>
      </c>
      <c r="D22" s="387"/>
      <c r="E22" s="1755" t="s">
        <v>3463</v>
      </c>
      <c r="F22" s="388"/>
      <c r="G22" s="1755" t="s">
        <v>3463</v>
      </c>
      <c r="H22" s="387"/>
      <c r="I22" s="1755" t="s">
        <v>3463</v>
      </c>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t="s">
        <v>3431</v>
      </c>
      <c r="D24" s="387"/>
      <c r="E24" s="386" t="s">
        <v>3431</v>
      </c>
      <c r="F24" s="388"/>
      <c r="G24" s="386" t="s">
        <v>3431</v>
      </c>
      <c r="H24" s="387"/>
      <c r="I24" s="386" t="s">
        <v>3431</v>
      </c>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t="s">
        <v>3450</v>
      </c>
      <c r="D29" s="405">
        <v>100</v>
      </c>
      <c r="E29" s="1764" t="s">
        <v>3450</v>
      </c>
      <c r="F29" s="400">
        <f>SUMIF(88:88,E29,89:89)-SUMIF(88:88,C29,89:89)+100</f>
        <v>100</v>
      </c>
      <c r="G29" s="1764" t="s">
        <v>3450</v>
      </c>
      <c r="H29" s="374">
        <f>SUMIF(88:88,G29,89:89)-SUMIF(88:88,C29,89:89)+100</f>
        <v>100</v>
      </c>
      <c r="I29" s="1764" t="s">
        <v>3450</v>
      </c>
      <c r="J29" s="405">
        <f>SUMIF(88:88,I29,89:89)-SUMIF(88:88,C29,89:89)+100</f>
        <v>100</v>
      </c>
      <c r="K29" s="538">
        <v>2</v>
      </c>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1680.33</v>
      </c>
      <c r="D30" s="119">
        <v>100</v>
      </c>
      <c r="E30" s="369">
        <v>3000</v>
      </c>
      <c r="F30" s="364">
        <f>LOOKUP(E30,91:91,92:92)-LOOKUP(C30,91:91,92:92)+100</f>
        <v>94</v>
      </c>
      <c r="G30" s="368">
        <v>215</v>
      </c>
      <c r="H30" s="119">
        <f>LOOKUP(G30,91:91,92:92)-LOOKUP(C30,91:91,92:92)+100</f>
        <v>103</v>
      </c>
      <c r="I30" s="368">
        <v>2200</v>
      </c>
      <c r="J30" s="119">
        <f>LOOKUP(I30,91:91,92:92)-LOOKUP(C30,91:91,92:92)+100</f>
        <v>97</v>
      </c>
      <c r="K30" s="539"/>
      <c r="L30" s="868"/>
      <c r="M30" s="871"/>
      <c r="N30" s="871"/>
      <c r="O30" s="872"/>
      <c r="P30" s="3396"/>
      <c r="Q30" s="531" t="str">
        <f t="shared" si="11"/>
        <v>项目建筑规模</v>
      </c>
      <c r="R30" s="669" t="s">
        <v>14</v>
      </c>
      <c r="S30" s="670">
        <f t="shared" si="12"/>
        <v>94</v>
      </c>
      <c r="T30" s="669" t="s">
        <v>14</v>
      </c>
      <c r="U30" s="670">
        <f t="shared" si="13"/>
        <v>103</v>
      </c>
      <c r="V30" s="669" t="s">
        <v>14</v>
      </c>
      <c r="W30" s="670">
        <f t="shared" si="14"/>
        <v>97</v>
      </c>
      <c r="X30" s="671"/>
      <c r="Y30" s="3396"/>
      <c r="Z30" s="672" t="str">
        <f t="shared" si="15"/>
        <v>项目建筑规模</v>
      </c>
      <c r="AA30" s="1264">
        <f t="shared" si="3"/>
        <v>1.0638297872340425</v>
      </c>
      <c r="AB30" s="1264">
        <f t="shared" si="4"/>
        <v>0.970873786407767</v>
      </c>
      <c r="AC30" s="1264">
        <f t="shared" si="5"/>
        <v>1.0309278350515463</v>
      </c>
    </row>
    <row r="31" spans="1:29" ht="15">
      <c r="A31" s="409"/>
      <c r="B31" s="364" t="s">
        <v>1698</v>
      </c>
      <c r="C31" s="399" t="s">
        <v>3425</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3159">
        <f>'数据-取费表'!N6</f>
        <v>0.78</v>
      </c>
      <c r="D33" s="374">
        <v>100</v>
      </c>
      <c r="E33" s="411">
        <f>C33</f>
        <v>0.78</v>
      </c>
      <c r="F33" s="400">
        <f>LOOKUP(E33,98:98,99:99)-LOOKUP(C33,98:98,99:99)+100</f>
        <v>100</v>
      </c>
      <c r="G33" s="411">
        <f>C33</f>
        <v>0.78</v>
      </c>
      <c r="H33" s="400">
        <f>LOOKUP(G33,98:98,99:99)-LOOKUP(C33,98:98,99:99)+100</f>
        <v>100</v>
      </c>
      <c r="I33" s="411">
        <f>C33</f>
        <v>0.78</v>
      </c>
      <c r="J33" s="374">
        <f>LOOKUP(I33,98:98,99:99)-LOOKUP(C33,98:98,99:99)+100</f>
        <v>100</v>
      </c>
      <c r="K33" s="538">
        <v>1</v>
      </c>
      <c r="L33" s="870"/>
      <c r="M33" s="861"/>
      <c r="N33" s="861"/>
      <c r="O33" s="869"/>
      <c r="P33" s="3396"/>
      <c r="Q33" s="1263" t="str">
        <f t="shared" si="11"/>
        <v>成新度</v>
      </c>
      <c r="R33" s="667" t="s">
        <v>14</v>
      </c>
      <c r="S33" s="668">
        <f t="shared" si="12"/>
        <v>100</v>
      </c>
      <c r="T33" s="667" t="s">
        <v>14</v>
      </c>
      <c r="U33" s="668">
        <f t="shared" si="13"/>
        <v>100</v>
      </c>
      <c r="V33" s="667" t="s">
        <v>14</v>
      </c>
      <c r="W33" s="668">
        <f t="shared" si="14"/>
        <v>100</v>
      </c>
      <c r="X33" s="1265"/>
      <c r="Y33" s="3396"/>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160"/>
      <c r="D36" s="374">
        <v>100</v>
      </c>
      <c r="E36" s="3160"/>
      <c r="F36" s="400">
        <f>SUMIF(104:104,E36,105:105)-SUMIF(104:104,C36,105:105)+100</f>
        <v>100</v>
      </c>
      <c r="G36" s="399"/>
      <c r="H36" s="374">
        <f>SUMIF(104:104,G36,105:105)-SUMIF(104:104,C36,105:105)+100</f>
        <v>100</v>
      </c>
      <c r="I36" s="399"/>
      <c r="J36" s="374">
        <f>SUMIF(104:104,I36,105:105)-SUMIF(104:104,C36,105:105)+100</f>
        <v>100</v>
      </c>
      <c r="K36" s="538">
        <v>1</v>
      </c>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v>1.8</v>
      </c>
      <c r="F41" s="420"/>
      <c r="G41" s="421">
        <v>1.9</v>
      </c>
      <c r="H41" s="422"/>
      <c r="I41" s="419">
        <v>2</v>
      </c>
      <c r="J41" s="422"/>
      <c r="K41" s="674"/>
      <c r="L41" s="873"/>
      <c r="M41" s="861"/>
      <c r="N41" s="861"/>
      <c r="O41" s="861"/>
      <c r="P41" s="3389" t="str">
        <f>A41</f>
        <v>成交单价（元/平方米）</v>
      </c>
      <c r="Q41" s="3389"/>
      <c r="R41" s="3390">
        <f>E41</f>
        <v>1.8</v>
      </c>
      <c r="S41" s="3390"/>
      <c r="T41" s="3390">
        <f>G41</f>
        <v>1.9</v>
      </c>
      <c r="U41" s="3390"/>
      <c r="V41" s="3390">
        <f>I41</f>
        <v>2</v>
      </c>
      <c r="W41" s="3390"/>
      <c r="X41" s="385"/>
      <c r="Y41" s="673"/>
      <c r="Z41" s="385"/>
      <c r="AA41" s="385"/>
      <c r="AB41" s="385"/>
      <c r="AC41" s="385"/>
    </row>
    <row r="42" spans="1:29" ht="15.75" thickBot="1">
      <c r="A42" s="423" t="s">
        <v>1709</v>
      </c>
      <c r="B42" s="424"/>
      <c r="C42" s="1082">
        <f>R43</f>
        <v>1.9</v>
      </c>
      <c r="D42" s="2141" t="s">
        <v>2138</v>
      </c>
      <c r="E42" s="1083">
        <f>R42</f>
        <v>1.9</v>
      </c>
      <c r="F42" s="2142"/>
      <c r="G42" s="1082">
        <f>T42</f>
        <v>1.8</v>
      </c>
      <c r="H42" s="2142"/>
      <c r="I42" s="1083">
        <f>V42</f>
        <v>2</v>
      </c>
      <c r="J42" s="2142"/>
      <c r="K42" s="2144">
        <f>F42+H42+J42</f>
        <v>0</v>
      </c>
      <c r="L42" s="873"/>
      <c r="M42" s="861"/>
      <c r="N42" s="861"/>
      <c r="O42" s="861"/>
      <c r="P42" s="3389" t="str">
        <f>A42</f>
        <v>比较价值（元/平方米）</v>
      </c>
      <c r="Q42" s="3389"/>
      <c r="R42" s="3390">
        <f>IF(F1="售价",ROUND(PRODUCT(R41,AA7:AA40),0),ROUND(PRODUCT(R41,AA7:AA40),1))</f>
        <v>1.9</v>
      </c>
      <c r="S42" s="3390"/>
      <c r="T42" s="3390">
        <f>IF(F1="售价",ROUND(PRODUCT(T41,AB7:AB40),0),ROUND(PRODUCT(T41,AB7:AB40),1))</f>
        <v>1.8</v>
      </c>
      <c r="U42" s="3390"/>
      <c r="V42" s="3390">
        <f>IF(F1="售价",ROUND(PRODUCT(V41,AC7:AC40),0),ROUND(PRODUCT(V41,AC7:AC40),1))</f>
        <v>2</v>
      </c>
      <c r="W42" s="3390"/>
      <c r="X42" s="385"/>
      <c r="Y42" s="385"/>
      <c r="Z42" s="385"/>
      <c r="AA42" s="385"/>
      <c r="AB42" s="385"/>
      <c r="AC42" s="385"/>
    </row>
    <row r="43" spans="1:29" ht="15.75" thickBot="1">
      <c r="A43" s="427" t="s">
        <v>1710</v>
      </c>
      <c r="B43" s="428"/>
      <c r="C43" s="351">
        <f>R43</f>
        <v>1.9</v>
      </c>
      <c r="D43" s="351"/>
      <c r="E43" s="351"/>
      <c r="F43" s="351"/>
      <c r="G43" s="351"/>
      <c r="H43" s="351"/>
      <c r="I43" s="351"/>
      <c r="J43" s="351"/>
      <c r="K43" s="675"/>
      <c r="L43" s="873"/>
      <c r="M43" s="861"/>
      <c r="N43" s="861"/>
      <c r="O43" s="861"/>
      <c r="P43" s="3386" t="str">
        <f>A43</f>
        <v>估价对象XX用房的比较价值（楼面单价，元/平方米）</v>
      </c>
      <c r="Q43" s="3387"/>
      <c r="R43" s="3388">
        <f>IF(F1="售价",ROUND(IF(D42="简单平均",AVERAGE(R42:V42),R42*F42+T42*H42+V42*J42),0),ROUND(IF(D42="简单平均",AVERAGE(R42:V42),R42*F42+T42*H42+V42*J42),1))</f>
        <v>1.9</v>
      </c>
      <c r="S43" s="3388"/>
      <c r="T43" s="3388"/>
      <c r="U43" s="3388"/>
      <c r="V43" s="3388"/>
      <c r="W43" s="338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1711</v>
      </c>
      <c r="D46" s="433"/>
      <c r="E46" s="434">
        <f>IF(E41&lt;E42,E42/E41-1,E41/E42-1)</f>
        <v>5.555555555555558E-2</v>
      </c>
      <c r="F46" s="435" t="str">
        <f>IF(OR(E46&gt;=0.3,E46&lt;=-0.3),"超过30%","")</f>
        <v/>
      </c>
      <c r="G46" s="434">
        <f>IF(G41&lt;G42,G42/G41-1,G41/G42-1)</f>
        <v>5.555555555555558E-2</v>
      </c>
      <c r="H46" s="435" t="str">
        <f>IF(OR(G46&gt;=0.3,G46&lt;=-0.3),"超过30%","")</f>
        <v/>
      </c>
      <c r="I46" s="434">
        <f>IF(I41&lt;I42,I42/I41-1,I41/I42-1)</f>
        <v>0</v>
      </c>
      <c r="J46" s="435" t="str">
        <f>IF(OR(I46&gt;=0.3,I46&lt;=-0.3),"超过30%","")</f>
        <v/>
      </c>
      <c r="K46" s="2495"/>
      <c r="L46" s="836"/>
      <c r="M46" s="861"/>
      <c r="N46" s="861"/>
      <c r="O46" s="861"/>
    </row>
    <row r="47" spans="1:29" ht="13.5" customHeight="1">
      <c r="A47" s="2483"/>
      <c r="B47" s="2483"/>
      <c r="C47" s="432" t="s">
        <v>1712</v>
      </c>
      <c r="D47" s="436"/>
      <c r="E47" s="434">
        <f>IF(E42&lt;G42,G42/E42-1,E42/G42-1)</f>
        <v>5.555555555555558E-2</v>
      </c>
      <c r="F47" s="435" t="str">
        <f>IF(OR(E47&gt;=0.2,E47&lt;=-0.2),"超过20%","")</f>
        <v/>
      </c>
      <c r="G47" s="434">
        <f>IF(G42&lt;I42,I42/G42-1,G42/I42-1)</f>
        <v>0.11111111111111116</v>
      </c>
      <c r="H47" s="435" t="str">
        <f>IF(OR(G47&gt;=0.2,G47&lt;=-0.2),"超过20%","")</f>
        <v/>
      </c>
      <c r="I47" s="434">
        <f>IF(I42&lt;E42,E42/I42-1,I42/E42-1)</f>
        <v>5.2631578947368363E-2</v>
      </c>
      <c r="J47" s="435" t="str">
        <f>IF(OR(I47&gt;=0.2,I47&lt;=-0.2),"超过20%","")</f>
        <v/>
      </c>
      <c r="K47" s="2495"/>
      <c r="L47" s="836"/>
      <c r="M47" s="861"/>
      <c r="N47" s="861"/>
      <c r="O47" s="861"/>
    </row>
    <row r="48" spans="1:29" s="437" customFormat="1" ht="13.5" customHeight="1">
      <c r="A48" s="2493"/>
      <c r="B48" s="2493"/>
      <c r="C48" s="432" t="s">
        <v>1713</v>
      </c>
      <c r="D48" s="436"/>
      <c r="E48" s="434">
        <f>IF(E41&lt;G41,G41/E41-1,E41/G41-1)</f>
        <v>5.555555555555558E-2</v>
      </c>
      <c r="F48" s="435" t="str">
        <f>IF(OR(E48&gt;=0.3,E48&lt;=-0.3),"超过30%","")</f>
        <v/>
      </c>
      <c r="G48" s="434">
        <f>IF(G41&lt;I41,I41/G41-1,G41/I41-1)</f>
        <v>5.2631578947368363E-2</v>
      </c>
      <c r="H48" s="435" t="str">
        <f>IF(OR(G48&gt;=0.3,G48&lt;=-0.3),"超过30%","")</f>
        <v/>
      </c>
      <c r="I48" s="434">
        <f>IF(I41&lt;E41,E41/I41-1,I41/E41-1)</f>
        <v>0.11111111111111116</v>
      </c>
      <c r="J48" s="435" t="str">
        <f>IF(OR(I48&gt;=0.3,I48&lt;=-0.3),"超过30%","")</f>
        <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1714</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1718</v>
      </c>
      <c r="D55" s="3152" t="s">
        <v>3439</v>
      </c>
      <c r="E55" s="31"/>
      <c r="F55" s="31"/>
      <c r="G55" s="31"/>
      <c r="H55" s="31"/>
      <c r="I55" s="31"/>
      <c r="J55" s="31"/>
      <c r="K55" s="31"/>
      <c r="L55" s="457"/>
      <c r="M55" s="458"/>
      <c r="N55" s="878"/>
      <c r="O55" s="878"/>
      <c r="P55" s="459"/>
      <c r="Q55" s="439"/>
    </row>
    <row r="56" spans="1:17" s="102" customFormat="1" ht="15.75" thickBot="1">
      <c r="A56" s="455"/>
      <c r="B56" s="444"/>
      <c r="C56" s="563">
        <v>100</v>
      </c>
      <c r="D56" s="446">
        <v>101</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3153" t="s">
        <v>3442</v>
      </c>
      <c r="D59" s="3155" t="s">
        <v>3443</v>
      </c>
      <c r="E59" s="3155" t="s">
        <v>3444</v>
      </c>
      <c r="F59" s="3153" t="s">
        <v>3445</v>
      </c>
      <c r="G59" s="3153" t="s">
        <v>3446</v>
      </c>
      <c r="H59" s="3153" t="s">
        <v>3447</v>
      </c>
      <c r="I59" s="3153" t="s">
        <v>3448</v>
      </c>
      <c r="J59" s="3153" t="s">
        <v>3440</v>
      </c>
      <c r="K59" s="514"/>
      <c r="L59" s="515"/>
      <c r="M59" s="516"/>
      <c r="N59" s="879"/>
      <c r="O59" s="879"/>
      <c r="P59" s="40"/>
      <c r="Q59" s="439"/>
    </row>
    <row r="60" spans="1:17" ht="15.75" thickBot="1">
      <c r="A60" s="367"/>
      <c r="B60" s="474"/>
      <c r="C60" s="3156">
        <v>65</v>
      </c>
      <c r="D60" s="3156">
        <v>70</v>
      </c>
      <c r="E60" s="3156">
        <v>75</v>
      </c>
      <c r="F60" s="3156">
        <v>80</v>
      </c>
      <c r="G60" s="3156">
        <v>85</v>
      </c>
      <c r="H60" s="3156">
        <v>90</v>
      </c>
      <c r="I60" s="3156">
        <v>95</v>
      </c>
      <c r="J60" s="3156">
        <v>100</v>
      </c>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58" t="s">
        <v>3451</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9.25"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57" t="s">
        <v>3449</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3">C96-$K32</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6">
        <f t="shared" si="23"/>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1"/>
      <c r="O101" s="881"/>
      <c r="P101" s="489"/>
      <c r="Q101" s="490"/>
    </row>
    <row r="102" spans="1:17" ht="15" thickTop="1">
      <c r="A102" s="409"/>
      <c r="B102" s="469" t="s">
        <v>1742</v>
      </c>
      <c r="C102" s="3157" t="s">
        <v>3452</v>
      </c>
      <c r="D102" s="3157" t="s">
        <v>3453</v>
      </c>
      <c r="E102" s="3157" t="s">
        <v>3454</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80"/>
      <c r="O103" s="880"/>
      <c r="P103" s="40"/>
      <c r="Q103" s="439"/>
    </row>
    <row r="104" spans="1:17" ht="15" thickTop="1">
      <c r="A104" s="409"/>
      <c r="B104" s="469" t="s">
        <v>1744</v>
      </c>
      <c r="C104" s="3157" t="s">
        <v>3455</v>
      </c>
      <c r="D104" s="3157" t="s">
        <v>3456</v>
      </c>
      <c r="E104" s="3157" t="s">
        <v>3457</v>
      </c>
      <c r="F104" s="3157" t="s">
        <v>3458</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100</v>
      </c>
      <c r="E107" s="475">
        <f t="shared" si="27"/>
        <v>100</v>
      </c>
      <c r="F107" s="475">
        <f t="shared" si="27"/>
        <v>100</v>
      </c>
      <c r="G107" s="475">
        <f t="shared" si="27"/>
        <v>100</v>
      </c>
      <c r="H107" s="475">
        <f t="shared" si="27"/>
        <v>100</v>
      </c>
      <c r="I107" s="475">
        <f t="shared" si="27"/>
        <v>100</v>
      </c>
      <c r="J107" s="475">
        <f t="shared" si="27"/>
        <v>100</v>
      </c>
      <c r="K107" s="475">
        <f t="shared" si="27"/>
        <v>100</v>
      </c>
      <c r="L107" s="475">
        <f t="shared" si="27"/>
        <v>100</v>
      </c>
      <c r="M107" s="475">
        <f t="shared" si="27"/>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20" priority="14" stopIfTrue="1">
      <formula>$F$46="超过30%"</formula>
    </cfRule>
  </conditionalFormatting>
  <conditionalFormatting sqref="E47">
    <cfRule type="expression" dxfId="19" priority="13" stopIfTrue="1">
      <formula>$F$47="超过20%"</formula>
    </cfRule>
  </conditionalFormatting>
  <conditionalFormatting sqref="E48">
    <cfRule type="expression" dxfId="18" priority="12"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5" stopIfTrue="1" operator="containsText" text="超过">
      <formula>NOT(ISERROR(SEARCH("超过",F46)))</formula>
    </cfRule>
  </conditionalFormatting>
  <conditionalFormatting sqref="G46">
    <cfRule type="expression" dxfId="14" priority="10" stopIfTrue="1">
      <formula>$H$46="超过30%"</formula>
    </cfRule>
  </conditionalFormatting>
  <conditionalFormatting sqref="G47">
    <cfRule type="expression" dxfId="13" priority="9" stopIfTrue="1">
      <formula>$H$47="超过20%"</formula>
    </cfRule>
  </conditionalFormatting>
  <conditionalFormatting sqref="G48">
    <cfRule type="expression" dxfId="12" priority="11"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76" workbookViewId="0">
      <selection activeCell="A122" sqref="A12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34" workbookViewId="0">
      <selection activeCell="H52" sqref="H52"/>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3423</v>
      </c>
      <c r="C1" s="1717"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998.19839999999999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2495347</v>
      </c>
      <c r="D5" s="203" t="s">
        <v>1469</v>
      </c>
      <c r="E5" s="204" t="s">
        <v>1470</v>
      </c>
      <c r="F5" s="204" t="s">
        <v>1471</v>
      </c>
      <c r="G5" s="205"/>
    </row>
    <row r="6" spans="1:8" s="206" customFormat="1" ht="13.5" customHeight="1">
      <c r="A6" s="732" t="s">
        <v>1472</v>
      </c>
      <c r="B6" s="207" t="s">
        <v>1473</v>
      </c>
      <c r="C6" s="208">
        <f>ROUND(基准地价修正!D33*基准地价修正!C33,0)</f>
        <v>2095372</v>
      </c>
      <c r="D6" s="209"/>
      <c r="E6" s="210"/>
      <c r="F6" s="210"/>
      <c r="G6" s="211"/>
    </row>
    <row r="7" spans="1:8" s="206" customFormat="1" ht="13.5" customHeight="1">
      <c r="A7" s="732" t="s">
        <v>1474</v>
      </c>
      <c r="B7" s="207" t="s">
        <v>1475</v>
      </c>
      <c r="C7" s="212">
        <f>ROUND(C6*F7,0)</f>
        <v>63909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336066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336066</v>
      </c>
      <c r="D10" s="795">
        <f ca="1">IF(B1="",'数据-汇总表'!E6,IF(INDIRECT("'数据-取费表'!c"&amp;$G$1)="住宅",INDIRECT("'数据-取费表'!s"&amp;$G$1),INDIRECT("'数据-取费表'!k"&amp;$G$1)+INDIRECT("'数据-取费表'!s"&amp;$G$1)))</f>
        <v>1680.33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336066</v>
      </c>
      <c r="D19" s="204">
        <f ca="1">D9+D10</f>
        <v>1680.33</v>
      </c>
      <c r="E19" s="203">
        <f>'数据-取费表'!B31</f>
        <v>200</v>
      </c>
      <c r="F19" s="223"/>
      <c r="G19" s="1714"/>
    </row>
    <row r="20" spans="1:7" s="206" customFormat="1" ht="13.5" customHeight="1">
      <c r="A20" s="247" t="s">
        <v>1574</v>
      </c>
      <c r="B20" s="202" t="s">
        <v>1575</v>
      </c>
      <c r="C20" s="224">
        <f ca="1">ROUND((C5+C19)*F20,0)</f>
        <v>56628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133988</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116928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15748</v>
      </c>
      <c r="D24" s="230"/>
      <c r="E24" s="230"/>
      <c r="F24" s="231"/>
      <c r="G24" s="232" t="s">
        <v>1586</v>
      </c>
    </row>
    <row r="25" spans="1:7" s="206" customFormat="1" ht="24">
      <c r="A25" s="734" t="s">
        <v>1476</v>
      </c>
      <c r="B25" s="207" t="s">
        <v>1587</v>
      </c>
      <c r="C25" s="230">
        <f ca="1">ROUND(IF('数据-取费表'!B22&lt;=1,C20*F22*'数据-取费表'!B22/2,C20*(POWER((1+F22),'数据-取费表'!B22/2)-1)),0)</f>
        <v>1312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288804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288804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3578892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6628902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5881155</v>
      </c>
      <c r="D34" s="209"/>
      <c r="E34" s="212"/>
      <c r="F34" s="249"/>
      <c r="G34" s="211"/>
    </row>
    <row r="35" spans="1:7" ht="13.5" customHeight="1">
      <c r="A35" s="734" t="s">
        <v>351</v>
      </c>
      <c r="B35" s="207" t="s">
        <v>1527</v>
      </c>
      <c r="C35" s="212">
        <f ca="1">ROUND(C34*F35,0)</f>
        <v>294058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336066</v>
      </c>
      <c r="D37" s="209">
        <f ca="1">D19</f>
        <v>1680.33</v>
      </c>
      <c r="E37" s="241">
        <f>'数据-取费表'!B35</f>
        <v>200</v>
      </c>
      <c r="F37" s="251"/>
      <c r="G37" s="253"/>
    </row>
    <row r="38" spans="1:7" ht="13.5" customHeight="1">
      <c r="A38" s="734" t="s">
        <v>354</v>
      </c>
      <c r="B38" s="207" t="s">
        <v>1533</v>
      </c>
      <c r="C38" s="212">
        <f ca="1">ROUND(C34*F38,0)</f>
        <v>117623</v>
      </c>
      <c r="D38" s="212"/>
      <c r="E38" s="212"/>
      <c r="F38" s="251">
        <f>'数据-取费表'!B36</f>
        <v>0.02</v>
      </c>
      <c r="G38" s="211" t="s">
        <v>1528</v>
      </c>
    </row>
    <row r="39" spans="1:7" s="206" customFormat="1" ht="13.5" customHeight="1">
      <c r="A39" s="247" t="s">
        <v>1534</v>
      </c>
      <c r="B39" s="202" t="s">
        <v>1535</v>
      </c>
      <c r="C39" s="224">
        <f ca="1">ROUND(C33*F20,0)</f>
        <v>132578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156603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153532</v>
      </c>
      <c r="D42" s="230"/>
      <c r="E42" s="230"/>
      <c r="F42" s="231"/>
      <c r="G42" s="3357" t="s">
        <v>1591</v>
      </c>
    </row>
    <row r="43" spans="1:7" ht="13.5" customHeight="1">
      <c r="A43" s="734" t="s">
        <v>347</v>
      </c>
      <c r="B43" s="207" t="s">
        <v>1545</v>
      </c>
      <c r="C43" s="230">
        <f ca="1">ROUND(IF('数据-取费表'!B22&lt;=1,C39*F22*'数据-取费表'!B20/2,C39*(POWER((1+F22),'数据-取费表'!B20/2)-1)),0)</f>
        <v>3071</v>
      </c>
      <c r="D43" s="230"/>
      <c r="E43" s="230"/>
      <c r="F43" s="231"/>
      <c r="G43" s="3358"/>
    </row>
    <row r="44" spans="1:7" ht="13.5" customHeight="1">
      <c r="A44" s="734" t="s">
        <v>348</v>
      </c>
      <c r="B44" s="207" t="s">
        <v>1546</v>
      </c>
      <c r="C44" s="230">
        <f ca="1">ROUND(IF('数据-取费表'!B22&lt;=1,C40*F22*'数据-取费表'!B20/2,C40*(POWER((1+F22),'数据-取费表'!B20/2)-1)),4)</f>
        <v>5.0000000000000001E-4</v>
      </c>
      <c r="D44" s="230"/>
      <c r="E44" s="230"/>
      <c r="F44" s="231"/>
      <c r="G44" s="3359"/>
    </row>
    <row r="45" spans="1:7" s="206" customFormat="1" ht="13.5" customHeight="1">
      <c r="A45" s="247" t="s">
        <v>1547</v>
      </c>
      <c r="B45" s="236" t="s">
        <v>1513</v>
      </c>
      <c r="C45" s="237">
        <f ca="1">C46</f>
        <v>676148</v>
      </c>
      <c r="D45" s="227">
        <f ca="1">C47</f>
        <v>2E-3</v>
      </c>
      <c r="E45" s="228" t="s">
        <v>1539</v>
      </c>
      <c r="F45" s="238">
        <f ca="1">F27</f>
        <v>0.1</v>
      </c>
      <c r="G45" s="239" t="s">
        <v>1548</v>
      </c>
    </row>
    <row r="46" spans="1:7" s="206" customFormat="1" ht="13.5" customHeight="1">
      <c r="A46" s="734" t="s">
        <v>346</v>
      </c>
      <c r="B46" s="240" t="s">
        <v>1549</v>
      </c>
      <c r="C46" s="241">
        <f ca="1">ROUND((C33+C39)*F27,0)</f>
        <v>676148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8209092</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6403092</v>
      </c>
      <c r="D51" s="224"/>
      <c r="E51" s="224"/>
      <c r="F51" s="256"/>
      <c r="G51" s="226" t="s">
        <v>1560</v>
      </c>
    </row>
    <row r="52" spans="1:7" s="200" customFormat="1" ht="16.5" thickBot="1">
      <c r="A52" s="257" t="s">
        <v>1561</v>
      </c>
      <c r="B52" s="258"/>
      <c r="C52" s="259">
        <f ca="1">C31+C51</f>
        <v>9981984</v>
      </c>
      <c r="D52" s="258"/>
      <c r="E52" s="258"/>
      <c r="F52" s="258"/>
      <c r="G52" s="260"/>
    </row>
    <row r="55" spans="1:7" ht="15">
      <c r="B55" s="262" t="s">
        <v>1562</v>
      </c>
      <c r="C55" s="263"/>
    </row>
    <row r="56" spans="1:7">
      <c r="B56" s="265" t="s">
        <v>802</v>
      </c>
      <c r="C56" s="267">
        <f ca="1">1-C57</f>
        <v>0.35899999999999999</v>
      </c>
    </row>
    <row r="57" spans="1:7">
      <c r="B57" s="265" t="s">
        <v>803</v>
      </c>
      <c r="C57" s="266">
        <f ca="1">ROUND(C51/C52,3)</f>
        <v>0.64100000000000001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88" sqref="E8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1680.33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210</v>
      </c>
      <c r="C2" s="1846" t="s">
        <v>1935</v>
      </c>
      <c r="D2" s="162" t="s">
        <v>1936</v>
      </c>
      <c r="E2" s="3116"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2239</v>
      </c>
      <c r="U2" s="1130"/>
      <c r="V2" s="3059">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1250</v>
      </c>
      <c r="C3" s="1846" t="s">
        <v>1941</v>
      </c>
      <c r="D3" s="162" t="s">
        <v>1942</v>
      </c>
      <c r="E3" s="3114" t="s">
        <v>2479</v>
      </c>
      <c r="F3" s="1848" t="s">
        <v>3430</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1726</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1408</v>
      </c>
      <c r="U4" s="1130"/>
      <c r="V4" s="3059">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1195</v>
      </c>
      <c r="U5" s="1130"/>
      <c r="V5" s="3059">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1089</v>
      </c>
      <c r="U6" s="1130"/>
      <c r="V6" s="3059">
        <f t="shared" si="1"/>
        <v>0</v>
      </c>
      <c r="W6" s="1133"/>
      <c r="X6" s="1133"/>
      <c r="Y6" s="1133"/>
      <c r="Z6" s="1133"/>
      <c r="AA6" s="1133"/>
      <c r="AB6" s="1133"/>
      <c r="AC6" s="1855"/>
      <c r="AD6" s="1856"/>
      <c r="AE6" s="1856"/>
      <c r="AF6" s="1856"/>
      <c r="AG6" s="1856"/>
      <c r="AH6" s="1856"/>
      <c r="AI6" s="1856"/>
      <c r="AJ6" s="1857"/>
    </row>
    <row r="7" spans="1:36" ht="24.75" thickBot="1">
      <c r="A7" s="3008"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1955</v>
      </c>
      <c r="X7" s="1131" t="str">
        <f>G2</f>
        <v>八级</v>
      </c>
      <c r="Y7" s="1131" t="s">
        <v>1956</v>
      </c>
      <c r="Z7" s="1132">
        <f>G3</f>
        <v>1.5</v>
      </c>
      <c r="AA7" s="1133"/>
      <c r="AB7" s="1133"/>
      <c r="AC7" s="1134"/>
      <c r="AD7" s="1135"/>
      <c r="AE7" s="1135"/>
      <c r="AF7" s="1135"/>
      <c r="AG7" s="1135"/>
      <c r="AH7" s="1135"/>
      <c r="AI7" s="1135"/>
      <c r="AJ7" s="1136"/>
    </row>
    <row r="8" spans="1:36" ht="1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59">
        <f t="shared" si="0"/>
        <v>0</v>
      </c>
      <c r="U8" s="1130"/>
      <c r="V8" s="3059">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0"/>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3242</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3" t="s">
        <v>1985</v>
      </c>
      <c r="C14" s="1884" t="s">
        <v>1986</v>
      </c>
      <c r="D14" s="1261" t="s">
        <v>1987</v>
      </c>
      <c r="E14" s="27" t="s">
        <v>1988</v>
      </c>
      <c r="F14" s="3016" t="s">
        <v>3243</v>
      </c>
      <c r="G14" s="3016" t="s">
        <v>3243</v>
      </c>
      <c r="H14" s="3016" t="s">
        <v>3243</v>
      </c>
      <c r="I14" s="3016" t="s">
        <v>3243</v>
      </c>
      <c r="J14" s="3016" t="s">
        <v>3243</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3244</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09"/>
      <c r="C18" s="3030"/>
      <c r="D18" s="3025" t="s">
        <v>3248</v>
      </c>
      <c r="E18" s="2353"/>
      <c r="F18" s="3026" t="s">
        <v>3251</v>
      </c>
      <c r="G18" s="3030">
        <f>ROUND(1-(1/(POWER(1+G24,E18))),4)</f>
        <v>0</v>
      </c>
      <c r="H18" s="3026" t="s">
        <v>3253</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3249</v>
      </c>
      <c r="E19" s="3039"/>
      <c r="F19" s="3040" t="s">
        <v>3252</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475" t="s">
        <v>3254</v>
      </c>
      <c r="B20" s="159" t="s">
        <v>1994</v>
      </c>
      <c r="C20" s="3027">
        <f>ROUND(IF(F21="与级别开发程度一致",0,(G21-E21)/C21),0)</f>
        <v>0</v>
      </c>
      <c r="D20" s="3042" t="s">
        <v>1998</v>
      </c>
      <c r="E20" s="3043"/>
      <c r="F20" s="3481" t="s">
        <v>1995</v>
      </c>
      <c r="G20" s="3482"/>
      <c r="H20" s="3028"/>
      <c r="I20" s="3028"/>
      <c r="J20" s="3029"/>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6.25" thickBot="1">
      <c r="A21" s="3476"/>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45705</v>
      </c>
      <c r="H23" s="3044" t="s">
        <v>3256</v>
      </c>
      <c r="I23" s="3045" t="str">
        <f>IF(H23="季度增幅（自定义）",SUMIF(N25:N28,E2,O25:O28),"")</f>
        <v/>
      </c>
      <c r="J23" s="3137" t="s">
        <v>3255</v>
      </c>
      <c r="K23" s="1061"/>
      <c r="L23" s="1897" t="s">
        <v>2004</v>
      </c>
      <c r="M23" s="1241">
        <f>ROUND(SUMIF(地价!B2:G2,E2,地价!B16:G16),0)</f>
        <v>318</v>
      </c>
      <c r="N23" s="1898"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0.90100000000000002</v>
      </c>
      <c r="D24" s="1902" t="s">
        <v>2007</v>
      </c>
      <c r="E24" s="1248">
        <f>存贷款利率!E27/100</f>
        <v>4.3499999999999997E-2</v>
      </c>
      <c r="F24" s="1902" t="s">
        <v>1999</v>
      </c>
      <c r="G24" s="724">
        <f>SUMIF(M30:Q30,E2,M33:Q33)</f>
        <v>0.05</v>
      </c>
      <c r="H24" s="1902" t="s">
        <v>2008</v>
      </c>
      <c r="I24" s="725">
        <f>SUMIF('数据-取费表'!C6:C15,E2,'数据-取费表'!F6:F15)/COUNTIF('数据-取费表'!C6:C15,E2)</f>
        <v>35.43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3335</v>
      </c>
      <c r="C25" s="461">
        <f>IF(B25="容积率修正",IF(G3&lt;10,D26,J26),C27)</f>
        <v>0.8589</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0.8589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912" t="s">
        <v>3258</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1.0195000000000001</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210</v>
      </c>
      <c r="D30" s="1925"/>
      <c r="E30" s="1842"/>
      <c r="F30" s="1926"/>
      <c r="G30" s="1842"/>
      <c r="H30" s="1842"/>
      <c r="I30" s="1842"/>
      <c r="J30" s="1927"/>
      <c r="K30" s="1056"/>
      <c r="L30" s="3051" t="s">
        <v>1936</v>
      </c>
      <c r="M30" s="3052" t="s">
        <v>1990</v>
      </c>
      <c r="N30" s="3052" t="s">
        <v>1991</v>
      </c>
      <c r="O30" s="3052" t="s">
        <v>1992</v>
      </c>
      <c r="P30" s="3052" t="s">
        <v>1993</v>
      </c>
      <c r="Q30" s="3055"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1247</v>
      </c>
      <c r="D33" s="1940">
        <f>'数据-汇总表'!E19</f>
        <v>1680.33</v>
      </c>
      <c r="E33" s="727">
        <f>ROUND(C33*D33/10000,0)</f>
        <v>210</v>
      </c>
      <c r="F33" s="3046" t="s">
        <v>3260</v>
      </c>
      <c r="G33" s="1941"/>
      <c r="H33" s="1941"/>
      <c r="I33" s="1941"/>
      <c r="J33" s="1942"/>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187</v>
      </c>
      <c r="D34" s="1945"/>
      <c r="E34" s="727">
        <f>ROUND(IF(B25="楼层修正",SUM(V2:V16)*M40,C34*D34/10000),0)</f>
        <v>0</v>
      </c>
      <c r="F34" s="1946" t="s">
        <v>2032</v>
      </c>
      <c r="G34" s="1947"/>
      <c r="H34" s="1947"/>
      <c r="I34" s="1947"/>
      <c r="J34" s="1948"/>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9"/>
      <c r="B37" s="1955" t="s">
        <v>2036</v>
      </c>
      <c r="C37" s="167">
        <f>ROUND(D5*C22*C23*C24*C28*F37,0)</f>
        <v>726</v>
      </c>
      <c r="D37" s="1940"/>
      <c r="E37" s="163">
        <f>ROUND(C37*D37/10000,0)</f>
        <v>0</v>
      </c>
      <c r="F37" s="163">
        <f>SUMIF(修正!A57:A68,G2,修正!B57:B68)</f>
        <v>0.5</v>
      </c>
      <c r="G37" s="163">
        <f>ROUND(IF(E2="工业",C37*$M$42,C37*$M$41),0)</f>
        <v>109</v>
      </c>
      <c r="H37" s="163">
        <f>D37</f>
        <v>0</v>
      </c>
      <c r="I37" s="163">
        <f>ROUND(G37*H37/10000,0)</f>
        <v>0</v>
      </c>
      <c r="J37" s="2750"/>
      <c r="K37" s="3057" t="s">
        <v>3266</v>
      </c>
      <c r="L37" s="1964">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f>ROUND(D5*C22*C23*C24*C28*F38,0)</f>
        <v>290</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3259</v>
      </c>
      <c r="C39" s="167">
        <f>ROUND(D5*C22*C23*C24*C28*F39,0)</f>
        <v>290</v>
      </c>
      <c r="D39" s="1940"/>
      <c r="E39" s="163">
        <f t="shared" si="4"/>
        <v>0</v>
      </c>
      <c r="F39" s="163">
        <f>SUMIF(修正!A57:A68,G2,修正!D57:D68)</f>
        <v>0.2</v>
      </c>
      <c r="G39" s="163">
        <f>ROUND(IF(E2="工业",C39*$M$42,C39*$M$41),0)</f>
        <v>44</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290</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58"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3269</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6" t="s">
        <v>3269</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6" t="s">
        <v>3269</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1.0195000000000001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3431</v>
      </c>
      <c r="D83" s="1002">
        <f t="shared" ref="D83:D90" si="22">SUMIF($J$82:$N$82,C83,J83:N83)</f>
        <v>6.4999999999999997E-3</v>
      </c>
      <c r="E83" s="702">
        <f>ROUND(SUM(D83:D90),4)</f>
        <v>1.95E-2</v>
      </c>
      <c r="F83" s="1675">
        <f>IF(E2="工业",SUMIF(L1:L12,G2,N1:N12),"——")</f>
        <v>0.05</v>
      </c>
      <c r="G83" s="1000">
        <v>6.4999999999999997E-3</v>
      </c>
      <c r="H83" s="1003">
        <f t="shared" ref="H83:H90" si="23">IFERROR(ROUNDDOWN($F$83*I83/2,4),"——")</f>
        <v>6.4999999999999997E-3</v>
      </c>
      <c r="I83" s="3064">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3431</v>
      </c>
      <c r="D84" s="1002">
        <f t="shared" si="22"/>
        <v>7.4999999999999997E-3</v>
      </c>
      <c r="E84" s="705"/>
      <c r="F84" s="1675"/>
      <c r="G84" s="1000">
        <v>7.4999999999999997E-3</v>
      </c>
      <c r="H84" s="1003">
        <f t="shared" si="23"/>
        <v>7.4999999999999997E-3</v>
      </c>
      <c r="I84" s="3064">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66" t="s">
        <v>3270</v>
      </c>
      <c r="B85" s="1262">
        <f>估价对象房地状况!G17</f>
        <v>0</v>
      </c>
      <c r="C85" s="1887" t="s">
        <v>3431</v>
      </c>
      <c r="D85" s="1002">
        <f t="shared" si="22"/>
        <v>2.5000000000000001E-3</v>
      </c>
      <c r="E85" s="705"/>
      <c r="F85" s="1675"/>
      <c r="G85" s="1000">
        <v>2.5000000000000001E-3</v>
      </c>
      <c r="H85" s="1003">
        <f t="shared" si="23"/>
        <v>2.5000000000000001E-3</v>
      </c>
      <c r="I85" s="3064">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3432</v>
      </c>
      <c r="D86" s="1002">
        <f t="shared" si="22"/>
        <v>-1.1999999999999999E-3</v>
      </c>
      <c r="E86" s="705"/>
      <c r="F86" s="1675"/>
      <c r="G86" s="1000">
        <v>1.1999999999999999E-3</v>
      </c>
      <c r="H86" s="1003">
        <f t="shared" si="23"/>
        <v>1.1999999999999999E-3</v>
      </c>
      <c r="I86" s="3064">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3431</v>
      </c>
      <c r="D87" s="1002">
        <f t="shared" si="22"/>
        <v>1.5E-3</v>
      </c>
      <c r="E87" s="705"/>
      <c r="F87" s="1675"/>
      <c r="G87" s="1000">
        <v>1.5E-3</v>
      </c>
      <c r="H87" s="1003">
        <f t="shared" si="23"/>
        <v>1.5E-3</v>
      </c>
      <c r="I87" s="3064">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3433</v>
      </c>
      <c r="D88" s="1002">
        <f t="shared" si="22"/>
        <v>0</v>
      </c>
      <c r="E88" s="705"/>
      <c r="F88" s="1675"/>
      <c r="G88" s="1000">
        <v>3.0000000000000001E-3</v>
      </c>
      <c r="H88" s="1003">
        <f t="shared" si="23"/>
        <v>3.0000000000000001E-3</v>
      </c>
      <c r="I88" s="3064">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3431</v>
      </c>
      <c r="D89" s="1002">
        <f t="shared" si="22"/>
        <v>1.5E-3</v>
      </c>
      <c r="E89" s="705"/>
      <c r="F89" s="1675"/>
      <c r="G89" s="1000">
        <v>1.5E-3</v>
      </c>
      <c r="H89" s="1003">
        <f t="shared" si="23"/>
        <v>1.5E-3</v>
      </c>
      <c r="I89" s="3064">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3431</v>
      </c>
      <c r="D90" s="1002">
        <f t="shared" si="22"/>
        <v>1.1999999999999999E-3</v>
      </c>
      <c r="E90" s="706"/>
      <c r="F90" s="1675"/>
      <c r="G90" s="1000">
        <v>1.1999999999999999E-3</v>
      </c>
      <c r="H90" s="1003">
        <f t="shared" si="23"/>
        <v>1.1999999999999999E-3</v>
      </c>
      <c r="I90" s="3065">
        <v>0.05</v>
      </c>
      <c r="J90" s="1001">
        <f t="shared" si="24"/>
        <v>2.3999999999999998E-3</v>
      </c>
      <c r="K90" s="1001">
        <f t="shared" si="25"/>
        <v>1.1999999999999999E-3</v>
      </c>
      <c r="L90" s="1001">
        <v>0</v>
      </c>
      <c r="M90" s="1001">
        <f t="shared" si="26"/>
        <v>-1.1999999999999999E-3</v>
      </c>
      <c r="N90" s="1001">
        <f t="shared" si="26"/>
        <v>-2.3999999999999998E-3</v>
      </c>
    </row>
    <row r="91" spans="1:37" ht="15">
      <c r="A91" s="3074" t="s">
        <v>2612</v>
      </c>
      <c r="B91" s="3075">
        <f>1+E93</f>
        <v>1</v>
      </c>
      <c r="C91" s="3068"/>
      <c r="D91" s="3069"/>
      <c r="E91" s="1675"/>
      <c r="F91" s="1675"/>
      <c r="G91" s="3070"/>
      <c r="H91" s="3071"/>
      <c r="I91" s="3072"/>
      <c r="J91" s="3073"/>
      <c r="K91" s="3073"/>
      <c r="L91" s="3073"/>
      <c r="M91" s="3073"/>
      <c r="N91" s="3073"/>
    </row>
    <row r="92" spans="1:37" ht="24.75">
      <c r="A92" s="3076" t="s">
        <v>3271</v>
      </c>
      <c r="B92" s="2309"/>
      <c r="C92" s="2309" t="s">
        <v>3280</v>
      </c>
      <c r="D92" s="2309" t="s">
        <v>3281</v>
      </c>
      <c r="E92" s="3048" t="s">
        <v>3282</v>
      </c>
      <c r="F92" s="3078" t="s">
        <v>3283</v>
      </c>
      <c r="G92" s="2309" t="s">
        <v>3284</v>
      </c>
      <c r="H92" s="3085" t="s">
        <v>3287</v>
      </c>
      <c r="I92" s="2309" t="s">
        <v>3288</v>
      </c>
      <c r="J92" s="2150" t="s">
        <v>3289</v>
      </c>
      <c r="K92" s="2150" t="s">
        <v>3290</v>
      </c>
      <c r="L92" s="2150" t="s">
        <v>3291</v>
      </c>
      <c r="M92" s="2150" t="s">
        <v>3292</v>
      </c>
      <c r="N92" s="2150" t="s">
        <v>3293</v>
      </c>
    </row>
    <row r="93" spans="1:37" ht="24">
      <c r="A93" s="3066" t="s">
        <v>3272</v>
      </c>
      <c r="B93" s="1221"/>
      <c r="C93" s="1887"/>
      <c r="D93" s="2309">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38.25">
      <c r="A94" s="3076" t="s">
        <v>3273</v>
      </c>
      <c r="B94" s="3067" t="str">
        <f>估价对象房地状况!C18</f>
        <v>估价对象周边道路状况、公共交通通达情况、停车便捷程度，综合评价交通便捷度较好</v>
      </c>
      <c r="C94" s="1887"/>
      <c r="D94" s="2309">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6">
      <c r="A95" s="3066" t="s">
        <v>3269</v>
      </c>
      <c r="B95" s="3067">
        <f>估价对象房地状况!C19</f>
        <v>0</v>
      </c>
      <c r="C95" s="1887"/>
      <c r="D95" s="2309">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6.75">
      <c r="A96" s="3076" t="s">
        <v>3274</v>
      </c>
      <c r="B96" s="3082" t="s">
        <v>3285</v>
      </c>
      <c r="C96" s="1887"/>
      <c r="D96" s="2309">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3275</v>
      </c>
      <c r="B97" s="3067">
        <f>估价对象房地状况!C24</f>
        <v>0</v>
      </c>
      <c r="C97" s="1887"/>
      <c r="D97" s="2309">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4">
      <c r="A98" s="3076" t="s">
        <v>3276</v>
      </c>
      <c r="B98" s="3083" t="s">
        <v>3286</v>
      </c>
      <c r="C98" s="1887"/>
      <c r="D98" s="2309">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5.5">
      <c r="A99" s="3076" t="s">
        <v>3277</v>
      </c>
      <c r="B99" s="3067" t="str">
        <f>估价对象房地状况!C21</f>
        <v>估价对象所在区域公共配套设施齐备情况</v>
      </c>
      <c r="C99" s="1887"/>
      <c r="D99" s="2309">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5.5">
      <c r="A100" s="3076" t="s">
        <v>3278</v>
      </c>
      <c r="B100" s="3067" t="str">
        <f>估价对象房地状况!C22</f>
        <v>估价对象所在区域基础设施水平</v>
      </c>
      <c r="C100" s="1887"/>
      <c r="D100" s="2309">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6.25" thickBot="1">
      <c r="A101" s="3077" t="s">
        <v>3279</v>
      </c>
      <c r="B101" s="3084" t="str">
        <f>估价对象房地状况!C20</f>
        <v>区域自然环境：；人文环境；综合评价环境状况一般</v>
      </c>
      <c r="C101" s="1887"/>
      <c r="D101" s="2309">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77" t="s">
        <v>3294</v>
      </c>
      <c r="B103" s="3477"/>
      <c r="C103" s="3477"/>
      <c r="D103" s="3477"/>
      <c r="E103" s="3477"/>
      <c r="F103" s="3477"/>
      <c r="G103" s="3477"/>
      <c r="H103" s="3477"/>
      <c r="I103" s="3477"/>
      <c r="J103" s="3477"/>
      <c r="K103" s="1667"/>
      <c r="L103" s="1667"/>
      <c r="M103" s="1667"/>
      <c r="N103" s="1667"/>
    </row>
    <row r="104" spans="1:14">
      <c r="A104" s="3478" t="s">
        <v>3295</v>
      </c>
      <c r="B104" s="3478" t="s">
        <v>3296</v>
      </c>
      <c r="C104" s="3086" t="s">
        <v>3297</v>
      </c>
      <c r="D104" s="3087"/>
      <c r="E104" s="3087"/>
      <c r="F104" s="3087"/>
      <c r="G104" s="3087"/>
      <c r="H104" s="3087"/>
      <c r="I104" s="3087"/>
      <c r="J104" s="3088"/>
      <c r="K104" s="3089"/>
      <c r="L104" s="3089"/>
      <c r="M104" s="3089"/>
      <c r="N104" s="3089"/>
    </row>
    <row r="105" spans="1:14">
      <c r="A105" s="3478"/>
      <c r="B105" s="3478"/>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464"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6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6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6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6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65"/>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6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67" t="s">
        <v>3311</v>
      </c>
      <c r="B113" s="3467"/>
      <c r="C113" s="3467"/>
      <c r="D113" s="3467"/>
      <c r="E113" s="3467"/>
      <c r="F113" s="3467"/>
      <c r="G113" s="3467"/>
      <c r="H113" s="3467"/>
      <c r="I113" s="3467"/>
      <c r="J113" s="3467"/>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3312</v>
      </c>
      <c r="B116" s="3110">
        <f>G3</f>
        <v>1.5</v>
      </c>
      <c r="C116" s="3095" t="s">
        <v>3313</v>
      </c>
      <c r="D116" s="3096">
        <f>SUMPRODUCT((A118:A122=F116)*(B117:M117=H116)*B118:M122)</f>
        <v>0.56200000000000006</v>
      </c>
      <c r="E116" s="162" t="s">
        <v>3314</v>
      </c>
      <c r="F116" s="3097" t="str">
        <f>E2</f>
        <v>工业</v>
      </c>
      <c r="G116" s="162" t="s">
        <v>3315</v>
      </c>
      <c r="H116" s="3097" t="str">
        <f>G2</f>
        <v>八级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0.98029999999999995</v>
      </c>
      <c r="C118" s="3085">
        <f>B118</f>
        <v>0.98029999999999995</v>
      </c>
      <c r="D118" s="3085">
        <f>ROUND(0.949-0.014*B116,4)</f>
        <v>0.92800000000000005</v>
      </c>
      <c r="E118" s="3085">
        <f>D118</f>
        <v>0.92800000000000005</v>
      </c>
      <c r="F118" s="3085">
        <f>E118</f>
        <v>0.92800000000000005</v>
      </c>
      <c r="G118" s="3085">
        <f>F118</f>
        <v>0.92800000000000005</v>
      </c>
      <c r="H118" s="3085">
        <f>G118</f>
        <v>0.92800000000000005</v>
      </c>
      <c r="I118" s="3085">
        <f>ROUND(0.8486-0.018*B116,4)</f>
        <v>0.8216</v>
      </c>
      <c r="J118" s="3085">
        <f t="shared" ref="J118:M122" si="35">I118</f>
        <v>0.8216</v>
      </c>
      <c r="K118" s="3085">
        <f t="shared" si="35"/>
        <v>0.8216</v>
      </c>
      <c r="L118" s="3085">
        <f t="shared" si="35"/>
        <v>0.8216</v>
      </c>
      <c r="M118" s="3105">
        <f t="shared" si="35"/>
        <v>0.8216</v>
      </c>
      <c r="N118" s="3093"/>
    </row>
    <row r="119" spans="1:14">
      <c r="A119" s="3053" t="s">
        <v>3329</v>
      </c>
      <c r="B119" s="3085">
        <f>ROUND(0.993-0.0112*B116,4)</f>
        <v>0.97619999999999996</v>
      </c>
      <c r="C119" s="3085">
        <f>B119</f>
        <v>0.97619999999999996</v>
      </c>
      <c r="D119" s="3085">
        <f>ROUND(0.9415-0.0142*B116,4)</f>
        <v>0.92020000000000002</v>
      </c>
      <c r="E119" s="3085">
        <f t="shared" ref="E119:H120" si="36">D119</f>
        <v>0.92020000000000002</v>
      </c>
      <c r="F119" s="3085">
        <f t="shared" si="36"/>
        <v>0.92020000000000002</v>
      </c>
      <c r="G119" s="3085">
        <f t="shared" si="36"/>
        <v>0.92020000000000002</v>
      </c>
      <c r="H119" s="3085">
        <f t="shared" si="36"/>
        <v>0.92020000000000002</v>
      </c>
      <c r="I119" s="3085">
        <f>ROUND(0.838-0.0182*B116,4)</f>
        <v>0.81069999999999998</v>
      </c>
      <c r="J119" s="3085">
        <f t="shared" si="35"/>
        <v>0.81069999999999998</v>
      </c>
      <c r="K119" s="3085">
        <f t="shared" si="35"/>
        <v>0.81069999999999998</v>
      </c>
      <c r="L119" s="3085">
        <f t="shared" si="35"/>
        <v>0.81069999999999998</v>
      </c>
      <c r="M119" s="3105">
        <f t="shared" si="35"/>
        <v>0.81069999999999998</v>
      </c>
      <c r="N119" s="3093"/>
    </row>
    <row r="120" spans="1:14">
      <c r="A120" s="3053" t="s">
        <v>3330</v>
      </c>
      <c r="B120" s="3085">
        <f>ROUND(0.9448-0.0115*B116,4)</f>
        <v>0.92759999999999998</v>
      </c>
      <c r="C120" s="3085">
        <f>B120</f>
        <v>0.92759999999999998</v>
      </c>
      <c r="D120" s="3085">
        <f>ROUND(0.937-0.0145*B116,4)</f>
        <v>0.9153</v>
      </c>
      <c r="E120" s="3085">
        <f t="shared" si="36"/>
        <v>0.9153</v>
      </c>
      <c r="F120" s="3085">
        <f t="shared" si="36"/>
        <v>0.9153</v>
      </c>
      <c r="G120" s="3085">
        <f t="shared" si="36"/>
        <v>0.9153</v>
      </c>
      <c r="H120" s="3085">
        <f t="shared" si="36"/>
        <v>0.9153</v>
      </c>
      <c r="I120" s="3085">
        <f>ROUND(0.7965-0.0185*B116,4)</f>
        <v>0.76880000000000004</v>
      </c>
      <c r="J120" s="3085">
        <f t="shared" si="35"/>
        <v>0.76880000000000004</v>
      </c>
      <c r="K120" s="3085">
        <f t="shared" si="35"/>
        <v>0.76880000000000004</v>
      </c>
      <c r="L120" s="3085">
        <f t="shared" si="35"/>
        <v>0.76880000000000004</v>
      </c>
      <c r="M120" s="3105">
        <f t="shared" si="35"/>
        <v>0.76880000000000004</v>
      </c>
      <c r="N120" s="3093"/>
    </row>
    <row r="121" spans="1:14" ht="13.5" thickBot="1">
      <c r="A121" s="3106" t="s">
        <v>3331</v>
      </c>
      <c r="B121" s="3107">
        <f>ROUND(0.7836-0.012*B116,4)</f>
        <v>0.76559999999999995</v>
      </c>
      <c r="C121" s="3107">
        <f>B121</f>
        <v>0.76559999999999995</v>
      </c>
      <c r="D121" s="3107">
        <f>ROUND(0.753-0.015*B116,4)</f>
        <v>0.73050000000000004</v>
      </c>
      <c r="E121" s="3107">
        <f>D121</f>
        <v>0.73050000000000004</v>
      </c>
      <c r="F121" s="3107">
        <f>E121</f>
        <v>0.73050000000000004</v>
      </c>
      <c r="G121" s="3107">
        <f>ROUND(0.6612-0.018*B116,4)</f>
        <v>0.63419999999999999</v>
      </c>
      <c r="H121" s="3107">
        <f>G121</f>
        <v>0.63419999999999999</v>
      </c>
      <c r="I121" s="3107">
        <f>ROUND(0.5905-0.019*B116,4)</f>
        <v>0.56200000000000006</v>
      </c>
      <c r="J121" s="3107">
        <f t="shared" si="35"/>
        <v>0.56200000000000006</v>
      </c>
      <c r="K121" s="3107">
        <f t="shared" si="35"/>
        <v>0.56200000000000006</v>
      </c>
      <c r="L121" s="3107">
        <f t="shared" si="35"/>
        <v>0.56200000000000006</v>
      </c>
      <c r="M121" s="3108">
        <f t="shared" si="35"/>
        <v>0.56200000000000006</v>
      </c>
      <c r="N121" s="3093"/>
    </row>
    <row r="122" spans="1:14">
      <c r="A122" s="3109" t="s">
        <v>2612</v>
      </c>
      <c r="B122" s="3085">
        <f>ROUND(0.9404-0.0106*B116,4)</f>
        <v>0.92449999999999999</v>
      </c>
      <c r="C122" s="3085">
        <f>B122</f>
        <v>0.92449999999999999</v>
      </c>
      <c r="D122" s="3085">
        <f>ROUND(0.8955-0.0135*B116,4)</f>
        <v>0.87529999999999997</v>
      </c>
      <c r="E122" s="3085">
        <f t="shared" ref="E122:H122" si="37">D122</f>
        <v>0.87529999999999997</v>
      </c>
      <c r="F122" s="3085">
        <f t="shared" si="37"/>
        <v>0.87529999999999997</v>
      </c>
      <c r="G122" s="3085">
        <f t="shared" si="37"/>
        <v>0.87529999999999997</v>
      </c>
      <c r="H122" s="3085">
        <f t="shared" si="37"/>
        <v>0.87529999999999997</v>
      </c>
      <c r="I122" s="3085">
        <f>ROUND(0.7632-0.0166*B116,4)</f>
        <v>0.73829999999999996</v>
      </c>
      <c r="J122" s="3085">
        <f t="shared" si="35"/>
        <v>0.73829999999999996</v>
      </c>
      <c r="K122" s="3085">
        <f t="shared" si="35"/>
        <v>0.73829999999999996</v>
      </c>
      <c r="L122" s="3085">
        <f t="shared" si="35"/>
        <v>0.73829999999999996</v>
      </c>
      <c r="M122" s="3105">
        <f t="shared" si="35"/>
        <v>0.73829999999999996</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2860.4258</v>
      </c>
    </row>
    <row r="6" spans="1:5" ht="31.5">
      <c r="B6" s="3177"/>
      <c r="C6" s="1392" t="s">
        <v>911</v>
      </c>
      <c r="D6" s="797" t="str">
        <f ca="1">NUMBERSTRING(INT(D5*10000),2)&amp;"元整"</f>
        <v>贰仟捌佰陆拾万肆仟贰佰伍拾捌元整</v>
      </c>
    </row>
    <row r="7" spans="1:5" ht="15.75">
      <c r="B7" s="3182"/>
      <c r="C7" s="1393" t="s">
        <v>912</v>
      </c>
      <c r="D7" s="798">
        <f ca="1">结果表!H102</f>
        <v>17023</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2860.4258</v>
      </c>
    </row>
    <row r="14" spans="1:5" ht="31.5">
      <c r="B14" s="3177"/>
      <c r="C14" s="1392" t="s">
        <v>911</v>
      </c>
      <c r="D14" s="797" t="str">
        <f ca="1">NUMBERSTRING(INT(D13*10000),2)&amp;"元整"</f>
        <v>贰仟捌佰陆拾万肆仟贰佰伍拾捌元整</v>
      </c>
    </row>
    <row r="15" spans="1:5" ht="15">
      <c r="B15" s="3182"/>
      <c r="C15" s="1393" t="s">
        <v>921</v>
      </c>
      <c r="D15" s="806">
        <f ca="1">结果表!H108</f>
        <v>17023</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4.抵押净值</v>
      </c>
      <c r="C19" s="1397" t="s">
        <v>910</v>
      </c>
      <c r="D19" s="798">
        <f ca="1">结果表!H111</f>
        <v>2357.9180000000001</v>
      </c>
    </row>
    <row r="20" spans="1:5" ht="31.5">
      <c r="B20" s="3177"/>
      <c r="C20" s="1392" t="s">
        <v>923</v>
      </c>
      <c r="D20" s="797" t="str">
        <f ca="1">NUMBERSTRING(INT(D19*10000),2)&amp;"元整"</f>
        <v>贰仟叁佰伍拾柒万玖仟壹佰捌拾元整</v>
      </c>
    </row>
    <row r="21" spans="1:5" ht="15.75" thickBot="1">
      <c r="B21" s="3178"/>
      <c r="C21" s="1399" t="s">
        <v>921</v>
      </c>
      <c r="D21" s="807">
        <f ca="1">结果表!H112</f>
        <v>14032</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92" t="s">
        <v>2607</v>
      </c>
      <c r="B20" s="3487" t="s">
        <v>2628</v>
      </c>
      <c r="C20" s="2838" t="s">
        <v>2439</v>
      </c>
      <c r="D20" s="2839"/>
      <c r="E20" s="2840">
        <v>1</v>
      </c>
      <c r="F20" s="2841" t="s">
        <v>2440</v>
      </c>
      <c r="G20" s="2841"/>
    </row>
    <row r="21" spans="1:13" ht="19.5" customHeight="1">
      <c r="A21" s="3493"/>
      <c r="B21" s="3486"/>
      <c r="C21" s="2842" t="s">
        <v>2441</v>
      </c>
      <c r="D21" s="2843"/>
      <c r="E21" s="2844">
        <v>1</v>
      </c>
      <c r="F21" s="2841" t="s">
        <v>2442</v>
      </c>
      <c r="G21" s="2841"/>
    </row>
    <row r="22" spans="1:13" ht="19.5" customHeight="1">
      <c r="A22" s="3493"/>
      <c r="B22" s="3486"/>
      <c r="C22" s="2842" t="s">
        <v>2443</v>
      </c>
      <c r="D22" s="2843"/>
      <c r="E22" s="2844">
        <v>0.9</v>
      </c>
      <c r="F22" s="2841" t="s">
        <v>2444</v>
      </c>
      <c r="G22" s="2841"/>
    </row>
    <row r="23" spans="1:13" ht="19.5" customHeight="1">
      <c r="A23" s="3493"/>
      <c r="B23" s="3486"/>
      <c r="C23" s="2842" t="s">
        <v>2445</v>
      </c>
      <c r="D23" s="2843"/>
      <c r="E23" s="2844">
        <v>0.9</v>
      </c>
      <c r="F23" s="2841" t="s">
        <v>2446</v>
      </c>
      <c r="G23" s="2841"/>
    </row>
    <row r="24" spans="1:13" ht="19.5" customHeight="1">
      <c r="A24" s="3493"/>
      <c r="B24" s="3486"/>
      <c r="C24" s="2842" t="s">
        <v>2447</v>
      </c>
      <c r="D24" s="2843"/>
      <c r="E24" s="2844">
        <v>0.8</v>
      </c>
      <c r="F24" s="2841" t="s">
        <v>2448</v>
      </c>
      <c r="G24" s="2841"/>
    </row>
    <row r="25" spans="1:13" ht="19.5" customHeight="1" thickBot="1">
      <c r="A25" s="3494"/>
      <c r="B25" s="3488"/>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89" t="s">
        <v>2631</v>
      </c>
      <c r="B27" s="3487" t="s">
        <v>2612</v>
      </c>
      <c r="C27" s="2838" t="s">
        <v>2452</v>
      </c>
      <c r="D27" s="2839"/>
      <c r="E27" s="2840">
        <v>1</v>
      </c>
      <c r="F27" s="2841" t="s">
        <v>2453</v>
      </c>
      <c r="G27" s="2841"/>
    </row>
    <row r="28" spans="1:13" ht="19.5" customHeight="1">
      <c r="A28" s="3490"/>
      <c r="B28" s="3486"/>
      <c r="C28" s="2842" t="s">
        <v>2454</v>
      </c>
      <c r="D28" s="2843"/>
      <c r="E28" s="2844">
        <v>1</v>
      </c>
      <c r="F28" s="2841" t="s">
        <v>2455</v>
      </c>
      <c r="G28" s="2841"/>
    </row>
    <row r="29" spans="1:13" ht="19.5" customHeight="1">
      <c r="A29" s="3490"/>
      <c r="B29" s="3486"/>
      <c r="C29" s="2842" t="s">
        <v>2456</v>
      </c>
      <c r="D29" s="2843"/>
      <c r="E29" s="2844">
        <v>0.8</v>
      </c>
      <c r="F29" s="2841" t="s">
        <v>2457</v>
      </c>
      <c r="G29" s="2841"/>
    </row>
    <row r="30" spans="1:13" ht="19.5" customHeight="1">
      <c r="A30" s="3490"/>
      <c r="B30" s="3486"/>
      <c r="C30" s="2842" t="s">
        <v>2458</v>
      </c>
      <c r="D30" s="2843"/>
      <c r="E30" s="2844">
        <v>0.8</v>
      </c>
      <c r="F30" s="2841" t="s">
        <v>2459</v>
      </c>
      <c r="G30" s="2841"/>
    </row>
    <row r="31" spans="1:13" ht="19.5" customHeight="1">
      <c r="A31" s="3490"/>
      <c r="B31" s="3486"/>
      <c r="C31" s="2842" t="s">
        <v>2460</v>
      </c>
      <c r="D31" s="2843"/>
      <c r="E31" s="2844">
        <v>0.8</v>
      </c>
      <c r="F31" s="2841" t="s">
        <v>2461</v>
      </c>
      <c r="G31" s="2841"/>
    </row>
    <row r="32" spans="1:13" ht="19.5" customHeight="1">
      <c r="A32" s="3490"/>
      <c r="B32" s="3486"/>
      <c r="C32" s="2842" t="s">
        <v>2462</v>
      </c>
      <c r="D32" s="2843"/>
      <c r="E32" s="2844">
        <v>0.7</v>
      </c>
      <c r="F32" s="2841" t="s">
        <v>2463</v>
      </c>
      <c r="G32" s="2841"/>
    </row>
    <row r="33" spans="1:7" ht="19.5" customHeight="1">
      <c r="A33" s="3490"/>
      <c r="B33" s="3486"/>
      <c r="C33" s="2842" t="s">
        <v>2464</v>
      </c>
      <c r="D33" s="2843"/>
      <c r="E33" s="2844">
        <v>0.8</v>
      </c>
      <c r="F33" s="2841" t="s">
        <v>2465</v>
      </c>
      <c r="G33" s="2841"/>
    </row>
    <row r="34" spans="1:7" ht="19.5" customHeight="1">
      <c r="A34" s="3490"/>
      <c r="B34" s="3486"/>
      <c r="C34" s="2842" t="s">
        <v>2466</v>
      </c>
      <c r="D34" s="2843"/>
      <c r="E34" s="2844">
        <v>0.6</v>
      </c>
      <c r="F34" s="2841" t="s">
        <v>2467</v>
      </c>
      <c r="G34" s="2841"/>
    </row>
    <row r="35" spans="1:7" ht="19.5" customHeight="1">
      <c r="A35" s="3490"/>
      <c r="B35" s="3486"/>
      <c r="C35" s="2842" t="s">
        <v>2468</v>
      </c>
      <c r="D35" s="2843"/>
      <c r="E35" s="2844">
        <v>0.2</v>
      </c>
      <c r="F35" s="2841" t="s">
        <v>2469</v>
      </c>
      <c r="G35" s="2841"/>
    </row>
    <row r="36" spans="1:7" ht="19.5" customHeight="1">
      <c r="A36" s="3490"/>
      <c r="B36" s="3486"/>
      <c r="C36" s="2842" t="s">
        <v>2470</v>
      </c>
      <c r="D36" s="2843"/>
      <c r="E36" s="2844">
        <v>0.2</v>
      </c>
      <c r="F36" s="2841" t="s">
        <v>2471</v>
      </c>
      <c r="G36" s="2841"/>
    </row>
    <row r="37" spans="1:7" ht="19.5" customHeight="1">
      <c r="A37" s="3490"/>
      <c r="B37" s="3484" t="s">
        <v>2632</v>
      </c>
      <c r="C37" s="2842" t="s">
        <v>2472</v>
      </c>
      <c r="D37" s="2843"/>
      <c r="E37" s="2844">
        <v>0.6</v>
      </c>
      <c r="F37" s="2841" t="s">
        <v>2473</v>
      </c>
      <c r="G37" s="2841"/>
    </row>
    <row r="38" spans="1:7" ht="19.5" customHeight="1">
      <c r="A38" s="3490"/>
      <c r="B38" s="3486"/>
      <c r="C38" s="2842" t="s">
        <v>2474</v>
      </c>
      <c r="D38" s="2843"/>
      <c r="E38" s="2844">
        <v>0.6</v>
      </c>
      <c r="F38" s="2841" t="s">
        <v>2475</v>
      </c>
      <c r="G38" s="2841"/>
    </row>
    <row r="39" spans="1:7" ht="19.5" customHeight="1" thickBot="1">
      <c r="A39" s="3491"/>
      <c r="B39" s="3488"/>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92" t="s">
        <v>2610</v>
      </c>
      <c r="B41" s="3487" t="s">
        <v>2634</v>
      </c>
      <c r="C41" s="2838" t="s">
        <v>2479</v>
      </c>
      <c r="D41" s="2839"/>
      <c r="E41" s="2840">
        <v>1</v>
      </c>
      <c r="F41" s="2841" t="s">
        <v>2480</v>
      </c>
      <c r="G41" s="2841"/>
    </row>
    <row r="42" spans="1:7" ht="19.5" customHeight="1">
      <c r="A42" s="3493"/>
      <c r="B42" s="3486"/>
      <c r="C42" s="2842" t="s">
        <v>2481</v>
      </c>
      <c r="D42" s="2843"/>
      <c r="E42" s="2844">
        <v>1</v>
      </c>
      <c r="F42" s="2841" t="s">
        <v>2482</v>
      </c>
      <c r="G42" s="2841"/>
    </row>
    <row r="43" spans="1:7" ht="19.5" customHeight="1">
      <c r="A43" s="3493"/>
      <c r="B43" s="3485"/>
      <c r="C43" s="2842" t="s">
        <v>2483</v>
      </c>
      <c r="D43" s="2843"/>
      <c r="E43" s="2844">
        <v>1.5</v>
      </c>
      <c r="F43" s="2841" t="s">
        <v>2484</v>
      </c>
      <c r="G43" s="2841"/>
    </row>
    <row r="44" spans="1:7" ht="19.5" customHeight="1">
      <c r="A44" s="3493"/>
      <c r="B44" s="2853" t="s">
        <v>2635</v>
      </c>
      <c r="C44" s="2842" t="s">
        <v>2636</v>
      </c>
      <c r="D44" s="2843"/>
      <c r="E44" s="2844">
        <v>2</v>
      </c>
      <c r="F44" s="2841" t="s">
        <v>2485</v>
      </c>
      <c r="G44" s="2841"/>
    </row>
    <row r="45" spans="1:7" ht="19.5" customHeight="1">
      <c r="A45" s="3493"/>
      <c r="B45" s="3484" t="s">
        <v>2637</v>
      </c>
      <c r="C45" s="2842" t="s">
        <v>2486</v>
      </c>
      <c r="D45" s="2843"/>
      <c r="E45" s="2844">
        <v>1</v>
      </c>
      <c r="F45" s="2841" t="s">
        <v>2487</v>
      </c>
      <c r="G45" s="2841"/>
    </row>
    <row r="46" spans="1:7" ht="19.5" customHeight="1">
      <c r="A46" s="3493"/>
      <c r="B46" s="3486"/>
      <c r="C46" s="2842" t="s">
        <v>2488</v>
      </c>
      <c r="D46" s="2843"/>
      <c r="E46" s="2844">
        <v>1</v>
      </c>
      <c r="F46" s="2841" t="s">
        <v>2489</v>
      </c>
      <c r="G46" s="2841"/>
    </row>
    <row r="47" spans="1:7" ht="19.5" customHeight="1">
      <c r="A47" s="3493"/>
      <c r="B47" s="3486"/>
      <c r="C47" s="2842" t="s">
        <v>2490</v>
      </c>
      <c r="D47" s="2843"/>
      <c r="E47" s="2844">
        <v>1</v>
      </c>
      <c r="F47" s="2841" t="s">
        <v>2491</v>
      </c>
      <c r="G47" s="2841"/>
    </row>
    <row r="48" spans="1:7" ht="19.5" customHeight="1">
      <c r="A48" s="3493"/>
      <c r="B48" s="3486"/>
      <c r="C48" s="2842" t="s">
        <v>2492</v>
      </c>
      <c r="D48" s="2843"/>
      <c r="E48" s="2844">
        <v>1</v>
      </c>
      <c r="F48" s="2841" t="s">
        <v>2493</v>
      </c>
      <c r="G48" s="2841"/>
    </row>
    <row r="49" spans="1:7" ht="19.5" customHeight="1">
      <c r="A49" s="3493"/>
      <c r="B49" s="3486"/>
      <c r="C49" s="2842" t="s">
        <v>2494</v>
      </c>
      <c r="D49" s="2843"/>
      <c r="E49" s="2844">
        <v>1</v>
      </c>
      <c r="F49" s="2841" t="s">
        <v>2495</v>
      </c>
      <c r="G49" s="2841"/>
    </row>
    <row r="50" spans="1:7" ht="19.5" customHeight="1">
      <c r="A50" s="3493"/>
      <c r="B50" s="3486"/>
      <c r="C50" s="2842" t="s">
        <v>2496</v>
      </c>
      <c r="D50" s="2843"/>
      <c r="E50" s="2844">
        <v>1</v>
      </c>
      <c r="F50" s="2841" t="s">
        <v>2497</v>
      </c>
      <c r="G50" s="2841"/>
    </row>
    <row r="51" spans="1:7" ht="19.5" customHeight="1" thickBot="1">
      <c r="A51" s="3494"/>
      <c r="B51" s="3488"/>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3.5">
      <c r="A72" s="2853"/>
      <c r="B72" s="2853"/>
      <c r="C72" s="2853" t="s">
        <v>2650</v>
      </c>
      <c r="D72" s="2853"/>
      <c r="E72" s="2853" t="s">
        <v>2621</v>
      </c>
      <c r="F72" s="2853" t="s">
        <v>2621</v>
      </c>
    </row>
    <row r="73" spans="1:7" ht="13.5">
      <c r="A73" s="2853">
        <v>1</v>
      </c>
      <c r="B73" s="3484" t="s">
        <v>2651</v>
      </c>
      <c r="C73" s="2827" t="s">
        <v>2652</v>
      </c>
      <c r="D73" s="2827" t="s">
        <v>2653</v>
      </c>
      <c r="E73" s="2853">
        <v>0.2</v>
      </c>
      <c r="F73" s="2853">
        <v>25</v>
      </c>
    </row>
    <row r="74" spans="1:7" ht="24">
      <c r="A74" s="2853">
        <v>2</v>
      </c>
      <c r="B74" s="3486"/>
      <c r="C74" s="2827" t="s">
        <v>2654</v>
      </c>
      <c r="D74" s="2827" t="s">
        <v>2655</v>
      </c>
      <c r="E74" s="2853">
        <v>0.2</v>
      </c>
      <c r="F74" s="2853">
        <v>25</v>
      </c>
    </row>
    <row r="75" spans="1:7" ht="24">
      <c r="A75" s="2853">
        <v>3</v>
      </c>
      <c r="B75" s="3486"/>
      <c r="C75" s="2827" t="s">
        <v>2656</v>
      </c>
      <c r="D75" s="2827" t="s">
        <v>2657</v>
      </c>
      <c r="E75" s="2853">
        <v>0.2</v>
      </c>
      <c r="F75" s="2853">
        <v>25</v>
      </c>
    </row>
    <row r="76" spans="1:7" ht="13.5">
      <c r="A76" s="2853">
        <v>4</v>
      </c>
      <c r="B76" s="3486"/>
      <c r="C76" s="2827" t="s">
        <v>2658</v>
      </c>
      <c r="D76" s="2827" t="s">
        <v>2659</v>
      </c>
      <c r="E76" s="2853">
        <v>0.15</v>
      </c>
      <c r="F76" s="2853">
        <v>20</v>
      </c>
    </row>
    <row r="77" spans="1:7" ht="24">
      <c r="A77" s="2853">
        <v>5</v>
      </c>
      <c r="B77" s="3486"/>
      <c r="C77" s="2827" t="s">
        <v>2660</v>
      </c>
      <c r="D77" s="2827" t="s">
        <v>2661</v>
      </c>
      <c r="E77" s="2853">
        <v>0.15</v>
      </c>
      <c r="F77" s="2853">
        <v>20</v>
      </c>
    </row>
    <row r="78" spans="1:7" ht="24">
      <c r="A78" s="2853">
        <v>6</v>
      </c>
      <c r="B78" s="3486"/>
      <c r="C78" s="2827" t="s">
        <v>2662</v>
      </c>
      <c r="D78" s="2827" t="s">
        <v>2663</v>
      </c>
      <c r="E78" s="2853">
        <v>0.15</v>
      </c>
      <c r="F78" s="2853">
        <v>20</v>
      </c>
    </row>
    <row r="79" spans="1:7" ht="24">
      <c r="A79" s="2853">
        <v>7</v>
      </c>
      <c r="B79" s="3486"/>
      <c r="C79" s="2827" t="s">
        <v>2664</v>
      </c>
      <c r="D79" s="2827" t="s">
        <v>2665</v>
      </c>
      <c r="E79" s="2853">
        <v>0.15</v>
      </c>
      <c r="F79" s="2853">
        <v>20</v>
      </c>
    </row>
    <row r="80" spans="1:7" ht="24">
      <c r="A80" s="2853">
        <v>8</v>
      </c>
      <c r="B80" s="3486"/>
      <c r="C80" s="2827" t="s">
        <v>2666</v>
      </c>
      <c r="D80" s="2827" t="s">
        <v>2667</v>
      </c>
      <c r="E80" s="2853">
        <v>0.1</v>
      </c>
      <c r="F80" s="2853">
        <v>15</v>
      </c>
    </row>
    <row r="81" spans="1:6" ht="24">
      <c r="A81" s="2853">
        <v>9</v>
      </c>
      <c r="B81" s="3486"/>
      <c r="C81" s="2827" t="s">
        <v>2668</v>
      </c>
      <c r="D81" s="2827" t="s">
        <v>2669</v>
      </c>
      <c r="E81" s="2853">
        <v>0.1</v>
      </c>
      <c r="F81" s="2853">
        <v>15</v>
      </c>
    </row>
    <row r="82" spans="1:6" ht="24">
      <c r="A82" s="2853">
        <v>10</v>
      </c>
      <c r="B82" s="3486"/>
      <c r="C82" s="2827" t="s">
        <v>2670</v>
      </c>
      <c r="D82" s="2827" t="s">
        <v>2671</v>
      </c>
      <c r="E82" s="2853">
        <v>0.1</v>
      </c>
      <c r="F82" s="2853">
        <v>15</v>
      </c>
    </row>
    <row r="83" spans="1:6" ht="24">
      <c r="A83" s="2853">
        <v>11</v>
      </c>
      <c r="B83" s="3486"/>
      <c r="C83" s="2827" t="s">
        <v>2672</v>
      </c>
      <c r="D83" s="2827" t="s">
        <v>2673</v>
      </c>
      <c r="E83" s="2853">
        <v>0.1</v>
      </c>
      <c r="F83" s="2853">
        <v>15</v>
      </c>
    </row>
    <row r="84" spans="1:6" ht="24">
      <c r="A84" s="2853">
        <v>12</v>
      </c>
      <c r="B84" s="3486"/>
      <c r="C84" s="2827" t="s">
        <v>2674</v>
      </c>
      <c r="D84" s="2827" t="s">
        <v>2675</v>
      </c>
      <c r="E84" s="2853">
        <v>0.1</v>
      </c>
      <c r="F84" s="2853">
        <v>15</v>
      </c>
    </row>
    <row r="85" spans="1:6" ht="13.5">
      <c r="A85" s="2853">
        <v>13</v>
      </c>
      <c r="B85" s="3486"/>
      <c r="C85" s="2827" t="s">
        <v>2676</v>
      </c>
      <c r="D85" s="2827" t="s">
        <v>2677</v>
      </c>
      <c r="E85" s="2853">
        <v>0.1</v>
      </c>
      <c r="F85" s="2853">
        <v>15</v>
      </c>
    </row>
    <row r="86" spans="1:6" ht="13.5">
      <c r="A86" s="2853">
        <v>14</v>
      </c>
      <c r="B86" s="3486"/>
      <c r="C86" s="2827" t="s">
        <v>2678</v>
      </c>
      <c r="D86" s="2827" t="s">
        <v>2679</v>
      </c>
      <c r="E86" s="2853">
        <v>0.1</v>
      </c>
      <c r="F86" s="2853">
        <v>15</v>
      </c>
    </row>
    <row r="87" spans="1:6" ht="13.5">
      <c r="A87" s="2853">
        <v>15</v>
      </c>
      <c r="B87" s="3486"/>
      <c r="C87" s="2827" t="s">
        <v>2680</v>
      </c>
      <c r="D87" s="2827" t="s">
        <v>2681</v>
      </c>
      <c r="E87" s="2853">
        <v>0.1</v>
      </c>
      <c r="F87" s="2853">
        <v>15</v>
      </c>
    </row>
    <row r="88" spans="1:6" ht="24">
      <c r="A88" s="2853">
        <v>16</v>
      </c>
      <c r="B88" s="3486"/>
      <c r="C88" s="2827" t="s">
        <v>2682</v>
      </c>
      <c r="D88" s="2827" t="s">
        <v>2683</v>
      </c>
      <c r="E88" s="2853">
        <v>0.1</v>
      </c>
      <c r="F88" s="2853">
        <v>15</v>
      </c>
    </row>
    <row r="89" spans="1:6" ht="24">
      <c r="A89" s="2853">
        <v>17</v>
      </c>
      <c r="B89" s="3485"/>
      <c r="C89" s="2827" t="s">
        <v>2684</v>
      </c>
      <c r="D89" s="2827" t="s">
        <v>2685</v>
      </c>
      <c r="E89" s="2853">
        <v>0.1</v>
      </c>
      <c r="F89" s="2853">
        <v>15</v>
      </c>
    </row>
    <row r="90" spans="1:6" ht="13.5">
      <c r="A90" s="2853">
        <v>18</v>
      </c>
      <c r="B90" s="3484" t="s">
        <v>2686</v>
      </c>
      <c r="C90" s="2827" t="s">
        <v>2687</v>
      </c>
      <c r="D90" s="2827" t="s">
        <v>2688</v>
      </c>
      <c r="E90" s="2853">
        <v>0.2</v>
      </c>
      <c r="F90" s="2853">
        <v>25</v>
      </c>
    </row>
    <row r="91" spans="1:6" ht="24">
      <c r="A91" s="2853">
        <v>19</v>
      </c>
      <c r="B91" s="3486"/>
      <c r="C91" s="2827" t="s">
        <v>2689</v>
      </c>
      <c r="D91" s="2827" t="s">
        <v>2690</v>
      </c>
      <c r="E91" s="2853">
        <v>0.2</v>
      </c>
      <c r="F91" s="2853">
        <v>25</v>
      </c>
    </row>
    <row r="92" spans="1:6" ht="13.5">
      <c r="A92" s="2853">
        <v>20</v>
      </c>
      <c r="B92" s="3486"/>
      <c r="C92" s="2827" t="s">
        <v>2691</v>
      </c>
      <c r="D92" s="2827" t="s">
        <v>2692</v>
      </c>
      <c r="E92" s="2853">
        <v>0.15</v>
      </c>
      <c r="F92" s="2853">
        <v>20</v>
      </c>
    </row>
    <row r="93" spans="1:6" ht="13.5">
      <c r="A93" s="2853">
        <v>21</v>
      </c>
      <c r="B93" s="3486"/>
      <c r="C93" s="2827" t="s">
        <v>2693</v>
      </c>
      <c r="D93" s="2827" t="s">
        <v>2694</v>
      </c>
      <c r="E93" s="2853">
        <v>0.15</v>
      </c>
      <c r="F93" s="2853">
        <v>20</v>
      </c>
    </row>
    <row r="94" spans="1:6" ht="13.5">
      <c r="A94" s="2853">
        <v>22</v>
      </c>
      <c r="B94" s="3486"/>
      <c r="C94" s="2827" t="s">
        <v>2695</v>
      </c>
      <c r="D94" s="2827" t="s">
        <v>2696</v>
      </c>
      <c r="E94" s="2853">
        <v>0.15</v>
      </c>
      <c r="F94" s="2853">
        <v>20</v>
      </c>
    </row>
    <row r="95" spans="1:6" ht="36">
      <c r="A95" s="2853">
        <v>23</v>
      </c>
      <c r="B95" s="3486"/>
      <c r="C95" s="2827" t="s">
        <v>2697</v>
      </c>
      <c r="D95" s="2827" t="s">
        <v>2698</v>
      </c>
      <c r="E95" s="2853">
        <v>0.15</v>
      </c>
      <c r="F95" s="2853">
        <v>20</v>
      </c>
    </row>
    <row r="96" spans="1:6" ht="13.5">
      <c r="A96" s="2853">
        <v>24</v>
      </c>
      <c r="B96" s="3486"/>
      <c r="C96" s="2827" t="s">
        <v>2699</v>
      </c>
      <c r="D96" s="2827" t="s">
        <v>2700</v>
      </c>
      <c r="E96" s="2853">
        <v>0.1</v>
      </c>
      <c r="F96" s="2853">
        <v>15</v>
      </c>
    </row>
    <row r="97" spans="1:6" ht="13.5">
      <c r="A97" s="2853">
        <v>25</v>
      </c>
      <c r="B97" s="3486"/>
      <c r="C97" s="2827" t="s">
        <v>2701</v>
      </c>
      <c r="D97" s="2827" t="s">
        <v>2702</v>
      </c>
      <c r="E97" s="2853">
        <v>0.1</v>
      </c>
      <c r="F97" s="2853">
        <v>15</v>
      </c>
    </row>
    <row r="98" spans="1:6" ht="24">
      <c r="A98" s="2853">
        <v>26</v>
      </c>
      <c r="B98" s="3486"/>
      <c r="C98" s="2827" t="s">
        <v>2703</v>
      </c>
      <c r="D98" s="2827" t="s">
        <v>2704</v>
      </c>
      <c r="E98" s="2853">
        <v>0.1</v>
      </c>
      <c r="F98" s="2853">
        <v>15</v>
      </c>
    </row>
    <row r="99" spans="1:6" ht="24">
      <c r="A99" s="2853">
        <v>27</v>
      </c>
      <c r="B99" s="3486"/>
      <c r="C99" s="2827" t="s">
        <v>2705</v>
      </c>
      <c r="D99" s="2827" t="s">
        <v>2706</v>
      </c>
      <c r="E99" s="2853">
        <v>0.1</v>
      </c>
      <c r="F99" s="2853">
        <v>15</v>
      </c>
    </row>
    <row r="100" spans="1:6" ht="13.5">
      <c r="A100" s="2853">
        <v>28</v>
      </c>
      <c r="B100" s="3486"/>
      <c r="C100" s="2827" t="s">
        <v>2707</v>
      </c>
      <c r="D100" s="2827" t="s">
        <v>2708</v>
      </c>
      <c r="E100" s="2853">
        <v>0.1</v>
      </c>
      <c r="F100" s="2853">
        <v>15</v>
      </c>
    </row>
    <row r="101" spans="1:6" ht="13.5">
      <c r="A101" s="2853">
        <v>29</v>
      </c>
      <c r="B101" s="3486"/>
      <c r="C101" s="2827" t="s">
        <v>2709</v>
      </c>
      <c r="D101" s="2827" t="s">
        <v>2710</v>
      </c>
      <c r="E101" s="2853">
        <v>0.1</v>
      </c>
      <c r="F101" s="2853">
        <v>15</v>
      </c>
    </row>
    <row r="102" spans="1:6" ht="13.5">
      <c r="A102" s="2853">
        <v>30</v>
      </c>
      <c r="B102" s="3486"/>
      <c r="C102" s="2827" t="s">
        <v>2711</v>
      </c>
      <c r="D102" s="2827" t="s">
        <v>2712</v>
      </c>
      <c r="E102" s="2853">
        <v>0.1</v>
      </c>
      <c r="F102" s="2853">
        <v>15</v>
      </c>
    </row>
    <row r="103" spans="1:6" ht="24">
      <c r="A103" s="2853">
        <v>31</v>
      </c>
      <c r="B103" s="3486"/>
      <c r="C103" s="2827" t="s">
        <v>2713</v>
      </c>
      <c r="D103" s="2827" t="s">
        <v>2714</v>
      </c>
      <c r="E103" s="2853">
        <v>0.1</v>
      </c>
      <c r="F103" s="2853">
        <v>15</v>
      </c>
    </row>
    <row r="104" spans="1:6" ht="24">
      <c r="A104" s="2853">
        <v>32</v>
      </c>
      <c r="B104" s="3486"/>
      <c r="C104" s="2827" t="s">
        <v>2715</v>
      </c>
      <c r="D104" s="2827" t="s">
        <v>2716</v>
      </c>
      <c r="E104" s="2853">
        <v>0.1</v>
      </c>
      <c r="F104" s="2853">
        <v>15</v>
      </c>
    </row>
    <row r="105" spans="1:6" ht="24">
      <c r="A105" s="2853">
        <v>33</v>
      </c>
      <c r="B105" s="3486"/>
      <c r="C105" s="2827" t="s">
        <v>2717</v>
      </c>
      <c r="D105" s="2827" t="s">
        <v>2718</v>
      </c>
      <c r="E105" s="2853">
        <v>0.1</v>
      </c>
      <c r="F105" s="2853">
        <v>15</v>
      </c>
    </row>
    <row r="106" spans="1:6" ht="24">
      <c r="A106" s="2853">
        <v>34</v>
      </c>
      <c r="B106" s="3485"/>
      <c r="C106" s="2827" t="s">
        <v>2719</v>
      </c>
      <c r="D106" s="2827" t="s">
        <v>2720</v>
      </c>
      <c r="E106" s="2853">
        <v>0.1</v>
      </c>
      <c r="F106" s="2853">
        <v>15</v>
      </c>
    </row>
    <row r="107" spans="1:6" ht="24">
      <c r="A107" s="2853">
        <v>35</v>
      </c>
      <c r="B107" s="3484" t="s">
        <v>2721</v>
      </c>
      <c r="C107" s="2853" t="s">
        <v>2722</v>
      </c>
      <c r="D107" s="2827" t="s">
        <v>2723</v>
      </c>
      <c r="E107" s="2853">
        <v>0.15</v>
      </c>
      <c r="F107" s="2853">
        <v>20</v>
      </c>
    </row>
    <row r="108" spans="1:6" ht="13.5">
      <c r="A108" s="2853">
        <v>36</v>
      </c>
      <c r="B108" s="3486"/>
      <c r="C108" s="2853" t="s">
        <v>2724</v>
      </c>
      <c r="D108" s="2827" t="s">
        <v>2725</v>
      </c>
      <c r="E108" s="2853">
        <v>0.15</v>
      </c>
      <c r="F108" s="2853">
        <v>20</v>
      </c>
    </row>
    <row r="109" spans="1:6" ht="13.5">
      <c r="A109" s="2853">
        <v>37</v>
      </c>
      <c r="B109" s="3486"/>
      <c r="C109" s="2853" t="s">
        <v>2726</v>
      </c>
      <c r="D109" s="2827" t="s">
        <v>2727</v>
      </c>
      <c r="E109" s="2853">
        <v>0.15</v>
      </c>
      <c r="F109" s="2853">
        <v>20</v>
      </c>
    </row>
    <row r="110" spans="1:6" ht="13.5">
      <c r="A110" s="2853">
        <v>38</v>
      </c>
      <c r="B110" s="3486"/>
      <c r="C110" s="2853" t="s">
        <v>2728</v>
      </c>
      <c r="D110" s="2827" t="s">
        <v>2729</v>
      </c>
      <c r="E110" s="2853">
        <v>0.1</v>
      </c>
      <c r="F110" s="2853">
        <v>15</v>
      </c>
    </row>
    <row r="111" spans="1:6" ht="24">
      <c r="A111" s="2853">
        <v>39</v>
      </c>
      <c r="B111" s="3486"/>
      <c r="C111" s="2853" t="s">
        <v>2730</v>
      </c>
      <c r="D111" s="2827" t="s">
        <v>2731</v>
      </c>
      <c r="E111" s="2853">
        <v>0.1</v>
      </c>
      <c r="F111" s="2853">
        <v>15</v>
      </c>
    </row>
    <row r="112" spans="1:6" ht="24">
      <c r="A112" s="2853">
        <v>40</v>
      </c>
      <c r="B112" s="3485"/>
      <c r="C112" s="2853" t="s">
        <v>2732</v>
      </c>
      <c r="D112" s="2827" t="s">
        <v>2733</v>
      </c>
      <c r="E112" s="2853">
        <v>0.1</v>
      </c>
      <c r="F112" s="2853">
        <v>15</v>
      </c>
    </row>
    <row r="113" spans="1:6" ht="13.5">
      <c r="A113" s="2853">
        <v>41</v>
      </c>
      <c r="B113" s="3483" t="s">
        <v>2734</v>
      </c>
      <c r="C113" s="2853" t="s">
        <v>2735</v>
      </c>
      <c r="D113" s="2827" t="s">
        <v>2736</v>
      </c>
      <c r="E113" s="2853">
        <v>0.1</v>
      </c>
      <c r="F113" s="2853">
        <v>15</v>
      </c>
    </row>
    <row r="114" spans="1:6" ht="13.5">
      <c r="A114" s="2853">
        <v>42</v>
      </c>
      <c r="B114" s="3483"/>
      <c r="C114" s="2853" t="s">
        <v>2737</v>
      </c>
      <c r="D114" s="2827" t="s">
        <v>2738</v>
      </c>
      <c r="E114" s="2853">
        <v>0.1</v>
      </c>
      <c r="F114" s="2853">
        <v>15</v>
      </c>
    </row>
    <row r="115" spans="1:6" ht="24">
      <c r="A115" s="2853">
        <v>43</v>
      </c>
      <c r="B115" s="3483"/>
      <c r="C115" s="2853" t="s">
        <v>2739</v>
      </c>
      <c r="D115" s="2827" t="s">
        <v>2740</v>
      </c>
      <c r="E115" s="2853">
        <v>0.1</v>
      </c>
      <c r="F115" s="2853">
        <v>15</v>
      </c>
    </row>
    <row r="116" spans="1:6" ht="13.5">
      <c r="A116" s="2853">
        <v>44</v>
      </c>
      <c r="B116" s="3484" t="s">
        <v>2741</v>
      </c>
      <c r="C116" s="2853" t="s">
        <v>2742</v>
      </c>
      <c r="D116" s="2827" t="s">
        <v>2743</v>
      </c>
      <c r="E116" s="2853">
        <v>0.1</v>
      </c>
      <c r="F116" s="2853">
        <v>15</v>
      </c>
    </row>
    <row r="117" spans="1:6" ht="24">
      <c r="A117" s="2853">
        <v>45</v>
      </c>
      <c r="B117" s="3485"/>
      <c r="C117" s="2827" t="s">
        <v>2744</v>
      </c>
      <c r="D117" s="2827" t="s">
        <v>2745</v>
      </c>
      <c r="E117" s="2853">
        <v>0.1</v>
      </c>
      <c r="F117" s="2853">
        <v>15</v>
      </c>
    </row>
    <row r="118" spans="1:6" ht="24">
      <c r="A118" s="2853">
        <v>46</v>
      </c>
      <c r="B118" s="3484" t="s">
        <v>2746</v>
      </c>
      <c r="C118" s="2853" t="s">
        <v>2747</v>
      </c>
      <c r="D118" s="2827" t="s">
        <v>2748</v>
      </c>
      <c r="E118" s="2853">
        <v>0.1</v>
      </c>
      <c r="F118" s="2853">
        <v>15</v>
      </c>
    </row>
    <row r="119" spans="1:6" ht="24">
      <c r="A119" s="2853">
        <v>47</v>
      </c>
      <c r="B119" s="3485"/>
      <c r="C119" s="2853" t="s">
        <v>2749</v>
      </c>
      <c r="D119" s="2827" t="s">
        <v>2750</v>
      </c>
      <c r="E119" s="2853">
        <v>0.1</v>
      </c>
      <c r="F119" s="2853">
        <v>15</v>
      </c>
    </row>
    <row r="120" spans="1:6" ht="13.5">
      <c r="A120" s="2853">
        <v>48</v>
      </c>
      <c r="B120" s="3484" t="s">
        <v>2751</v>
      </c>
      <c r="C120" s="2853" t="s">
        <v>2752</v>
      </c>
      <c r="D120" s="2827" t="s">
        <v>2753</v>
      </c>
      <c r="E120" s="2853">
        <v>0.1</v>
      </c>
      <c r="F120" s="2853">
        <v>15</v>
      </c>
    </row>
    <row r="121" spans="1:6" ht="13.5">
      <c r="A121" s="2853">
        <v>49</v>
      </c>
      <c r="B121" s="3485"/>
      <c r="C121" s="2853" t="s">
        <v>2754</v>
      </c>
      <c r="D121" s="2827" t="s">
        <v>2755</v>
      </c>
      <c r="E121" s="2853">
        <v>0.1</v>
      </c>
      <c r="F121" s="2853">
        <v>15</v>
      </c>
    </row>
    <row r="122" spans="1:6" ht="24">
      <c r="A122" s="2853">
        <v>50</v>
      </c>
      <c r="B122" s="3483" t="s">
        <v>2756</v>
      </c>
      <c r="C122" s="2853" t="s">
        <v>2757</v>
      </c>
      <c r="D122" s="2827" t="s">
        <v>2758</v>
      </c>
      <c r="E122" s="2853">
        <v>0.1</v>
      </c>
      <c r="F122" s="2853">
        <v>15</v>
      </c>
    </row>
    <row r="123" spans="1:6" ht="24">
      <c r="A123" s="2853">
        <v>51</v>
      </c>
      <c r="B123" s="3483"/>
      <c r="C123" s="2853" t="s">
        <v>2759</v>
      </c>
      <c r="D123" s="2827" t="s">
        <v>2760</v>
      </c>
      <c r="E123" s="2853">
        <v>0.1</v>
      </c>
      <c r="F123" s="2853">
        <v>15</v>
      </c>
    </row>
    <row r="124" spans="1:6" ht="24">
      <c r="A124" s="2853">
        <v>52</v>
      </c>
      <c r="B124" s="3483" t="s">
        <v>2761</v>
      </c>
      <c r="C124" s="2853" t="s">
        <v>2762</v>
      </c>
      <c r="D124" s="2827" t="s">
        <v>2763</v>
      </c>
      <c r="E124" s="2853">
        <v>0.1</v>
      </c>
      <c r="F124" s="2853">
        <v>15</v>
      </c>
    </row>
    <row r="125" spans="1:6" ht="24">
      <c r="A125" s="2853">
        <v>53</v>
      </c>
      <c r="B125" s="3483"/>
      <c r="C125" s="2853" t="s">
        <v>2764</v>
      </c>
      <c r="D125" s="2827" t="s">
        <v>2765</v>
      </c>
      <c r="E125" s="2853">
        <v>0.1</v>
      </c>
      <c r="F125" s="2853">
        <v>15</v>
      </c>
    </row>
    <row r="126" spans="1:6" ht="13.5">
      <c r="A126" s="2853">
        <v>54</v>
      </c>
      <c r="B126" s="2853" t="s">
        <v>2766</v>
      </c>
      <c r="C126" s="2853" t="s">
        <v>2767</v>
      </c>
      <c r="D126" s="2827" t="s">
        <v>2768</v>
      </c>
      <c r="E126" s="2853">
        <v>0.1</v>
      </c>
      <c r="F126" s="2853">
        <v>15</v>
      </c>
    </row>
    <row r="127" spans="1:6" ht="13.5">
      <c r="A127" s="2853">
        <v>55</v>
      </c>
      <c r="B127" s="3483" t="s">
        <v>2769</v>
      </c>
      <c r="C127" s="2853" t="s">
        <v>2770</v>
      </c>
      <c r="D127" s="2827" t="s">
        <v>2771</v>
      </c>
      <c r="E127" s="2853">
        <v>0.1</v>
      </c>
      <c r="F127" s="2853">
        <v>15</v>
      </c>
    </row>
    <row r="128" spans="1:6" ht="13.5">
      <c r="A128" s="2853">
        <v>56</v>
      </c>
      <c r="B128" s="3483"/>
      <c r="C128" s="2853" t="s">
        <v>2772</v>
      </c>
      <c r="D128" s="2827" t="s">
        <v>2773</v>
      </c>
      <c r="E128" s="2853">
        <v>0.1</v>
      </c>
      <c r="F128" s="2853">
        <v>15</v>
      </c>
    </row>
    <row r="129" spans="1:6" ht="24">
      <c r="A129" s="2853">
        <v>57</v>
      </c>
      <c r="B129" s="3483"/>
      <c r="C129" s="2853" t="s">
        <v>2774</v>
      </c>
      <c r="D129" s="2827" t="s">
        <v>2775</v>
      </c>
      <c r="E129" s="2853">
        <v>0.1</v>
      </c>
      <c r="F129" s="2853">
        <v>15</v>
      </c>
    </row>
    <row r="130" spans="1:6" ht="24">
      <c r="A130" s="2853">
        <v>58</v>
      </c>
      <c r="B130" s="3483" t="s">
        <v>2776</v>
      </c>
      <c r="C130" s="2853" t="s">
        <v>2777</v>
      </c>
      <c r="D130" s="2827" t="s">
        <v>2778</v>
      </c>
      <c r="E130" s="2853">
        <v>0.1</v>
      </c>
      <c r="F130" s="2853">
        <v>15</v>
      </c>
    </row>
    <row r="131" spans="1:6" ht="13.5">
      <c r="A131" s="2853">
        <v>59</v>
      </c>
      <c r="B131" s="3483"/>
      <c r="C131" s="2853" t="s">
        <v>2779</v>
      </c>
      <c r="D131" s="2827" t="s">
        <v>2780</v>
      </c>
      <c r="E131" s="2853">
        <v>0.1</v>
      </c>
      <c r="F131" s="2853">
        <v>15</v>
      </c>
    </row>
    <row r="132" spans="1:6" ht="13.5">
      <c r="A132" s="2853">
        <v>60</v>
      </c>
      <c r="B132" s="3484" t="s">
        <v>2781</v>
      </c>
      <c r="C132" s="2853" t="s">
        <v>2782</v>
      </c>
      <c r="D132" s="2827" t="s">
        <v>2783</v>
      </c>
      <c r="E132" s="2853">
        <v>0.1</v>
      </c>
      <c r="F132" s="2853">
        <v>15</v>
      </c>
    </row>
    <row r="133" spans="1:6" ht="13.5">
      <c r="A133" s="2853">
        <v>61</v>
      </c>
      <c r="B133" s="3485"/>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13.5">
      <c r="A135" s="2853">
        <v>63</v>
      </c>
      <c r="B135" s="3483" t="s">
        <v>2789</v>
      </c>
      <c r="C135" s="2853" t="s">
        <v>2790</v>
      </c>
      <c r="D135" s="2827" t="s">
        <v>2791</v>
      </c>
      <c r="E135" s="2853">
        <v>0.1</v>
      </c>
      <c r="F135" s="2853">
        <v>15</v>
      </c>
    </row>
    <row r="136" spans="1:6" ht="13.5">
      <c r="A136" s="2853">
        <v>64</v>
      </c>
      <c r="B136" s="3483"/>
      <c r="C136" s="2853" t="s">
        <v>2792</v>
      </c>
      <c r="D136" s="2827" t="s">
        <v>2793</v>
      </c>
      <c r="E136" s="2853">
        <v>0.1</v>
      </c>
      <c r="F136" s="2853">
        <v>15</v>
      </c>
    </row>
    <row r="137" spans="1:6" ht="13.5">
      <c r="A137" s="2853">
        <v>65</v>
      </c>
      <c r="B137" s="2853" t="s">
        <v>2794</v>
      </c>
      <c r="C137" s="2853" t="s">
        <v>2795</v>
      </c>
      <c r="D137" s="2827" t="s">
        <v>2796</v>
      </c>
      <c r="E137" s="2853">
        <v>0.1</v>
      </c>
      <c r="F137" s="2853">
        <v>15</v>
      </c>
    </row>
    <row r="138" spans="1:6" ht="13.5">
      <c r="A138" s="2853"/>
      <c r="B138" s="2853"/>
      <c r="C138" s="2853"/>
      <c r="D138" s="2853"/>
      <c r="E138" s="2853" t="s">
        <v>2797</v>
      </c>
      <c r="F138" s="285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2798</v>
      </c>
      <c r="B1" s="2861"/>
      <c r="C1" s="2861"/>
      <c r="D1" s="2861"/>
      <c r="E1" s="2861"/>
      <c r="F1" s="2861"/>
      <c r="G1" s="2861"/>
      <c r="H1" s="2861"/>
      <c r="I1" s="2861"/>
      <c r="J1" s="2861"/>
      <c r="K1" s="2861"/>
      <c r="L1" s="2861"/>
      <c r="M1" s="2861"/>
      <c r="N1" s="707"/>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1.0985</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26735</v>
      </c>
      <c r="C2" s="2" t="s">
        <v>106</v>
      </c>
      <c r="D2" s="191"/>
      <c r="E2" s="191"/>
      <c r="F2" s="191"/>
      <c r="G2" s="191"/>
    </row>
    <row r="3" spans="1:7" s="192" customFormat="1" ht="18" customHeight="1" thickBot="1">
      <c r="A3" s="195" t="s">
        <v>58</v>
      </c>
      <c r="B3" s="196">
        <f ca="1">ROUND(B2*10000/'数据-汇总表'!E3,0)</f>
        <v>159106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1680.33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1680.33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978</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588</v>
      </c>
      <c r="D34" s="209"/>
      <c r="E34" s="212"/>
      <c r="F34" s="249">
        <f>IF('数据-取费表'!B24=0,1,'数据-取费表'!N16)</f>
        <v>1</v>
      </c>
      <c r="G34" s="211" t="s">
        <v>89</v>
      </c>
    </row>
    <row r="35" spans="1:7" ht="13.5" customHeight="1">
      <c r="A35" s="734" t="s">
        <v>351</v>
      </c>
      <c r="B35" s="207" t="s">
        <v>33</v>
      </c>
      <c r="C35" s="212">
        <f>ROUND(C34*F35,0)</f>
        <v>29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1680.33</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5.0000000000000001E-4</v>
      </c>
      <c r="D44" s="230"/>
      <c r="E44" s="230"/>
      <c r="F44" s="231"/>
      <c r="G44" s="3359"/>
    </row>
    <row r="45" spans="1:7" s="206" customFormat="1" ht="13.5" customHeight="1">
      <c r="A45" s="731" t="s">
        <v>341</v>
      </c>
      <c r="B45" s="236" t="s">
        <v>85</v>
      </c>
      <c r="C45" s="237">
        <f>C46</f>
        <v>68</v>
      </c>
      <c r="D45" s="227">
        <f>C47</f>
        <v>2E-3</v>
      </c>
      <c r="E45" s="228" t="s">
        <v>102</v>
      </c>
      <c r="F45" s="238"/>
      <c r="G45" s="239" t="s">
        <v>434</v>
      </c>
    </row>
    <row r="46" spans="1:7" s="206" customFormat="1" ht="13.5" customHeight="1">
      <c r="A46" s="734" t="s">
        <v>349</v>
      </c>
      <c r="B46" s="240" t="s">
        <v>427</v>
      </c>
      <c r="C46" s="241">
        <f>ROUND((C33+C39)*F27,0)</f>
        <v>68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820</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640</v>
      </c>
      <c r="D51" s="224"/>
      <c r="E51" s="224"/>
      <c r="F51" s="256"/>
      <c r="G51" s="226" t="s">
        <v>37</v>
      </c>
    </row>
    <row r="52" spans="1:7" s="200" customFormat="1" ht="16.5" thickBot="1">
      <c r="A52" s="257" t="s">
        <v>38</v>
      </c>
      <c r="B52" s="258"/>
      <c r="C52" s="259">
        <f ca="1">C31+C51</f>
        <v>26735</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7" t="s">
        <v>2839</v>
      </c>
      <c r="B1" s="3497"/>
      <c r="C1" s="3497"/>
      <c r="D1" s="3497"/>
      <c r="E1" s="3497"/>
      <c r="F1" s="3497"/>
      <c r="G1" s="3498"/>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95"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496"/>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9" t="s">
        <v>3181</v>
      </c>
      <c r="B1" s="3499"/>
    </row>
    <row r="2" spans="1:7" ht="14.25" thickBot="1">
      <c r="A2" s="2964"/>
      <c r="B2" s="2964"/>
    </row>
    <row r="3" spans="1:7" ht="14.25" thickBot="1">
      <c r="A3" s="2964"/>
      <c r="B3" s="2964"/>
      <c r="C3" s="2965" t="s">
        <v>2811</v>
      </c>
      <c r="D3" s="2965" t="s">
        <v>2867</v>
      </c>
      <c r="E3" s="2965" t="s">
        <v>2813</v>
      </c>
      <c r="F3" s="2965" t="s">
        <v>2868</v>
      </c>
      <c r="G3" s="2965" t="s">
        <v>2631</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00" t="s">
        <v>3232</v>
      </c>
      <c r="B1" s="3500"/>
      <c r="C1" s="3500"/>
      <c r="D1" s="3500"/>
      <c r="E1" s="3500"/>
      <c r="F1" s="3501"/>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3">
        <f>基准地价修正!G23</f>
        <v>45705</v>
      </c>
      <c r="B1" s="2925" t="s">
        <v>3380</v>
      </c>
      <c r="C1" s="2926"/>
      <c r="D1" s="2926"/>
      <c r="E1" s="2926"/>
      <c r="F1" s="2926"/>
      <c r="G1" s="2926"/>
      <c r="H1" s="2926"/>
      <c r="I1" s="2926"/>
      <c r="J1" s="2892"/>
      <c r="K1" s="2926" t="s">
        <v>454</v>
      </c>
      <c r="L1" s="2926"/>
      <c r="M1" s="2926"/>
      <c r="N1" s="2926"/>
      <c r="O1" s="2926"/>
      <c r="P1" s="2926"/>
      <c r="Q1" s="2892"/>
      <c r="R1" s="3502" t="s">
        <v>456</v>
      </c>
      <c r="S1" s="3503"/>
      <c r="T1" s="3503"/>
      <c r="U1" s="3503"/>
      <c r="V1" s="3503"/>
      <c r="W1" s="3503"/>
      <c r="X1" s="2892"/>
      <c r="Y1" s="3502" t="s">
        <v>457</v>
      </c>
      <c r="Z1" s="3503"/>
      <c r="AA1" s="3503"/>
      <c r="AB1" s="3503"/>
      <c r="AC1" s="3503"/>
      <c r="AD1" s="3503"/>
    </row>
    <row r="2" spans="1:30" s="2010" customFormat="1" ht="14.25" thickBot="1">
      <c r="B2" s="2877"/>
      <c r="C2" s="2878"/>
      <c r="D2" s="2011" t="s">
        <v>2810</v>
      </c>
      <c r="E2" s="2012" t="s">
        <v>2811</v>
      </c>
      <c r="F2" s="2012" t="s">
        <v>2812</v>
      </c>
      <c r="G2" s="2012" t="s">
        <v>2813</v>
      </c>
      <c r="H2" s="2012" t="s">
        <v>2814</v>
      </c>
      <c r="I2" s="2012" t="s">
        <v>2631</v>
      </c>
      <c r="J2" s="2879"/>
      <c r="K2" s="2011" t="s">
        <v>2810</v>
      </c>
      <c r="L2" s="2012" t="s">
        <v>2811</v>
      </c>
      <c r="M2" s="2012" t="s">
        <v>2812</v>
      </c>
      <c r="N2" s="2012" t="s">
        <v>2813</v>
      </c>
      <c r="O2" s="2012" t="s">
        <v>2815</v>
      </c>
      <c r="P2" s="2012" t="s">
        <v>2631</v>
      </c>
      <c r="Q2" s="2879"/>
      <c r="R2" s="2011" t="s">
        <v>2810</v>
      </c>
      <c r="S2" s="2012" t="s">
        <v>2811</v>
      </c>
      <c r="T2" s="2012" t="s">
        <v>2812</v>
      </c>
      <c r="U2" s="2012" t="s">
        <v>2816</v>
      </c>
      <c r="V2" s="2012" t="s">
        <v>2817</v>
      </c>
      <c r="W2" s="2012" t="s">
        <v>2631</v>
      </c>
      <c r="X2" s="2879"/>
      <c r="Y2" s="2011" t="s">
        <v>2810</v>
      </c>
      <c r="Z2" s="2012" t="s">
        <v>2811</v>
      </c>
      <c r="AA2" s="2012" t="s">
        <v>2812</v>
      </c>
      <c r="AB2" s="2012" t="s">
        <v>2818</v>
      </c>
      <c r="AC2" s="2012" t="s">
        <v>2817</v>
      </c>
      <c r="AD2" s="2012" t="s">
        <v>2631</v>
      </c>
    </row>
    <row r="3" spans="1:30" s="2882" customFormat="1" ht="12.75">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2.75">
      <c r="A5" s="2040" t="s">
        <v>3376</v>
      </c>
      <c r="B5" s="2031">
        <v>2025</v>
      </c>
      <c r="C5" s="2042">
        <v>1</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2.75">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2"/>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2"/>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2"/>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1" t="s">
        <v>3377</v>
      </c>
      <c r="B8" s="2031">
        <v>2024</v>
      </c>
      <c r="C8" s="2042">
        <v>2</v>
      </c>
      <c r="D8" s="2007">
        <v>-0.59</v>
      </c>
      <c r="E8" s="2007">
        <v>-0.21</v>
      </c>
      <c r="F8" s="2007">
        <v>-1.38</v>
      </c>
      <c r="G8" s="2007">
        <v>-1.24</v>
      </c>
      <c r="H8" s="2913">
        <v>0.34</v>
      </c>
      <c r="I8" s="2008">
        <f t="shared" ref="I8:I21" si="37">F8</f>
        <v>-1.38</v>
      </c>
      <c r="J8" s="2902"/>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2"/>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2"/>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1" t="s">
        <v>3375</v>
      </c>
      <c r="B9" s="2031">
        <v>2024</v>
      </c>
      <c r="C9" s="2042">
        <v>1</v>
      </c>
      <c r="D9" s="2007">
        <v>0.08</v>
      </c>
      <c r="E9" s="2007">
        <v>0.46</v>
      </c>
      <c r="F9" s="2007">
        <v>-0.16</v>
      </c>
      <c r="G9" s="2007">
        <v>0.26</v>
      </c>
      <c r="H9" s="2913">
        <v>0.59</v>
      </c>
      <c r="I9" s="2008">
        <v>0</v>
      </c>
      <c r="J9" s="2902"/>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2"/>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2"/>
      <c r="Y9" s="2028"/>
      <c r="Z9" s="2028"/>
      <c r="AA9" s="2028"/>
      <c r="AB9" s="2028"/>
      <c r="AC9" s="2028"/>
      <c r="AD9" s="2028"/>
    </row>
    <row r="10" spans="1:30" s="2045" customFormat="1" ht="12.75">
      <c r="A10" s="2901" t="s">
        <v>3371</v>
      </c>
      <c r="B10" s="2031">
        <v>2023</v>
      </c>
      <c r="C10" s="2042">
        <v>4</v>
      </c>
      <c r="D10" s="2007">
        <v>0.19</v>
      </c>
      <c r="E10" s="2007">
        <v>0.24</v>
      </c>
      <c r="F10" s="2007">
        <v>-0.16</v>
      </c>
      <c r="G10" s="2007">
        <v>0.17</v>
      </c>
      <c r="H10" s="2913">
        <v>0.61</v>
      </c>
      <c r="I10" s="2008">
        <f>F10</f>
        <v>-0.16</v>
      </c>
      <c r="J10" s="2902"/>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2"/>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2"/>
      <c r="Y10" s="2028"/>
      <c r="Z10" s="2028"/>
      <c r="AA10" s="2028"/>
      <c r="AB10" s="2028"/>
      <c r="AC10" s="2028"/>
      <c r="AD10" s="2028"/>
    </row>
    <row r="11" spans="1:30" s="2045" customFormat="1" ht="12.75">
      <c r="A11" s="2901" t="s">
        <v>3370</v>
      </c>
      <c r="B11" s="2031">
        <v>2023</v>
      </c>
      <c r="C11" s="2042">
        <v>3</v>
      </c>
      <c r="D11" s="2007">
        <v>0.25</v>
      </c>
      <c r="E11" s="2007">
        <v>0.5</v>
      </c>
      <c r="F11" s="2007">
        <v>0.31</v>
      </c>
      <c r="G11" s="2007">
        <v>0.21</v>
      </c>
      <c r="H11" s="2913">
        <v>0.43</v>
      </c>
      <c r="I11" s="2008">
        <f t="shared" si="37"/>
        <v>0.31</v>
      </c>
      <c r="J11" s="2902"/>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2"/>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2"/>
      <c r="Y11" s="2028"/>
      <c r="Z11" s="2028"/>
      <c r="AA11" s="2028"/>
      <c r="AB11" s="2028"/>
      <c r="AC11" s="2028"/>
      <c r="AD11" s="2028"/>
    </row>
    <row r="12" spans="1:30" s="2045" customFormat="1" ht="12.75">
      <c r="A12" s="2901" t="s">
        <v>3368</v>
      </c>
      <c r="B12" s="2031">
        <v>2023</v>
      </c>
      <c r="C12" s="2042">
        <v>2</v>
      </c>
      <c r="D12" s="2007">
        <v>0.91</v>
      </c>
      <c r="E12" s="2007">
        <v>0.66</v>
      </c>
      <c r="F12" s="2007">
        <v>0.47</v>
      </c>
      <c r="G12" s="2007">
        <v>0.96</v>
      </c>
      <c r="H12" s="2913">
        <v>0.71</v>
      </c>
      <c r="I12" s="2008">
        <f t="shared" si="37"/>
        <v>0.47</v>
      </c>
      <c r="J12" s="2902"/>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2"/>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2"/>
      <c r="Y12" s="2028"/>
      <c r="Z12" s="2028"/>
      <c r="AA12" s="2028"/>
      <c r="AB12" s="2028"/>
      <c r="AC12" s="2028"/>
      <c r="AD12" s="2028"/>
    </row>
    <row r="13" spans="1:30" s="2045" customFormat="1" ht="12.75">
      <c r="A13" s="2901" t="s">
        <v>3367</v>
      </c>
      <c r="B13" s="2031">
        <v>2023</v>
      </c>
      <c r="C13" s="2042">
        <v>1</v>
      </c>
      <c r="D13" s="2007">
        <v>0.89</v>
      </c>
      <c r="E13" s="2007">
        <v>0.74</v>
      </c>
      <c r="F13" s="2007">
        <v>0.56999999999999995</v>
      </c>
      <c r="G13" s="2007">
        <v>0.92</v>
      </c>
      <c r="H13" s="2913">
        <v>0.5</v>
      </c>
      <c r="I13" s="2008">
        <f t="shared" si="37"/>
        <v>0.56999999999999995</v>
      </c>
      <c r="J13" s="2902"/>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2"/>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2"/>
      <c r="Y13" s="2028"/>
      <c r="Z13" s="2028"/>
      <c r="AA13" s="2028"/>
      <c r="AB13" s="2028"/>
      <c r="AC13" s="2028"/>
      <c r="AD13" s="2028"/>
    </row>
    <row r="14" spans="1:30" s="2045" customFormat="1" ht="12.75">
      <c r="A14" s="2901" t="s">
        <v>3366</v>
      </c>
      <c r="B14" s="2031">
        <v>2022</v>
      </c>
      <c r="C14" s="2042">
        <v>4</v>
      </c>
      <c r="D14" s="2007">
        <v>0.62</v>
      </c>
      <c r="E14" s="2007">
        <v>0.2</v>
      </c>
      <c r="F14" s="2007">
        <v>0.11</v>
      </c>
      <c r="G14" s="2007">
        <v>0.69</v>
      </c>
      <c r="H14" s="2913">
        <v>0.53</v>
      </c>
      <c r="I14" s="2008">
        <f t="shared" si="37"/>
        <v>0.11</v>
      </c>
      <c r="J14" s="2902"/>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2"/>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2"/>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1" t="s">
        <v>3364</v>
      </c>
      <c r="B15" s="2031">
        <v>2022</v>
      </c>
      <c r="C15" s="2042">
        <v>3</v>
      </c>
      <c r="D15" s="2007">
        <v>0.66</v>
      </c>
      <c r="E15" s="2007">
        <v>0.32</v>
      </c>
      <c r="F15" s="2007">
        <v>0.23</v>
      </c>
      <c r="G15" s="2007">
        <v>0.72</v>
      </c>
      <c r="H15" s="2913">
        <v>0.63</v>
      </c>
      <c r="I15" s="2008">
        <f t="shared" si="37"/>
        <v>0.23</v>
      </c>
      <c r="J15" s="2902"/>
      <c r="K15" s="2043">
        <f t="shared" si="38"/>
        <v>6.6E-3</v>
      </c>
      <c r="L15" s="2028">
        <f t="shared" si="38"/>
        <v>3.2000000000000002E-3</v>
      </c>
      <c r="M15" s="2028">
        <f t="shared" si="38"/>
        <v>2.3E-3</v>
      </c>
      <c r="N15" s="2028">
        <f t="shared" si="38"/>
        <v>7.1999999999999998E-3</v>
      </c>
      <c r="O15" s="2028">
        <f t="shared" si="38"/>
        <v>6.3E-3</v>
      </c>
      <c r="P15" s="2028">
        <f t="shared" si="58"/>
        <v>2.3E-3</v>
      </c>
      <c r="Q15" s="2902"/>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2"/>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1" t="s">
        <v>3355</v>
      </c>
      <c r="B16" s="2031">
        <v>2022</v>
      </c>
      <c r="C16" s="2042">
        <v>2</v>
      </c>
      <c r="D16" s="2007">
        <v>0.93</v>
      </c>
      <c r="E16" s="2007">
        <v>0.15</v>
      </c>
      <c r="F16" s="2007">
        <v>0.01</v>
      </c>
      <c r="G16" s="2007">
        <v>1.05</v>
      </c>
      <c r="H16" s="2913">
        <v>1.08</v>
      </c>
      <c r="I16" s="2008">
        <f t="shared" si="37"/>
        <v>0.01</v>
      </c>
      <c r="J16" s="2902"/>
      <c r="K16" s="2043">
        <f t="shared" si="38"/>
        <v>9.300000000000001E-3</v>
      </c>
      <c r="L16" s="2028">
        <f t="shared" si="38"/>
        <v>1.5E-3</v>
      </c>
      <c r="M16" s="2028">
        <f t="shared" si="38"/>
        <v>1E-4</v>
      </c>
      <c r="N16" s="2028">
        <f t="shared" si="38"/>
        <v>1.0500000000000001E-2</v>
      </c>
      <c r="O16" s="2028">
        <f t="shared" si="38"/>
        <v>1.0800000000000001E-2</v>
      </c>
      <c r="P16" s="2028">
        <f t="shared" si="58"/>
        <v>1E-4</v>
      </c>
      <c r="Q16" s="2902"/>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2"/>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1" t="s">
        <v>2820</v>
      </c>
      <c r="B17" s="2031">
        <v>2022</v>
      </c>
      <c r="C17" s="2042">
        <v>1</v>
      </c>
      <c r="D17" s="2007">
        <v>0.89</v>
      </c>
      <c r="E17" s="2007">
        <v>0.44</v>
      </c>
      <c r="F17" s="2007">
        <v>0.37</v>
      </c>
      <c r="G17" s="2007">
        <v>0.96</v>
      </c>
      <c r="H17" s="2913">
        <v>0.64</v>
      </c>
      <c r="I17" s="2008">
        <f t="shared" si="37"/>
        <v>0.37</v>
      </c>
      <c r="J17" s="2902"/>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2"/>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2"/>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1" t="s">
        <v>2821</v>
      </c>
      <c r="B18" s="2031">
        <v>2021</v>
      </c>
      <c r="C18" s="2042">
        <v>4</v>
      </c>
      <c r="D18" s="2007">
        <v>1.03</v>
      </c>
      <c r="E18" s="2007">
        <v>0.24</v>
      </c>
      <c r="F18" s="2007">
        <v>7.0000000000000007E-2</v>
      </c>
      <c r="G18" s="2007">
        <v>1.17</v>
      </c>
      <c r="H18" s="2913">
        <v>0.55000000000000004</v>
      </c>
      <c r="I18" s="2008">
        <f t="shared" si="37"/>
        <v>7.0000000000000007E-2</v>
      </c>
      <c r="J18" s="2902"/>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2"/>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2"/>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1" t="s">
        <v>2822</v>
      </c>
      <c r="B19" s="2031">
        <v>2021</v>
      </c>
      <c r="C19" s="2042">
        <v>3</v>
      </c>
      <c r="D19" s="2007">
        <v>0.47</v>
      </c>
      <c r="E19" s="2007">
        <v>0.41</v>
      </c>
      <c r="F19" s="2007">
        <v>0.24</v>
      </c>
      <c r="G19" s="2007">
        <v>0.48</v>
      </c>
      <c r="H19" s="2913">
        <v>0.48</v>
      </c>
      <c r="I19" s="2008">
        <f t="shared" si="37"/>
        <v>0.24</v>
      </c>
      <c r="J19" s="2902"/>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2"/>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2"/>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1" t="s">
        <v>2823</v>
      </c>
      <c r="B20" s="2031">
        <v>2021</v>
      </c>
      <c r="C20" s="2042">
        <v>2</v>
      </c>
      <c r="D20" s="2007">
        <v>0.92</v>
      </c>
      <c r="E20" s="2007">
        <v>0.72</v>
      </c>
      <c r="F20" s="2007">
        <v>0.41</v>
      </c>
      <c r="G20" s="2007">
        <v>0.95</v>
      </c>
      <c r="H20" s="2913">
        <v>1.01</v>
      </c>
      <c r="I20" s="2008">
        <f t="shared" si="37"/>
        <v>0.41</v>
      </c>
      <c r="J20" s="2902"/>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2"/>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2"/>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4" customFormat="1"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3383</v>
      </c>
    </row>
    <row r="24" spans="1:30">
      <c r="I24" s="1405" t="s">
        <v>2825</v>
      </c>
    </row>
    <row r="26" spans="1:30" s="2009" customFormat="1" ht="12.75">
      <c r="B26" s="2925" t="s">
        <v>3381</v>
      </c>
      <c r="C26" s="2926"/>
      <c r="D26" s="2926"/>
      <c r="E26" s="2926"/>
      <c r="F26" s="2926"/>
      <c r="G26" s="2926"/>
      <c r="H26" s="2926"/>
      <c r="I26" s="2926"/>
      <c r="J26" s="2892"/>
      <c r="K26" s="2926" t="s">
        <v>2826</v>
      </c>
      <c r="L26" s="2926"/>
      <c r="M26" s="2926"/>
      <c r="N26" s="2926"/>
      <c r="O26" s="2926"/>
      <c r="P26" s="2926"/>
      <c r="Q26" s="2892"/>
      <c r="R26" s="3502" t="s">
        <v>2827</v>
      </c>
      <c r="S26" s="3503"/>
      <c r="T26" s="3503"/>
      <c r="U26" s="3503"/>
      <c r="V26" s="3503"/>
      <c r="W26" s="3503"/>
      <c r="X26" s="2892"/>
      <c r="Y26" s="3502" t="s">
        <v>2828</v>
      </c>
      <c r="Z26" s="3503"/>
      <c r="AA26" s="3503"/>
      <c r="AB26" s="3503"/>
      <c r="AC26" s="3503"/>
      <c r="AD26" s="3503"/>
    </row>
    <row r="27" spans="1:30" s="2010" customFormat="1" ht="14.25" thickBot="1">
      <c r="B27" s="2877"/>
      <c r="C27" s="2878"/>
      <c r="D27" s="2011" t="s">
        <v>2829</v>
      </c>
      <c r="E27" s="2012" t="s">
        <v>2830</v>
      </c>
      <c r="F27" s="2012" t="s">
        <v>2831</v>
      </c>
      <c r="G27" s="2012" t="s">
        <v>2832</v>
      </c>
      <c r="H27" s="2012"/>
      <c r="I27" s="2012" t="s">
        <v>2833</v>
      </c>
      <c r="J27" s="2879"/>
      <c r="K27" s="2011" t="s">
        <v>2829</v>
      </c>
      <c r="L27" s="2012" t="s">
        <v>2830</v>
      </c>
      <c r="M27" s="2012" t="s">
        <v>2831</v>
      </c>
      <c r="N27" s="2012" t="s">
        <v>2832</v>
      </c>
      <c r="O27" s="2012"/>
      <c r="P27" s="2012" t="s">
        <v>2833</v>
      </c>
      <c r="Q27" s="2879"/>
      <c r="R27" s="2011" t="s">
        <v>2829</v>
      </c>
      <c r="S27" s="2012" t="s">
        <v>2830</v>
      </c>
      <c r="T27" s="2012" t="s">
        <v>2831</v>
      </c>
      <c r="U27" s="2012" t="s">
        <v>2832</v>
      </c>
      <c r="V27" s="2012"/>
      <c r="W27" s="2012" t="s">
        <v>2833</v>
      </c>
      <c r="X27" s="2879"/>
      <c r="Y27" s="2011" t="s">
        <v>2829</v>
      </c>
      <c r="Z27" s="2012" t="s">
        <v>2830</v>
      </c>
      <c r="AA27" s="2012" t="s">
        <v>2831</v>
      </c>
      <c r="AB27" s="2012" t="s">
        <v>2832</v>
      </c>
      <c r="AC27" s="2012"/>
      <c r="AD27" s="2012" t="s">
        <v>2833</v>
      </c>
    </row>
    <row r="28" spans="1:30" s="2882" customFormat="1" ht="12.75">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9" customFormat="1" ht="12.75">
      <c r="B29" s="2025"/>
      <c r="J29" s="2892"/>
      <c r="K29" s="2893"/>
      <c r="L29" s="2894"/>
      <c r="M29" s="2894"/>
      <c r="N29" s="2894"/>
      <c r="O29" s="2894"/>
      <c r="P29" s="2894"/>
      <c r="Q29" s="2892"/>
      <c r="R29" s="2027"/>
      <c r="S29" s="2895"/>
      <c r="T29" s="2896"/>
      <c r="U29" s="2027"/>
      <c r="V29" s="2897"/>
      <c r="W29" s="2027"/>
      <c r="X29" s="2892"/>
      <c r="Y29" s="2028"/>
      <c r="Z29" s="2898"/>
      <c r="AA29" s="2899"/>
      <c r="AB29" s="2028"/>
      <c r="AC29" s="2900"/>
      <c r="AD29" s="2028"/>
    </row>
    <row r="30" spans="1:30" s="2045" customFormat="1" ht="12.75">
      <c r="A30" s="2040" t="s">
        <v>3376</v>
      </c>
      <c r="B30" s="2031">
        <v>2025</v>
      </c>
      <c r="C30" s="2042">
        <v>1</v>
      </c>
      <c r="D30" s="2007"/>
      <c r="E30" s="2007">
        <v>0</v>
      </c>
      <c r="F30" s="2007">
        <v>0</v>
      </c>
      <c r="G30" s="2007">
        <v>0</v>
      </c>
      <c r="H30" s="2007"/>
      <c r="I30" s="2008">
        <f t="shared" ref="I30" si="69">F30</f>
        <v>0</v>
      </c>
      <c r="J30" s="2902"/>
      <c r="K30" s="2043"/>
      <c r="L30" s="2028">
        <f t="shared" ref="L30" si="70">E30/100</f>
        <v>0</v>
      </c>
      <c r="M30" s="2028">
        <f t="shared" ref="M30" si="71">F30/100</f>
        <v>0</v>
      </c>
      <c r="N30" s="2028">
        <f t="shared" ref="N30" si="72">G30/100</f>
        <v>0</v>
      </c>
      <c r="O30" s="2028"/>
      <c r="P30" s="2028">
        <f>M30</f>
        <v>0</v>
      </c>
      <c r="Q30" s="2902"/>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2"/>
      <c r="Y30" s="2028"/>
      <c r="Z30" s="2898">
        <f t="shared" ref="Z30" si="73">IF(E30=0,0,ROUND(AVERAGE(E30:E43)/100,4))</f>
        <v>0</v>
      </c>
      <c r="AA30" s="2898">
        <f t="shared" ref="AA30" si="74">IF(F30=0,0,ROUND(AVERAGE(F30:F43)/100,4))</f>
        <v>0</v>
      </c>
      <c r="AB30" s="2898">
        <f t="shared" ref="AB30" si="75">IF(G30=0,0,ROUND(AVERAGE(G30:G43)/100,4))</f>
        <v>0</v>
      </c>
      <c r="AC30" s="2900"/>
      <c r="AD30" s="2028">
        <f>IF(I30=0,0,ROUND(AVERAGE(I30:I43)/100,4))</f>
        <v>0</v>
      </c>
    </row>
    <row r="31" spans="1:30" s="2912" customFormat="1" ht="12.75">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2"/>
      <c r="K32" s="2043"/>
      <c r="L32" s="2028">
        <f t="shared" ref="L32" si="84">E32/100</f>
        <v>-6.6E-3</v>
      </c>
      <c r="M32" s="2028">
        <f t="shared" ref="M32" si="85">F32/100</f>
        <v>-5.1999999999999998E-3</v>
      </c>
      <c r="N32" s="2028">
        <f t="shared" ref="N32" si="86">G32/100</f>
        <v>-2.87E-2</v>
      </c>
      <c r="O32" s="2028"/>
      <c r="P32" s="2028">
        <f>M32</f>
        <v>-5.1999999999999998E-3</v>
      </c>
      <c r="Q32" s="2902"/>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2"/>
      <c r="Y32" s="2028"/>
      <c r="Z32" s="2898">
        <f t="shared" ref="Z32:AB33" si="87">IF(E32=0,0,ROUND(AVERAGE(E32:E45)/100,4))</f>
        <v>2.5999999999999999E-3</v>
      </c>
      <c r="AA32" s="2898">
        <f t="shared" si="87"/>
        <v>1.6999999999999999E-3</v>
      </c>
      <c r="AB32" s="2898">
        <f t="shared" si="87"/>
        <v>3.3999999999999998E-3</v>
      </c>
      <c r="AC32" s="2900"/>
      <c r="AD32" s="2028">
        <f>IF(I32=0,0,ROUND(AVERAGE(I32:I45)/100,4))</f>
        <v>1.6999999999999999E-3</v>
      </c>
    </row>
    <row r="33" spans="1:30" s="2045" customFormat="1" ht="12.75">
      <c r="A33" s="2901" t="s">
        <v>3379</v>
      </c>
      <c r="B33" s="2031">
        <v>2024</v>
      </c>
      <c r="C33" s="2042">
        <v>2</v>
      </c>
      <c r="D33" s="2007"/>
      <c r="E33" s="2007">
        <v>-0.31</v>
      </c>
      <c r="F33" s="2007">
        <v>-0.39</v>
      </c>
      <c r="G33" s="2007">
        <v>1.23</v>
      </c>
      <c r="H33" s="2913"/>
      <c r="I33" s="2008">
        <f t="shared" ref="I33:I46" si="88">F33</f>
        <v>-0.39</v>
      </c>
      <c r="J33" s="2902"/>
      <c r="K33" s="2043"/>
      <c r="L33" s="2028">
        <f t="shared" ref="L33:N46" si="89">E33/100</f>
        <v>-3.0999999999999999E-3</v>
      </c>
      <c r="M33" s="2028">
        <f t="shared" si="89"/>
        <v>-3.9000000000000003E-3</v>
      </c>
      <c r="N33" s="2028">
        <f t="shared" si="89"/>
        <v>1.23E-2</v>
      </c>
      <c r="O33" s="2028"/>
      <c r="P33" s="2028">
        <f>M33</f>
        <v>-3.9000000000000003E-3</v>
      </c>
      <c r="Q33" s="2902"/>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2"/>
      <c r="Y33" s="2028"/>
      <c r="Z33" s="2898">
        <f t="shared" si="87"/>
        <v>3.3E-3</v>
      </c>
      <c r="AA33" s="2899">
        <f t="shared" si="87"/>
        <v>2.3999999999999998E-3</v>
      </c>
      <c r="AB33" s="2028">
        <f t="shared" si="87"/>
        <v>6.1999999999999998E-3</v>
      </c>
      <c r="AC33" s="2900"/>
      <c r="AD33" s="2028">
        <f>IF(I33=0,0,ROUND(AVERAGE(I33:I46)/100,4))</f>
        <v>2.3999999999999998E-3</v>
      </c>
    </row>
    <row r="34" spans="1:30" s="2045" customFormat="1" ht="12.75">
      <c r="A34" s="2901" t="s">
        <v>3374</v>
      </c>
      <c r="B34" s="2031">
        <v>2024</v>
      </c>
      <c r="C34" s="2042">
        <v>1</v>
      </c>
      <c r="D34" s="2007"/>
      <c r="E34" s="2007">
        <v>0.25</v>
      </c>
      <c r="F34" s="2007">
        <v>0.4</v>
      </c>
      <c r="G34" s="2007">
        <v>-0.63</v>
      </c>
      <c r="H34" s="2913"/>
      <c r="I34" s="2008">
        <f t="shared" ref="I34:I35" si="90">F34</f>
        <v>0.4</v>
      </c>
      <c r="J34" s="2902"/>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2"/>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2"/>
      <c r="Y34" s="2028"/>
      <c r="Z34" s="2898"/>
      <c r="AA34" s="2899"/>
      <c r="AB34" s="2028"/>
      <c r="AC34" s="2900"/>
      <c r="AD34" s="2028"/>
    </row>
    <row r="35" spans="1:30" s="2045" customFormat="1" ht="12.75">
      <c r="A35" s="2901" t="s">
        <v>3372</v>
      </c>
      <c r="B35" s="2031">
        <v>2023</v>
      </c>
      <c r="C35" s="2042">
        <v>4</v>
      </c>
      <c r="D35" s="2007"/>
      <c r="E35" s="2007">
        <v>7.0000000000000007E-2</v>
      </c>
      <c r="F35" s="2007">
        <v>0.09</v>
      </c>
      <c r="G35" s="2007">
        <v>0.03</v>
      </c>
      <c r="H35" s="2913"/>
      <c r="I35" s="2008">
        <f t="shared" si="90"/>
        <v>0.09</v>
      </c>
      <c r="J35" s="2902"/>
      <c r="K35" s="2043"/>
      <c r="L35" s="2028">
        <f t="shared" si="89"/>
        <v>7.000000000000001E-4</v>
      </c>
      <c r="M35" s="2028">
        <f t="shared" si="89"/>
        <v>8.9999999999999998E-4</v>
      </c>
      <c r="N35" s="2028">
        <f t="shared" si="89"/>
        <v>2.9999999999999997E-4</v>
      </c>
      <c r="O35" s="2028"/>
      <c r="P35" s="2028">
        <f t="shared" ref="P35" si="96">M35</f>
        <v>8.9999999999999998E-4</v>
      </c>
      <c r="Q35" s="2902"/>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2"/>
      <c r="Y35" s="2028"/>
      <c r="Z35" s="2898"/>
      <c r="AA35" s="2899"/>
      <c r="AB35" s="2028"/>
      <c r="AC35" s="2900"/>
      <c r="AD35" s="2028"/>
    </row>
    <row r="36" spans="1:30" s="2045" customFormat="1" ht="12.75">
      <c r="A36" s="2901" t="s">
        <v>3370</v>
      </c>
      <c r="B36" s="2031">
        <v>2023</v>
      </c>
      <c r="C36" s="2042">
        <v>3</v>
      </c>
      <c r="D36" s="2007"/>
      <c r="E36" s="2007">
        <v>0.35</v>
      </c>
      <c r="F36" s="2007">
        <v>0.17</v>
      </c>
      <c r="G36" s="2007">
        <v>0.52</v>
      </c>
      <c r="H36" s="2913"/>
      <c r="I36" s="2008">
        <f t="shared" si="88"/>
        <v>0.17</v>
      </c>
      <c r="J36" s="2902"/>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2"/>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2"/>
      <c r="Y36" s="2028"/>
      <c r="Z36" s="2898"/>
      <c r="AA36" s="2899"/>
      <c r="AB36" s="2028"/>
      <c r="AC36" s="2900"/>
      <c r="AD36" s="2028"/>
    </row>
    <row r="37" spans="1:30" s="2045" customFormat="1" ht="12.75">
      <c r="A37" s="2901" t="s">
        <v>3369</v>
      </c>
      <c r="B37" s="2031">
        <v>2023</v>
      </c>
      <c r="C37" s="2042">
        <v>2</v>
      </c>
      <c r="D37" s="2007"/>
      <c r="E37" s="2007">
        <v>0.5</v>
      </c>
      <c r="F37" s="2007">
        <v>0.45</v>
      </c>
      <c r="G37" s="2007">
        <v>0.89</v>
      </c>
      <c r="H37" s="2913"/>
      <c r="I37" s="2008">
        <f t="shared" si="88"/>
        <v>0.45</v>
      </c>
      <c r="J37" s="2902"/>
      <c r="K37" s="2043"/>
      <c r="L37" s="2028">
        <f t="shared" si="98"/>
        <v>5.0000000000000001E-3</v>
      </c>
      <c r="M37" s="2028">
        <f t="shared" si="99"/>
        <v>4.5000000000000005E-3</v>
      </c>
      <c r="N37" s="2028">
        <f t="shared" si="100"/>
        <v>8.8999999999999999E-3</v>
      </c>
      <c r="O37" s="2028"/>
      <c r="P37" s="2028">
        <f t="shared" si="101"/>
        <v>4.5000000000000005E-3</v>
      </c>
      <c r="Q37" s="2902"/>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2"/>
      <c r="Y37" s="2028"/>
      <c r="Z37" s="2898"/>
      <c r="AA37" s="2899"/>
      <c r="AB37" s="2028"/>
      <c r="AC37" s="2900"/>
      <c r="AD37" s="2028"/>
    </row>
    <row r="38" spans="1:30" s="2045" customFormat="1" ht="12.75">
      <c r="A38" s="2901" t="s">
        <v>3367</v>
      </c>
      <c r="B38" s="2031">
        <v>2023</v>
      </c>
      <c r="C38" s="2042">
        <v>1</v>
      </c>
      <c r="D38" s="2007"/>
      <c r="E38" s="2007">
        <v>0.55000000000000004</v>
      </c>
      <c r="F38" s="2007">
        <v>0.59</v>
      </c>
      <c r="G38" s="2007">
        <v>0.64</v>
      </c>
      <c r="H38" s="2913"/>
      <c r="I38" s="2008">
        <f t="shared" si="88"/>
        <v>0.59</v>
      </c>
      <c r="J38" s="2902"/>
      <c r="K38" s="2043"/>
      <c r="L38" s="2028">
        <f t="shared" si="98"/>
        <v>5.5000000000000005E-3</v>
      </c>
      <c r="M38" s="2028">
        <f t="shared" si="99"/>
        <v>5.8999999999999999E-3</v>
      </c>
      <c r="N38" s="2028">
        <f t="shared" si="100"/>
        <v>6.4000000000000003E-3</v>
      </c>
      <c r="O38" s="2028"/>
      <c r="P38" s="2028">
        <f t="shared" si="101"/>
        <v>5.8999999999999999E-3</v>
      </c>
      <c r="Q38" s="2902"/>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2"/>
      <c r="Y38" s="2028"/>
      <c r="Z38" s="2898"/>
      <c r="AA38" s="2899"/>
      <c r="AB38" s="2028"/>
      <c r="AC38" s="2900"/>
      <c r="AD38" s="2028"/>
    </row>
    <row r="39" spans="1:30" s="2045" customFormat="1" ht="12.75">
      <c r="A39" s="2901" t="s">
        <v>3366</v>
      </c>
      <c r="B39" s="2031">
        <v>2022</v>
      </c>
      <c r="C39" s="2042">
        <v>4</v>
      </c>
      <c r="D39" s="2007"/>
      <c r="E39" s="2007">
        <v>0.45</v>
      </c>
      <c r="F39" s="2007">
        <v>0.2</v>
      </c>
      <c r="G39" s="2007">
        <v>0.38</v>
      </c>
      <c r="H39" s="2913"/>
      <c r="I39" s="2008">
        <f t="shared" si="88"/>
        <v>0.2</v>
      </c>
      <c r="J39" s="2902"/>
      <c r="K39" s="2043"/>
      <c r="L39" s="2028">
        <f t="shared" si="89"/>
        <v>4.5000000000000005E-3</v>
      </c>
      <c r="M39" s="2028">
        <f t="shared" si="89"/>
        <v>2E-3</v>
      </c>
      <c r="N39" s="2028">
        <f t="shared" si="89"/>
        <v>3.8E-3</v>
      </c>
      <c r="O39" s="2028"/>
      <c r="P39" s="2028">
        <f t="shared" ref="P39:P46" si="103">M39</f>
        <v>2E-3</v>
      </c>
      <c r="Q39" s="2902"/>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2"/>
      <c r="Y39" s="2028"/>
      <c r="Z39" s="2898">
        <f t="shared" ref="Z39:AD46" si="105">IF(E39=0,0,ROUND(AVERAGE(E39:E47)/100,4))</f>
        <v>4.0000000000000001E-3</v>
      </c>
      <c r="AA39" s="2899">
        <f t="shared" si="105"/>
        <v>2.5999999999999999E-3</v>
      </c>
      <c r="AB39" s="2028">
        <f t="shared" si="105"/>
        <v>7.4000000000000003E-3</v>
      </c>
      <c r="AC39" s="2900"/>
      <c r="AD39" s="2028">
        <f t="shared" si="105"/>
        <v>2.5999999999999999E-3</v>
      </c>
    </row>
    <row r="40" spans="1:30" s="2045" customFormat="1" ht="12.75">
      <c r="A40" s="2901" t="s">
        <v>3365</v>
      </c>
      <c r="B40" s="2031">
        <v>2022</v>
      </c>
      <c r="C40" s="2042">
        <v>3</v>
      </c>
      <c r="D40" s="2007"/>
      <c r="E40" s="2007">
        <v>0.3</v>
      </c>
      <c r="F40" s="2007">
        <v>0.28999999999999998</v>
      </c>
      <c r="G40" s="2007">
        <v>0.83</v>
      </c>
      <c r="H40" s="2913"/>
      <c r="I40" s="2008">
        <f t="shared" si="88"/>
        <v>0.28999999999999998</v>
      </c>
      <c r="J40" s="2902"/>
      <c r="K40" s="2043"/>
      <c r="L40" s="2028">
        <f t="shared" si="89"/>
        <v>3.0000000000000001E-3</v>
      </c>
      <c r="M40" s="2028">
        <f t="shared" si="89"/>
        <v>2.8999999999999998E-3</v>
      </c>
      <c r="N40" s="2028">
        <f t="shared" si="89"/>
        <v>8.3000000000000001E-3</v>
      </c>
      <c r="O40" s="2028"/>
      <c r="P40" s="2028">
        <f t="shared" si="103"/>
        <v>2.8999999999999998E-3</v>
      </c>
      <c r="Q40" s="2902"/>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2"/>
      <c r="Y40" s="2028"/>
      <c r="Z40" s="2898">
        <f t="shared" si="105"/>
        <v>3.8999999999999998E-3</v>
      </c>
      <c r="AA40" s="2899">
        <f t="shared" si="105"/>
        <v>2.7000000000000001E-3</v>
      </c>
      <c r="AB40" s="2028">
        <f t="shared" si="105"/>
        <v>7.9000000000000008E-3</v>
      </c>
      <c r="AC40" s="2900"/>
      <c r="AD40" s="2028">
        <f t="shared" si="105"/>
        <v>2.7000000000000001E-3</v>
      </c>
    </row>
    <row r="41" spans="1:30" s="2045" customFormat="1" ht="12.75">
      <c r="A41" s="2901" t="s">
        <v>3355</v>
      </c>
      <c r="B41" s="2031">
        <v>2022</v>
      </c>
      <c r="C41" s="2042">
        <v>2</v>
      </c>
      <c r="D41" s="2007"/>
      <c r="E41" s="2007">
        <v>-0.11</v>
      </c>
      <c r="F41" s="2007">
        <v>-0.13</v>
      </c>
      <c r="G41" s="2007">
        <v>0.53</v>
      </c>
      <c r="H41" s="2913"/>
      <c r="I41" s="2008">
        <f t="shared" si="88"/>
        <v>-0.13</v>
      </c>
      <c r="J41" s="2902"/>
      <c r="K41" s="2043"/>
      <c r="L41" s="2028">
        <f t="shared" si="89"/>
        <v>-1.1000000000000001E-3</v>
      </c>
      <c r="M41" s="2028">
        <f t="shared" si="89"/>
        <v>-1.2999999999999999E-3</v>
      </c>
      <c r="N41" s="2028">
        <f t="shared" si="89"/>
        <v>5.3E-3</v>
      </c>
      <c r="O41" s="2028"/>
      <c r="P41" s="2028">
        <f t="shared" si="103"/>
        <v>-1.2999999999999999E-3</v>
      </c>
      <c r="Q41" s="2902"/>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2"/>
      <c r="Y41" s="2028"/>
      <c r="Z41" s="2898">
        <f t="shared" si="105"/>
        <v>4.1000000000000003E-3</v>
      </c>
      <c r="AA41" s="2899">
        <f t="shared" si="105"/>
        <v>2.7000000000000001E-3</v>
      </c>
      <c r="AB41" s="2028">
        <f t="shared" si="105"/>
        <v>7.9000000000000008E-3</v>
      </c>
      <c r="AC41" s="2900"/>
      <c r="AD41" s="2028">
        <f t="shared" si="105"/>
        <v>2.7000000000000001E-3</v>
      </c>
    </row>
    <row r="42" spans="1:30" s="2045" customFormat="1" ht="12.75">
      <c r="A42" s="2901" t="s">
        <v>2835</v>
      </c>
      <c r="B42" s="2031">
        <v>2022</v>
      </c>
      <c r="C42" s="2042">
        <v>1</v>
      </c>
      <c r="D42" s="2007"/>
      <c r="E42" s="2007">
        <v>0.6</v>
      </c>
      <c r="F42" s="2007">
        <v>0.45</v>
      </c>
      <c r="G42" s="2007">
        <v>0.53</v>
      </c>
      <c r="H42" s="2913"/>
      <c r="I42" s="2008">
        <f t="shared" si="88"/>
        <v>0.45</v>
      </c>
      <c r="J42" s="2902"/>
      <c r="K42" s="2043"/>
      <c r="L42" s="2028">
        <f t="shared" si="89"/>
        <v>6.0000000000000001E-3</v>
      </c>
      <c r="M42" s="2028">
        <f t="shared" si="89"/>
        <v>4.5000000000000005E-3</v>
      </c>
      <c r="N42" s="2028">
        <f t="shared" si="89"/>
        <v>5.3E-3</v>
      </c>
      <c r="O42" s="2028"/>
      <c r="P42" s="2028">
        <f t="shared" si="103"/>
        <v>4.5000000000000005E-3</v>
      </c>
      <c r="Q42" s="2902"/>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2"/>
      <c r="Y42" s="2028"/>
      <c r="Z42" s="2898">
        <f t="shared" si="105"/>
        <v>5.1000000000000004E-3</v>
      </c>
      <c r="AA42" s="2899">
        <f t="shared" si="105"/>
        <v>3.5000000000000001E-3</v>
      </c>
      <c r="AB42" s="2028">
        <f t="shared" si="105"/>
        <v>8.3999999999999995E-3</v>
      </c>
      <c r="AC42" s="2900"/>
      <c r="AD42" s="2028">
        <f t="shared" si="105"/>
        <v>3.5000000000000001E-3</v>
      </c>
    </row>
    <row r="43" spans="1:30" s="2045" customFormat="1" ht="12.75">
      <c r="A43" s="2901" t="s">
        <v>2836</v>
      </c>
      <c r="B43" s="2031">
        <v>2021</v>
      </c>
      <c r="C43" s="2042">
        <v>4</v>
      </c>
      <c r="D43" s="2007"/>
      <c r="E43" s="2007">
        <v>0.57999999999999996</v>
      </c>
      <c r="F43" s="2007">
        <v>0.08</v>
      </c>
      <c r="G43" s="2007">
        <v>0.68</v>
      </c>
      <c r="H43" s="2913"/>
      <c r="I43" s="2008">
        <f t="shared" si="88"/>
        <v>0.08</v>
      </c>
      <c r="J43" s="2902"/>
      <c r="K43" s="2043"/>
      <c r="L43" s="2028">
        <f t="shared" si="89"/>
        <v>5.7999999999999996E-3</v>
      </c>
      <c r="M43" s="2028">
        <f t="shared" si="89"/>
        <v>8.0000000000000004E-4</v>
      </c>
      <c r="N43" s="2028">
        <f t="shared" si="89"/>
        <v>6.8000000000000005E-3</v>
      </c>
      <c r="O43" s="2028"/>
      <c r="P43" s="2028">
        <f t="shared" si="103"/>
        <v>8.0000000000000004E-4</v>
      </c>
      <c r="Q43" s="2902"/>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2"/>
      <c r="Y43" s="2028"/>
      <c r="Z43" s="2898">
        <f t="shared" si="105"/>
        <v>4.8999999999999998E-3</v>
      </c>
      <c r="AA43" s="2899">
        <f t="shared" si="105"/>
        <v>3.3E-3</v>
      </c>
      <c r="AB43" s="2028">
        <f t="shared" si="105"/>
        <v>9.1999999999999998E-3</v>
      </c>
      <c r="AC43" s="2900"/>
      <c r="AD43" s="2028">
        <f t="shared" si="105"/>
        <v>3.3E-3</v>
      </c>
    </row>
    <row r="44" spans="1:30" s="2045" customFormat="1" ht="12.75">
      <c r="A44" s="2901" t="s">
        <v>2837</v>
      </c>
      <c r="B44" s="2031">
        <v>2021</v>
      </c>
      <c r="C44" s="2042">
        <v>3</v>
      </c>
      <c r="D44" s="2007"/>
      <c r="E44" s="2007">
        <v>0.47</v>
      </c>
      <c r="F44" s="2007">
        <v>0.28000000000000003</v>
      </c>
      <c r="G44" s="2007">
        <v>0.91</v>
      </c>
      <c r="H44" s="2913"/>
      <c r="I44" s="2008">
        <f t="shared" si="88"/>
        <v>0.28000000000000003</v>
      </c>
      <c r="J44" s="2902"/>
      <c r="K44" s="2043"/>
      <c r="L44" s="2028">
        <f t="shared" si="89"/>
        <v>4.6999999999999993E-3</v>
      </c>
      <c r="M44" s="2028">
        <f t="shared" si="89"/>
        <v>2.8000000000000004E-3</v>
      </c>
      <c r="N44" s="2028">
        <f t="shared" si="89"/>
        <v>9.1000000000000004E-3</v>
      </c>
      <c r="O44" s="2028"/>
      <c r="P44" s="2028">
        <f t="shared" si="103"/>
        <v>2.8000000000000004E-3</v>
      </c>
      <c r="Q44" s="2902"/>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2"/>
      <c r="Y44" s="2028"/>
      <c r="Z44" s="2898">
        <f t="shared" si="105"/>
        <v>4.5999999999999999E-3</v>
      </c>
      <c r="AA44" s="2899">
        <f t="shared" si="105"/>
        <v>4.1000000000000003E-3</v>
      </c>
      <c r="AB44" s="2028">
        <f t="shared" si="105"/>
        <v>0.01</v>
      </c>
      <c r="AC44" s="2900"/>
      <c r="AD44" s="2028">
        <f t="shared" si="105"/>
        <v>4.1000000000000003E-3</v>
      </c>
    </row>
    <row r="45" spans="1:30" s="2045" customFormat="1" ht="12.75">
      <c r="A45" s="2901" t="s">
        <v>2838</v>
      </c>
      <c r="B45" s="2031">
        <v>2021</v>
      </c>
      <c r="C45" s="2042">
        <v>2</v>
      </c>
      <c r="D45" s="2007"/>
      <c r="E45" s="2007">
        <v>0.55000000000000004</v>
      </c>
      <c r="F45" s="2007">
        <v>0.46</v>
      </c>
      <c r="G45" s="2007">
        <v>1.1000000000000001</v>
      </c>
      <c r="H45" s="2913"/>
      <c r="I45" s="2008">
        <f t="shared" si="88"/>
        <v>0.46</v>
      </c>
      <c r="J45" s="2902"/>
      <c r="K45" s="2043"/>
      <c r="L45" s="2028">
        <f t="shared" si="89"/>
        <v>5.5000000000000005E-3</v>
      </c>
      <c r="M45" s="2028">
        <f t="shared" si="89"/>
        <v>4.5999999999999999E-3</v>
      </c>
      <c r="N45" s="2028">
        <f t="shared" si="89"/>
        <v>1.1000000000000001E-2</v>
      </c>
      <c r="O45" s="2028"/>
      <c r="P45" s="2028">
        <f t="shared" si="103"/>
        <v>4.5999999999999999E-3</v>
      </c>
      <c r="Q45" s="2902"/>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2"/>
      <c r="Y45" s="2028"/>
      <c r="Z45" s="2898">
        <f t="shared" si="105"/>
        <v>4.4999999999999997E-3</v>
      </c>
      <c r="AA45" s="2899">
        <f t="shared" si="105"/>
        <v>4.7000000000000002E-3</v>
      </c>
      <c r="AB45" s="2028">
        <f t="shared" si="105"/>
        <v>1.04E-2</v>
      </c>
      <c r="AC45" s="2900"/>
      <c r="AD45" s="2028">
        <f t="shared" si="105"/>
        <v>4.7000000000000002E-3</v>
      </c>
    </row>
    <row r="46" spans="1:30" s="2924" customFormat="1"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45705</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30">
      <c r="A4" s="1403" t="str">
        <f>项目基本情况!S2</f>
        <v>北京市昌平区何营路8号院22号楼1至5层101房地产</v>
      </c>
      <c r="B4" s="801">
        <f>项目基本情况!C17</f>
        <v>1680.33</v>
      </c>
      <c r="C4" s="801">
        <f>项目基本情况!C18</f>
        <v>1098.6600000000001</v>
      </c>
      <c r="D4" s="801">
        <f>结果表!D118</f>
        <v>0</v>
      </c>
      <c r="E4" s="801">
        <f>结果表!E118</f>
        <v>0</v>
      </c>
      <c r="F4" s="801">
        <f>结果表!F118</f>
        <v>0</v>
      </c>
      <c r="G4" s="801">
        <f>结果表!G118</f>
        <v>0</v>
      </c>
      <c r="H4" s="801">
        <f ca="1">结果表!H118</f>
        <v>2860.4258</v>
      </c>
      <c r="I4" s="801">
        <f ca="1">结果表!I118</f>
        <v>17023</v>
      </c>
    </row>
    <row r="5" spans="1:9" ht="30" customHeight="1">
      <c r="A5" s="3189" t="s">
        <v>927</v>
      </c>
      <c r="B5" s="3189"/>
      <c r="C5" s="3189"/>
      <c r="D5" s="3189" t="str">
        <f>结果表!D119</f>
        <v>零元整</v>
      </c>
      <c r="E5" s="3189"/>
      <c r="F5" s="3189" t="str">
        <f>结果表!F119</f>
        <v>零元整</v>
      </c>
      <c r="G5" s="3189"/>
      <c r="H5" s="3189" t="str">
        <f ca="1">结果表!H119</f>
        <v>贰仟捌佰陆拾万肆仟贰佰伍拾捌元整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2860.4258</v>
      </c>
      <c r="E8" s="3188"/>
      <c r="F8" s="3188"/>
      <c r="G8" s="3188"/>
      <c r="H8" s="3188"/>
      <c r="I8" s="3188"/>
    </row>
    <row r="9" spans="1:9" ht="15">
      <c r="A9" s="3189" t="s">
        <v>927</v>
      </c>
      <c r="B9" s="3189"/>
      <c r="C9" s="3189"/>
      <c r="D9" s="3189" t="str">
        <f ca="1">结果表!D123</f>
        <v>贰仟捌佰陆拾万肆仟贰佰伍拾捌元整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抵押净值</v>
      </c>
      <c r="B12" s="3188"/>
      <c r="C12" s="3188"/>
      <c r="D12" s="3188">
        <f ca="1">结果表!D126</f>
        <v>2357.9180000000001</v>
      </c>
      <c r="E12" s="3188"/>
      <c r="F12" s="3188"/>
      <c r="G12" s="3188"/>
      <c r="H12" s="3188"/>
      <c r="I12" s="3188"/>
    </row>
    <row r="13" spans="1:9" ht="15.75" thickBot="1">
      <c r="A13" s="3186" t="s">
        <v>927</v>
      </c>
      <c r="B13" s="3186"/>
      <c r="C13" s="3186"/>
      <c r="D13" s="3186" t="str">
        <f ca="1">结果表!D127</f>
        <v>贰仟叁佰伍拾柒万玖仟壹佰捌拾元整</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比较法-工业租金</vt:lpstr>
      <vt:lpstr>案例</vt:lpstr>
      <vt:lpstr>信息</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2025-02-18T02:51:34Z</dcterms:modified>
</cp:coreProperties>
</file>